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dolphen/Downloads/"/>
    </mc:Choice>
  </mc:AlternateContent>
  <xr:revisionPtr revIDLastSave="0" documentId="13_ncr:1_{EB03E8EE-3E66-1242-8DCD-422681DC1D7A}" xr6:coauthVersionLast="47" xr6:coauthVersionMax="47" xr10:uidLastSave="{00000000-0000-0000-0000-000000000000}"/>
  <bookViews>
    <workbookView xWindow="0" yWindow="0" windowWidth="35840" windowHeight="22400" tabRatio="500" firstSheet="2" activeTab="7" xr2:uid="{00000000-000D-0000-FFFF-FFFF00000000}"/>
  </bookViews>
  <sheets>
    <sheet name="T" sheetId="1" state="hidden" r:id="rId1"/>
    <sheet name="Spelregels" sheetId="6" r:id="rId2"/>
    <sheet name="3rd Places" sheetId="3" state="hidden" r:id="rId3"/>
    <sheet name="Tornooi schema pronostiek" sheetId="4" r:id="rId4"/>
    <sheet name="Export" sheetId="5" r:id="rId5"/>
    <sheet name="Settings" sheetId="2" r:id="rId6"/>
    <sheet name="Berekening" sheetId="7" r:id="rId7"/>
    <sheet name="Blad1" sheetId="10" r:id="rId8"/>
    <sheet name="Overzicht pronostieken" sheetId="8" r:id="rId9"/>
    <sheet name="stand" sheetId="9" r:id="rId10"/>
  </sheets>
  <externalReferences>
    <externalReference r:id="rId11"/>
  </externalReferences>
  <definedNames>
    <definedName name="_xlnm._FilterDatabase" localSheetId="9" hidden="1">stand!$C$2:$K$2</definedName>
    <definedName name="_xlnm.Print_Area" localSheetId="3">'Tornooi schema pronostiek'!$A$1:$FU$57</definedName>
    <definedName name="db_fifarank" localSheetId="1">[1]Settings!$B$15:$C$46</definedName>
    <definedName name="db_fifarank">Settings!$B$15:$C$46</definedName>
    <definedName name="gmt_delta" localSheetId="1">[1]Settings!$G$14</definedName>
    <definedName name="gmt_delta">Settings!$G$14</definedName>
    <definedName name="itype">Settings!$G$46</definedName>
    <definedName name="lang" localSheetId="1">[1]Settings!$G$13</definedName>
    <definedName name="lang">Settings!$G$13</definedName>
    <definedName name="lang_list" localSheetId="1">[1]T!$1:$1</definedName>
    <definedName name="lang_list">T!$1:$1</definedName>
    <definedName name="lookup_3rd" localSheetId="1">'[1]UEFA EURO 2021'!$BB$50</definedName>
    <definedName name="lookup_3rd">'Tornooi schema pronostiek'!$BB$50</definedName>
    <definedName name="MyData">#REF!</definedName>
    <definedName name="T" localSheetId="1">[1]T!$1:$1048576</definedName>
    <definedName name="T">T!$1:$1048576</definedName>
    <definedName name="tbl_lookup_3rd" localSheetId="1">'[1]UEFA EURO 2021'!$BD$53:$BH$67</definedName>
    <definedName name="tbl_lookup_3rd">'Tornooi schema pronostiek'!$BD$53:$BH$67</definedName>
    <definedName name="testmydata">#REF!</definedName>
    <definedName name="testmy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0" l="1"/>
  <c r="C4" i="10"/>
  <c r="D4" i="10"/>
  <c r="E4" i="10"/>
  <c r="F4" i="10"/>
  <c r="G4" i="10"/>
  <c r="H4" i="10"/>
  <c r="I4" i="10"/>
  <c r="J4" i="10"/>
  <c r="K4" i="10"/>
  <c r="L4" i="10"/>
  <c r="M4" i="10"/>
  <c r="N4" i="10"/>
  <c r="O4" i="10"/>
  <c r="P4" i="10"/>
  <c r="A4" i="10"/>
  <c r="N14" i="7" l="1"/>
  <c r="E14" i="7" l="1"/>
  <c r="G91" i="8" l="1"/>
  <c r="G44" i="8"/>
  <c r="G63" i="8"/>
  <c r="E303" i="7"/>
  <c r="G24" i="8"/>
  <c r="G23" i="8"/>
  <c r="E287" i="7"/>
  <c r="G8" i="8"/>
  <c r="G7" i="8"/>
  <c r="E271"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29" i="7"/>
  <c r="DM17" i="7"/>
  <c r="DM15" i="7"/>
  <c r="DM14" i="7"/>
  <c r="DM13" i="7"/>
  <c r="DM12" i="7"/>
  <c r="DM10" i="7"/>
  <c r="DM9" i="7"/>
  <c r="DG85" i="7"/>
  <c r="B19" i="7"/>
  <c r="C19" i="7"/>
  <c r="B20" i="7"/>
  <c r="C20" i="7"/>
  <c r="B21" i="7"/>
  <c r="BU90" i="7" s="1"/>
  <c r="C21" i="7"/>
  <c r="CV90" i="7" s="1"/>
  <c r="B22" i="7"/>
  <c r="C22" i="7"/>
  <c r="B23" i="7"/>
  <c r="C23" i="7"/>
  <c r="B24" i="7"/>
  <c r="BT93" i="7" s="1"/>
  <c r="C24" i="7"/>
  <c r="B25" i="7"/>
  <c r="DH94" i="7" s="1"/>
  <c r="C25" i="7"/>
  <c r="B26" i="7"/>
  <c r="C26" i="7"/>
  <c r="B27" i="7"/>
  <c r="C27" i="7"/>
  <c r="DF96" i="7" s="1"/>
  <c r="B28" i="7"/>
  <c r="C28" i="7"/>
  <c r="B29" i="7"/>
  <c r="C29" i="7"/>
  <c r="DD98" i="7" s="1"/>
  <c r="B30" i="7"/>
  <c r="BN99" i="7" s="1"/>
  <c r="C30" i="7"/>
  <c r="B31" i="7"/>
  <c r="C31" i="7"/>
  <c r="B32" i="7"/>
  <c r="C32" i="7"/>
  <c r="B33" i="7"/>
  <c r="C33" i="7"/>
  <c r="B34" i="7"/>
  <c r="CY103" i="7" s="1"/>
  <c r="C34" i="7"/>
  <c r="B35" i="7"/>
  <c r="C35" i="7"/>
  <c r="B36" i="7"/>
  <c r="CW105" i="7" s="1"/>
  <c r="C36" i="7"/>
  <c r="B37" i="7"/>
  <c r="C37" i="7"/>
  <c r="B38" i="7"/>
  <c r="C38" i="7"/>
  <c r="B39" i="7"/>
  <c r="BE108" i="7" s="1"/>
  <c r="C39" i="7"/>
  <c r="AJ108" i="7" s="1"/>
  <c r="B40" i="7"/>
  <c r="C40" i="7"/>
  <c r="B41" i="7"/>
  <c r="C41" i="7"/>
  <c r="B42" i="7"/>
  <c r="DI111" i="7" s="1"/>
  <c r="C42" i="7"/>
  <c r="BT111" i="7" s="1"/>
  <c r="B43" i="7"/>
  <c r="CT112" i="7" s="1"/>
  <c r="C43" i="7"/>
  <c r="B44" i="7"/>
  <c r="C44" i="7"/>
  <c r="B45" i="7"/>
  <c r="C45" i="7"/>
  <c r="B46" i="7"/>
  <c r="C46" i="7"/>
  <c r="B47" i="7"/>
  <c r="C47" i="7"/>
  <c r="B48" i="7"/>
  <c r="C48" i="7"/>
  <c r="B49" i="7"/>
  <c r="C49" i="7"/>
  <c r="B50" i="7"/>
  <c r="C50" i="7"/>
  <c r="F14" i="7"/>
  <c r="G14" i="7"/>
  <c r="H14" i="7"/>
  <c r="J2" i="8" s="1"/>
  <c r="I14" i="7"/>
  <c r="J14" i="7"/>
  <c r="K14" i="7"/>
  <c r="M2" i="8" s="1"/>
  <c r="L14" i="7"/>
  <c r="M14" i="7"/>
  <c r="P2" i="8"/>
  <c r="O14" i="7"/>
  <c r="P14" i="7"/>
  <c r="Q14" i="7"/>
  <c r="S2" i="8" s="1"/>
  <c r="S41" i="8" s="1"/>
  <c r="R14" i="7"/>
  <c r="S14" i="7"/>
  <c r="T14" i="7"/>
  <c r="V2" i="8" s="1"/>
  <c r="U14" i="7"/>
  <c r="V14" i="7"/>
  <c r="W14" i="7"/>
  <c r="Y2" i="8" s="1"/>
  <c r="AF2" i="9" s="1"/>
  <c r="X14" i="7"/>
  <c r="Y14" i="7"/>
  <c r="Z14" i="7"/>
  <c r="AB2" i="8" s="1"/>
  <c r="AB41" i="8" s="1"/>
  <c r="AA14" i="7"/>
  <c r="AB14" i="7"/>
  <c r="AC14" i="7"/>
  <c r="AE2" i="8" s="1"/>
  <c r="AD14" i="7"/>
  <c r="AE14" i="7"/>
  <c r="AF14" i="7"/>
  <c r="AH2" i="8" s="1"/>
  <c r="AG14" i="7"/>
  <c r="AH14" i="7"/>
  <c r="AI14" i="7"/>
  <c r="AK2" i="8" s="1"/>
  <c r="AJ14" i="7"/>
  <c r="AK14" i="7"/>
  <c r="AL14" i="7"/>
  <c r="AN2" i="8" s="1"/>
  <c r="AM14" i="7"/>
  <c r="AN14" i="7"/>
  <c r="AO14" i="7"/>
  <c r="AQ2" i="8" s="1"/>
  <c r="AP14" i="7"/>
  <c r="AQ14" i="7"/>
  <c r="AR14" i="7"/>
  <c r="AT2" i="8" s="1"/>
  <c r="AT41" i="8" s="1"/>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CS14" i="7"/>
  <c r="CT14" i="7"/>
  <c r="CU14" i="7"/>
  <c r="CV14" i="7"/>
  <c r="CW14" i="7"/>
  <c r="CX14" i="7"/>
  <c r="CY14" i="7"/>
  <c r="CZ14" i="7"/>
  <c r="DA14" i="7"/>
  <c r="DB14" i="7"/>
  <c r="DC14" i="7"/>
  <c r="DD14" i="7"/>
  <c r="DE14" i="7"/>
  <c r="DF14" i="7"/>
  <c r="DG14" i="7"/>
  <c r="DH14" i="7"/>
  <c r="DI14" i="7"/>
  <c r="E267" i="7"/>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AV2" i="8"/>
  <c r="AU2" i="8"/>
  <c r="AS2" i="8"/>
  <c r="AR2" i="8"/>
  <c r="AP2" i="8"/>
  <c r="AO2" i="8"/>
  <c r="AO151" i="8" s="1"/>
  <c r="AM2" i="8"/>
  <c r="AL2" i="8"/>
  <c r="AS2" i="9" s="1"/>
  <c r="AJ2" i="8"/>
  <c r="AI2" i="8"/>
  <c r="AG2" i="8"/>
  <c r="AF2" i="8"/>
  <c r="AD2" i="8"/>
  <c r="AC2" i="8"/>
  <c r="AJ2" i="9" s="1"/>
  <c r="AA2" i="8"/>
  <c r="Z2" i="8"/>
  <c r="X2" i="8"/>
  <c r="W2" i="8"/>
  <c r="W151" i="8" s="1"/>
  <c r="U2" i="8"/>
  <c r="T2" i="8"/>
  <c r="R2" i="8"/>
  <c r="Q2" i="8"/>
  <c r="O2" i="8"/>
  <c r="N2" i="8"/>
  <c r="N151" i="8" s="1"/>
  <c r="L2" i="8"/>
  <c r="K2" i="8"/>
  <c r="R2" i="9" s="1"/>
  <c r="I2" i="8"/>
  <c r="H2" i="8"/>
  <c r="AT303" i="7"/>
  <c r="AS303" i="7"/>
  <c r="AR303" i="7"/>
  <c r="AQ303"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AT302" i="7"/>
  <c r="AS302" i="7"/>
  <c r="AR302" i="7"/>
  <c r="AQ302" i="7"/>
  <c r="AP302" i="7"/>
  <c r="AO302" i="7"/>
  <c r="AN302" i="7"/>
  <c r="AM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AT301" i="7"/>
  <c r="AS301" i="7"/>
  <c r="AR301" i="7"/>
  <c r="AQ301" i="7"/>
  <c r="AP301" i="7"/>
  <c r="AO301" i="7"/>
  <c r="AN301" i="7"/>
  <c r="AM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AT297" i="7"/>
  <c r="AS297" i="7"/>
  <c r="AR297" i="7"/>
  <c r="AQ297" i="7"/>
  <c r="AP297" i="7"/>
  <c r="AO297" i="7"/>
  <c r="AN297" i="7"/>
  <c r="AM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AT296" i="7"/>
  <c r="AS296" i="7"/>
  <c r="AR296" i="7"/>
  <c r="AQ296" i="7"/>
  <c r="AP296" i="7"/>
  <c r="AO296" i="7"/>
  <c r="AN296" i="7"/>
  <c r="AM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AT295" i="7"/>
  <c r="AS295" i="7"/>
  <c r="AR295" i="7"/>
  <c r="AQ295" i="7"/>
  <c r="AP295" i="7"/>
  <c r="AO295" i="7"/>
  <c r="AN295" i="7"/>
  <c r="AM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AT294" i="7"/>
  <c r="AS294" i="7"/>
  <c r="AR294" i="7"/>
  <c r="AQ294" i="7"/>
  <c r="AP294" i="7"/>
  <c r="AO294" i="7"/>
  <c r="AN294" i="7"/>
  <c r="AM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AT293" i="7"/>
  <c r="AS293" i="7"/>
  <c r="AR293" i="7"/>
  <c r="AQ293" i="7"/>
  <c r="AP293" i="7"/>
  <c r="AO293" i="7"/>
  <c r="AN293" i="7"/>
  <c r="AM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AT292" i="7"/>
  <c r="AS292" i="7"/>
  <c r="AR292" i="7"/>
  <c r="AQ292" i="7"/>
  <c r="AP292" i="7"/>
  <c r="AO292" i="7"/>
  <c r="AN292" i="7"/>
  <c r="AM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AT291" i="7"/>
  <c r="AS291" i="7"/>
  <c r="AR291" i="7"/>
  <c r="AQ291"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AT287" i="7"/>
  <c r="AS287" i="7"/>
  <c r="AR287" i="7"/>
  <c r="AQ287" i="7"/>
  <c r="AP287" i="7"/>
  <c r="AO287" i="7"/>
  <c r="AN287" i="7"/>
  <c r="AM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AT267" i="7"/>
  <c r="AS267" i="7"/>
  <c r="AQ267" i="7"/>
  <c r="AP267" i="7"/>
  <c r="AN267" i="7"/>
  <c r="AM267" i="7"/>
  <c r="AK267" i="7"/>
  <c r="AJ267" i="7"/>
  <c r="AH267" i="7"/>
  <c r="AG267" i="7"/>
  <c r="AE267" i="7"/>
  <c r="AD267" i="7"/>
  <c r="AB267" i="7"/>
  <c r="AA267" i="7"/>
  <c r="Y267" i="7"/>
  <c r="X267" i="7"/>
  <c r="V267" i="7"/>
  <c r="U267" i="7"/>
  <c r="S267" i="7"/>
  <c r="R267" i="7"/>
  <c r="P267" i="7"/>
  <c r="O267" i="7"/>
  <c r="M267" i="7"/>
  <c r="L267" i="7"/>
  <c r="J267" i="7"/>
  <c r="I267" i="7"/>
  <c r="G267" i="7"/>
  <c r="F267" i="7"/>
  <c r="DI208" i="7"/>
  <c r="DH208" i="7"/>
  <c r="DG208" i="7"/>
  <c r="DF208" i="7"/>
  <c r="DE208" i="7"/>
  <c r="DD208" i="7"/>
  <c r="DC208" i="7"/>
  <c r="DB208" i="7"/>
  <c r="DA208" i="7"/>
  <c r="CZ208" i="7"/>
  <c r="CY208" i="7"/>
  <c r="CX208" i="7"/>
  <c r="CW208" i="7"/>
  <c r="CV208" i="7"/>
  <c r="CU208" i="7"/>
  <c r="CT208" i="7"/>
  <c r="CS208" i="7"/>
  <c r="CR208" i="7"/>
  <c r="CQ208" i="7"/>
  <c r="CP208" i="7"/>
  <c r="CO208" i="7"/>
  <c r="CN208" i="7"/>
  <c r="CM208" i="7"/>
  <c r="CL208" i="7"/>
  <c r="CK208" i="7"/>
  <c r="CJ208" i="7"/>
  <c r="CI208" i="7"/>
  <c r="CH208" i="7"/>
  <c r="CG208" i="7"/>
  <c r="CF208" i="7"/>
  <c r="CE208" i="7"/>
  <c r="CD208" i="7"/>
  <c r="CC208" i="7"/>
  <c r="CB208" i="7"/>
  <c r="CA208" i="7"/>
  <c r="BZ208" i="7"/>
  <c r="BY208" i="7"/>
  <c r="BX208" i="7"/>
  <c r="BW208" i="7"/>
  <c r="BV208" i="7"/>
  <c r="BU208" i="7"/>
  <c r="BT208" i="7"/>
  <c r="BS208" i="7"/>
  <c r="BR208" i="7"/>
  <c r="BQ208" i="7"/>
  <c r="BP208" i="7"/>
  <c r="BO208"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I207" i="7"/>
  <c r="DH207" i="7"/>
  <c r="DG207" i="7"/>
  <c r="DF207" i="7"/>
  <c r="DE207" i="7"/>
  <c r="DD207" i="7"/>
  <c r="DC207" i="7"/>
  <c r="DB207" i="7"/>
  <c r="DA207" i="7"/>
  <c r="CZ207" i="7"/>
  <c r="CY207" i="7"/>
  <c r="CX207" i="7"/>
  <c r="CW207" i="7"/>
  <c r="CV207" i="7"/>
  <c r="CU207" i="7"/>
  <c r="CT207" i="7"/>
  <c r="CS207" i="7"/>
  <c r="CR207" i="7"/>
  <c r="CQ207" i="7"/>
  <c r="CP207" i="7"/>
  <c r="CO207" i="7"/>
  <c r="CN207" i="7"/>
  <c r="CM207" i="7"/>
  <c r="CL207" i="7"/>
  <c r="CK207" i="7"/>
  <c r="CJ207" i="7"/>
  <c r="CI207" i="7"/>
  <c r="CH207" i="7"/>
  <c r="CG207" i="7"/>
  <c r="CF207" i="7"/>
  <c r="CE207" i="7"/>
  <c r="CD207" i="7"/>
  <c r="CC207" i="7"/>
  <c r="CB207" i="7"/>
  <c r="CA207" i="7"/>
  <c r="BZ207" i="7"/>
  <c r="BY207" i="7"/>
  <c r="BX207" i="7"/>
  <c r="BW207" i="7"/>
  <c r="BV207" i="7"/>
  <c r="BU207" i="7"/>
  <c r="BT207" i="7"/>
  <c r="BS207" i="7"/>
  <c r="BR207" i="7"/>
  <c r="BQ207" i="7"/>
  <c r="BP207" i="7"/>
  <c r="BO207"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I206" i="7"/>
  <c r="DH206" i="7"/>
  <c r="DG206" i="7"/>
  <c r="DF206" i="7"/>
  <c r="DE206" i="7"/>
  <c r="DD206" i="7"/>
  <c r="DC206" i="7"/>
  <c r="DB206" i="7"/>
  <c r="DA206" i="7"/>
  <c r="CZ206" i="7"/>
  <c r="CY206" i="7"/>
  <c r="CX206" i="7"/>
  <c r="CW206" i="7"/>
  <c r="CV206" i="7"/>
  <c r="CU206" i="7"/>
  <c r="CT206" i="7"/>
  <c r="CS206" i="7"/>
  <c r="CR206" i="7"/>
  <c r="CQ206" i="7"/>
  <c r="CP206" i="7"/>
  <c r="CO206" i="7"/>
  <c r="CN206" i="7"/>
  <c r="CM206" i="7"/>
  <c r="CL206" i="7"/>
  <c r="CK206" i="7"/>
  <c r="CJ206" i="7"/>
  <c r="CI206" i="7"/>
  <c r="CH206" i="7"/>
  <c r="CG206" i="7"/>
  <c r="CF206" i="7"/>
  <c r="CE206" i="7"/>
  <c r="CD206" i="7"/>
  <c r="CC206" i="7"/>
  <c r="CB206" i="7"/>
  <c r="CA206" i="7"/>
  <c r="BZ206" i="7"/>
  <c r="BY206" i="7"/>
  <c r="BX206" i="7"/>
  <c r="BW206" i="7"/>
  <c r="BV206" i="7"/>
  <c r="BU206" i="7"/>
  <c r="BT206" i="7"/>
  <c r="BS206" i="7"/>
  <c r="BR206" i="7"/>
  <c r="BQ206" i="7"/>
  <c r="BP206" i="7"/>
  <c r="BO206"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I205" i="7"/>
  <c r="DH205" i="7"/>
  <c r="DG205" i="7"/>
  <c r="DF205" i="7"/>
  <c r="DE205" i="7"/>
  <c r="DD205" i="7"/>
  <c r="DC205" i="7"/>
  <c r="DB205" i="7"/>
  <c r="DA205" i="7"/>
  <c r="CZ205" i="7"/>
  <c r="CY205" i="7"/>
  <c r="CX205" i="7"/>
  <c r="CW205" i="7"/>
  <c r="CV205" i="7"/>
  <c r="CU205" i="7"/>
  <c r="CT205" i="7"/>
  <c r="CS205" i="7"/>
  <c r="CR205" i="7"/>
  <c r="CQ205" i="7"/>
  <c r="CP205" i="7"/>
  <c r="CO205" i="7"/>
  <c r="CN205" i="7"/>
  <c r="CM205" i="7"/>
  <c r="CL205" i="7"/>
  <c r="CK205" i="7"/>
  <c r="CJ205" i="7"/>
  <c r="CI205" i="7"/>
  <c r="CH205" i="7"/>
  <c r="CG205" i="7"/>
  <c r="CF205" i="7"/>
  <c r="CE205" i="7"/>
  <c r="CD205" i="7"/>
  <c r="CC205" i="7"/>
  <c r="CB205" i="7"/>
  <c r="CA205" i="7"/>
  <c r="BZ205" i="7"/>
  <c r="BY205" i="7"/>
  <c r="BX205" i="7"/>
  <c r="BW205" i="7"/>
  <c r="BV205" i="7"/>
  <c r="BU205" i="7"/>
  <c r="BT205" i="7"/>
  <c r="BS205" i="7"/>
  <c r="BR205" i="7"/>
  <c r="BQ205" i="7"/>
  <c r="BP205" i="7"/>
  <c r="BO205"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I204" i="7"/>
  <c r="DH204" i="7"/>
  <c r="DG204" i="7"/>
  <c r="DF204" i="7"/>
  <c r="DE204" i="7"/>
  <c r="DD204" i="7"/>
  <c r="DC204" i="7"/>
  <c r="DB204" i="7"/>
  <c r="DA204" i="7"/>
  <c r="CZ204" i="7"/>
  <c r="CY204" i="7"/>
  <c r="CX204" i="7"/>
  <c r="CW204" i="7"/>
  <c r="CV204" i="7"/>
  <c r="CU204" i="7"/>
  <c r="CT204" i="7"/>
  <c r="CS204" i="7"/>
  <c r="CR204" i="7"/>
  <c r="CQ204" i="7"/>
  <c r="CP204" i="7"/>
  <c r="CO204" i="7"/>
  <c r="CN204" i="7"/>
  <c r="CM204" i="7"/>
  <c r="CL204" i="7"/>
  <c r="CK204" i="7"/>
  <c r="CJ204" i="7"/>
  <c r="CI204" i="7"/>
  <c r="CH204" i="7"/>
  <c r="CG204" i="7"/>
  <c r="CF204" i="7"/>
  <c r="CE204" i="7"/>
  <c r="CD204" i="7"/>
  <c r="CC204" i="7"/>
  <c r="CB204" i="7"/>
  <c r="CA204" i="7"/>
  <c r="BZ204" i="7"/>
  <c r="BY204" i="7"/>
  <c r="BX204" i="7"/>
  <c r="BW204" i="7"/>
  <c r="BV204" i="7"/>
  <c r="BU204" i="7"/>
  <c r="BT204" i="7"/>
  <c r="BS204" i="7"/>
  <c r="BR204" i="7"/>
  <c r="BQ204" i="7"/>
  <c r="BP204" i="7"/>
  <c r="BO204"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I203" i="7"/>
  <c r="DH203" i="7"/>
  <c r="DG203" i="7"/>
  <c r="DF203" i="7"/>
  <c r="DE203" i="7"/>
  <c r="DD203" i="7"/>
  <c r="DC203" i="7"/>
  <c r="DB203" i="7"/>
  <c r="DA203" i="7"/>
  <c r="CZ203" i="7"/>
  <c r="CY203" i="7"/>
  <c r="CX203" i="7"/>
  <c r="CW203" i="7"/>
  <c r="CV203" i="7"/>
  <c r="CU203" i="7"/>
  <c r="CT203" i="7"/>
  <c r="CS203" i="7"/>
  <c r="CR203" i="7"/>
  <c r="CQ203" i="7"/>
  <c r="CP203" i="7"/>
  <c r="CO203" i="7"/>
  <c r="CN203" i="7"/>
  <c r="CM203" i="7"/>
  <c r="CL203" i="7"/>
  <c r="CK203" i="7"/>
  <c r="CJ203" i="7"/>
  <c r="CI203" i="7"/>
  <c r="CH203" i="7"/>
  <c r="CG203" i="7"/>
  <c r="CF203" i="7"/>
  <c r="CE203" i="7"/>
  <c r="CD203" i="7"/>
  <c r="CC203" i="7"/>
  <c r="CB203" i="7"/>
  <c r="CA203" i="7"/>
  <c r="BZ203" i="7"/>
  <c r="BY203" i="7"/>
  <c r="BX203" i="7"/>
  <c r="BW203" i="7"/>
  <c r="BV203" i="7"/>
  <c r="BU203" i="7"/>
  <c r="BT203" i="7"/>
  <c r="BS203" i="7"/>
  <c r="BR203" i="7"/>
  <c r="BQ203" i="7"/>
  <c r="BP203" i="7"/>
  <c r="BO203"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I202" i="7"/>
  <c r="DH202" i="7"/>
  <c r="DG202" i="7"/>
  <c r="DF202" i="7"/>
  <c r="DE202" i="7"/>
  <c r="DD202" i="7"/>
  <c r="DC202" i="7"/>
  <c r="DB202" i="7"/>
  <c r="DA202" i="7"/>
  <c r="CZ202" i="7"/>
  <c r="CY202" i="7"/>
  <c r="CX202" i="7"/>
  <c r="CW202" i="7"/>
  <c r="CV202" i="7"/>
  <c r="CU202" i="7"/>
  <c r="CT202" i="7"/>
  <c r="CS202" i="7"/>
  <c r="CR202" i="7"/>
  <c r="CQ202" i="7"/>
  <c r="CP202" i="7"/>
  <c r="CO202" i="7"/>
  <c r="CN202" i="7"/>
  <c r="CM202" i="7"/>
  <c r="CL202" i="7"/>
  <c r="CK202" i="7"/>
  <c r="CJ202" i="7"/>
  <c r="CI202" i="7"/>
  <c r="CH202" i="7"/>
  <c r="CG202" i="7"/>
  <c r="CF202" i="7"/>
  <c r="CE202" i="7"/>
  <c r="CD202" i="7"/>
  <c r="CC202" i="7"/>
  <c r="CB202" i="7"/>
  <c r="CA202" i="7"/>
  <c r="BZ202" i="7"/>
  <c r="BY202" i="7"/>
  <c r="BX202" i="7"/>
  <c r="BW202" i="7"/>
  <c r="BV202" i="7"/>
  <c r="BU202" i="7"/>
  <c r="BT202" i="7"/>
  <c r="BS202" i="7"/>
  <c r="BR202" i="7"/>
  <c r="BQ202" i="7"/>
  <c r="BP202" i="7"/>
  <c r="BO202"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I201" i="7"/>
  <c r="DH201" i="7"/>
  <c r="DG201" i="7"/>
  <c r="DF201" i="7"/>
  <c r="DE201" i="7"/>
  <c r="DD201" i="7"/>
  <c r="DC201" i="7"/>
  <c r="DB201" i="7"/>
  <c r="DA201" i="7"/>
  <c r="CZ201" i="7"/>
  <c r="CY201" i="7"/>
  <c r="CX201" i="7"/>
  <c r="CW201" i="7"/>
  <c r="CV201" i="7"/>
  <c r="CU201" i="7"/>
  <c r="CT201" i="7"/>
  <c r="CS201" i="7"/>
  <c r="CR201" i="7"/>
  <c r="CQ201" i="7"/>
  <c r="CP201" i="7"/>
  <c r="CO201" i="7"/>
  <c r="CN201" i="7"/>
  <c r="CM201" i="7"/>
  <c r="CL201" i="7"/>
  <c r="CK201" i="7"/>
  <c r="CJ201" i="7"/>
  <c r="CI201" i="7"/>
  <c r="CH201" i="7"/>
  <c r="CG201" i="7"/>
  <c r="CF201" i="7"/>
  <c r="CE201" i="7"/>
  <c r="CD201" i="7"/>
  <c r="CC201" i="7"/>
  <c r="CB201" i="7"/>
  <c r="CA201" i="7"/>
  <c r="BZ201" i="7"/>
  <c r="BY201" i="7"/>
  <c r="BX201" i="7"/>
  <c r="BW201" i="7"/>
  <c r="BV201" i="7"/>
  <c r="BU201" i="7"/>
  <c r="BT201" i="7"/>
  <c r="BS201" i="7"/>
  <c r="BR201" i="7"/>
  <c r="BQ201" i="7"/>
  <c r="BP201" i="7"/>
  <c r="BO201"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I200" i="7"/>
  <c r="DH200" i="7"/>
  <c r="DG200" i="7"/>
  <c r="DF200" i="7"/>
  <c r="DE200" i="7"/>
  <c r="DD200" i="7"/>
  <c r="DC200" i="7"/>
  <c r="DB200" i="7"/>
  <c r="DA200" i="7"/>
  <c r="CZ200" i="7"/>
  <c r="CY200" i="7"/>
  <c r="CX200" i="7"/>
  <c r="CW200" i="7"/>
  <c r="CV200" i="7"/>
  <c r="CU200" i="7"/>
  <c r="CT200" i="7"/>
  <c r="CS200" i="7"/>
  <c r="CR200" i="7"/>
  <c r="CQ200" i="7"/>
  <c r="CP200" i="7"/>
  <c r="CO200" i="7"/>
  <c r="CN200" i="7"/>
  <c r="CM200" i="7"/>
  <c r="CL200" i="7"/>
  <c r="CK200" i="7"/>
  <c r="CJ200" i="7"/>
  <c r="CI200" i="7"/>
  <c r="CH200" i="7"/>
  <c r="CG200" i="7"/>
  <c r="CF200" i="7"/>
  <c r="CE200" i="7"/>
  <c r="CD200" i="7"/>
  <c r="CC200" i="7"/>
  <c r="CB200" i="7"/>
  <c r="CA200" i="7"/>
  <c r="BZ200" i="7"/>
  <c r="BY200" i="7"/>
  <c r="BX200" i="7"/>
  <c r="BW200" i="7"/>
  <c r="BV200" i="7"/>
  <c r="BU200" i="7"/>
  <c r="BT200" i="7"/>
  <c r="BS200" i="7"/>
  <c r="BR200" i="7"/>
  <c r="BQ200" i="7"/>
  <c r="BP200" i="7"/>
  <c r="BO200"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I199" i="7"/>
  <c r="DH199" i="7"/>
  <c r="DG199" i="7"/>
  <c r="DF199" i="7"/>
  <c r="DE199" i="7"/>
  <c r="DD199" i="7"/>
  <c r="DC199" i="7"/>
  <c r="DB199" i="7"/>
  <c r="DA199" i="7"/>
  <c r="CZ199" i="7"/>
  <c r="CY199" i="7"/>
  <c r="CX199" i="7"/>
  <c r="CW199" i="7"/>
  <c r="CV199" i="7"/>
  <c r="CU199" i="7"/>
  <c r="CT199" i="7"/>
  <c r="CS199" i="7"/>
  <c r="CR199" i="7"/>
  <c r="CQ199" i="7"/>
  <c r="CP199" i="7"/>
  <c r="CO199" i="7"/>
  <c r="CN199" i="7"/>
  <c r="CM199" i="7"/>
  <c r="CL199" i="7"/>
  <c r="CK199" i="7"/>
  <c r="CJ199" i="7"/>
  <c r="CI199" i="7"/>
  <c r="CH199" i="7"/>
  <c r="CG199" i="7"/>
  <c r="CF199" i="7"/>
  <c r="CE199" i="7"/>
  <c r="CD199" i="7"/>
  <c r="CC199" i="7"/>
  <c r="CB199" i="7"/>
  <c r="CA199" i="7"/>
  <c r="BZ199" i="7"/>
  <c r="BY199" i="7"/>
  <c r="BX199" i="7"/>
  <c r="BW199" i="7"/>
  <c r="BV199" i="7"/>
  <c r="BU199" i="7"/>
  <c r="BT199" i="7"/>
  <c r="BS199" i="7"/>
  <c r="BR199" i="7"/>
  <c r="BQ199" i="7"/>
  <c r="BP199" i="7"/>
  <c r="BO199"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I198" i="7"/>
  <c r="DH198" i="7"/>
  <c r="DG198" i="7"/>
  <c r="DF198" i="7"/>
  <c r="DE198" i="7"/>
  <c r="DD198" i="7"/>
  <c r="DC198" i="7"/>
  <c r="DB198" i="7"/>
  <c r="DA198" i="7"/>
  <c r="CZ198" i="7"/>
  <c r="CY198" i="7"/>
  <c r="CX198" i="7"/>
  <c r="CW198" i="7"/>
  <c r="CV198" i="7"/>
  <c r="CU198" i="7"/>
  <c r="CT198" i="7"/>
  <c r="CS198" i="7"/>
  <c r="CR198" i="7"/>
  <c r="CQ198" i="7"/>
  <c r="CP198" i="7"/>
  <c r="CO198" i="7"/>
  <c r="CN198" i="7"/>
  <c r="CM198" i="7"/>
  <c r="CL198" i="7"/>
  <c r="CK198" i="7"/>
  <c r="CJ198" i="7"/>
  <c r="CI198" i="7"/>
  <c r="CH198" i="7"/>
  <c r="CG198" i="7"/>
  <c r="CF198" i="7"/>
  <c r="CE198" i="7"/>
  <c r="CD198" i="7"/>
  <c r="CC198" i="7"/>
  <c r="CB198" i="7"/>
  <c r="CA198" i="7"/>
  <c r="BZ198" i="7"/>
  <c r="BY198" i="7"/>
  <c r="BX198" i="7"/>
  <c r="BW198" i="7"/>
  <c r="BV198" i="7"/>
  <c r="BU198" i="7"/>
  <c r="BT198" i="7"/>
  <c r="BS198" i="7"/>
  <c r="BR198" i="7"/>
  <c r="BQ198" i="7"/>
  <c r="BP198" i="7"/>
  <c r="BO198"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I197" i="7"/>
  <c r="DH197" i="7"/>
  <c r="DG197" i="7"/>
  <c r="DF197" i="7"/>
  <c r="DE197" i="7"/>
  <c r="DD197" i="7"/>
  <c r="DC197" i="7"/>
  <c r="DB197" i="7"/>
  <c r="DA197" i="7"/>
  <c r="CZ197" i="7"/>
  <c r="CY197" i="7"/>
  <c r="CX197" i="7"/>
  <c r="CW197" i="7"/>
  <c r="CV197" i="7"/>
  <c r="CU197" i="7"/>
  <c r="CT197" i="7"/>
  <c r="CS197" i="7"/>
  <c r="CR197" i="7"/>
  <c r="CQ197" i="7"/>
  <c r="CP197" i="7"/>
  <c r="CO197" i="7"/>
  <c r="CN197" i="7"/>
  <c r="CM197" i="7"/>
  <c r="CL197" i="7"/>
  <c r="CK197" i="7"/>
  <c r="CJ197" i="7"/>
  <c r="CI197" i="7"/>
  <c r="CH197" i="7"/>
  <c r="CG197" i="7"/>
  <c r="CF197" i="7"/>
  <c r="CE197" i="7"/>
  <c r="CD197" i="7"/>
  <c r="CC197" i="7"/>
  <c r="CB197" i="7"/>
  <c r="CA197" i="7"/>
  <c r="BZ197" i="7"/>
  <c r="BY197" i="7"/>
  <c r="BX197" i="7"/>
  <c r="BW197" i="7"/>
  <c r="BV197" i="7"/>
  <c r="BU197" i="7"/>
  <c r="BT197" i="7"/>
  <c r="BS197" i="7"/>
  <c r="BR197" i="7"/>
  <c r="BQ197" i="7"/>
  <c r="BP197" i="7"/>
  <c r="BO197"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I196" i="7"/>
  <c r="DH196" i="7"/>
  <c r="DG196" i="7"/>
  <c r="DF196" i="7"/>
  <c r="DE196" i="7"/>
  <c r="DD196" i="7"/>
  <c r="DC196" i="7"/>
  <c r="DB196" i="7"/>
  <c r="DA196" i="7"/>
  <c r="CZ196" i="7"/>
  <c r="CY196" i="7"/>
  <c r="CX196" i="7"/>
  <c r="CW196" i="7"/>
  <c r="CV196" i="7"/>
  <c r="CU196" i="7"/>
  <c r="CT196" i="7"/>
  <c r="CS196" i="7"/>
  <c r="CR196" i="7"/>
  <c r="CQ196" i="7"/>
  <c r="CP196" i="7"/>
  <c r="CO196" i="7"/>
  <c r="CN196" i="7"/>
  <c r="CM196" i="7"/>
  <c r="CL196" i="7"/>
  <c r="CK196" i="7"/>
  <c r="CJ196" i="7"/>
  <c r="CI196" i="7"/>
  <c r="CH196" i="7"/>
  <c r="CG196" i="7"/>
  <c r="CF196" i="7"/>
  <c r="CE196" i="7"/>
  <c r="CD196" i="7"/>
  <c r="CC196" i="7"/>
  <c r="CB196" i="7"/>
  <c r="CA196" i="7"/>
  <c r="BZ196" i="7"/>
  <c r="BY196" i="7"/>
  <c r="BX196" i="7"/>
  <c r="BW196" i="7"/>
  <c r="BV196" i="7"/>
  <c r="BU196" i="7"/>
  <c r="BT196" i="7"/>
  <c r="BS196" i="7"/>
  <c r="BR196" i="7"/>
  <c r="BQ196" i="7"/>
  <c r="BP196" i="7"/>
  <c r="BO196"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I195" i="7"/>
  <c r="DH195" i="7"/>
  <c r="DG195" i="7"/>
  <c r="DF195" i="7"/>
  <c r="DE195" i="7"/>
  <c r="DD195" i="7"/>
  <c r="DC195" i="7"/>
  <c r="DB195" i="7"/>
  <c r="DA195" i="7"/>
  <c r="CZ195" i="7"/>
  <c r="CY195" i="7"/>
  <c r="CX195" i="7"/>
  <c r="CW195" i="7"/>
  <c r="CV195" i="7"/>
  <c r="CU195" i="7"/>
  <c r="CT195" i="7"/>
  <c r="CS195" i="7"/>
  <c r="CR195" i="7"/>
  <c r="CQ195" i="7"/>
  <c r="CP195" i="7"/>
  <c r="CO195" i="7"/>
  <c r="CN195" i="7"/>
  <c r="CM195" i="7"/>
  <c r="CL195" i="7"/>
  <c r="CK195" i="7"/>
  <c r="CJ195" i="7"/>
  <c r="CI195" i="7"/>
  <c r="CH195" i="7"/>
  <c r="CG195" i="7"/>
  <c r="CF195" i="7"/>
  <c r="CE195" i="7"/>
  <c r="CD195" i="7"/>
  <c r="CC195" i="7"/>
  <c r="CB195" i="7"/>
  <c r="CA195" i="7"/>
  <c r="BZ195" i="7"/>
  <c r="BY195" i="7"/>
  <c r="BX195" i="7"/>
  <c r="BW195" i="7"/>
  <c r="BV195" i="7"/>
  <c r="BU195" i="7"/>
  <c r="BT195" i="7"/>
  <c r="BS195" i="7"/>
  <c r="BR195" i="7"/>
  <c r="BQ195" i="7"/>
  <c r="BP195" i="7"/>
  <c r="BO195"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I194" i="7"/>
  <c r="DH194" i="7"/>
  <c r="DG194" i="7"/>
  <c r="DF194" i="7"/>
  <c r="DE194" i="7"/>
  <c r="DD194" i="7"/>
  <c r="DC194" i="7"/>
  <c r="DB194" i="7"/>
  <c r="DA194" i="7"/>
  <c r="CZ194" i="7"/>
  <c r="CY194" i="7"/>
  <c r="CX194" i="7"/>
  <c r="CW194" i="7"/>
  <c r="CV194" i="7"/>
  <c r="CU194" i="7"/>
  <c r="CT194" i="7"/>
  <c r="CS194" i="7"/>
  <c r="CR194" i="7"/>
  <c r="CQ194" i="7"/>
  <c r="CP194" i="7"/>
  <c r="CO194" i="7"/>
  <c r="CN194" i="7"/>
  <c r="CM194" i="7"/>
  <c r="CL194" i="7"/>
  <c r="CK194" i="7"/>
  <c r="CJ194" i="7"/>
  <c r="CI194" i="7"/>
  <c r="CH194" i="7"/>
  <c r="CG194" i="7"/>
  <c r="CF194" i="7"/>
  <c r="CE194" i="7"/>
  <c r="CD194" i="7"/>
  <c r="CC194" i="7"/>
  <c r="CB194" i="7"/>
  <c r="CA194" i="7"/>
  <c r="BZ194" i="7"/>
  <c r="BY194" i="7"/>
  <c r="BX194" i="7"/>
  <c r="BW194" i="7"/>
  <c r="BV194" i="7"/>
  <c r="BU194" i="7"/>
  <c r="BT194" i="7"/>
  <c r="BS194" i="7"/>
  <c r="BR194" i="7"/>
  <c r="BQ194" i="7"/>
  <c r="BP194" i="7"/>
  <c r="BO194"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I193" i="7"/>
  <c r="DH193" i="7"/>
  <c r="DG193" i="7"/>
  <c r="DF193" i="7"/>
  <c r="DE193" i="7"/>
  <c r="DD193" i="7"/>
  <c r="DC193" i="7"/>
  <c r="DB193" i="7"/>
  <c r="DA193" i="7"/>
  <c r="CZ193" i="7"/>
  <c r="CY193" i="7"/>
  <c r="CX193" i="7"/>
  <c r="CW193" i="7"/>
  <c r="CV193" i="7"/>
  <c r="CU193" i="7"/>
  <c r="CT193" i="7"/>
  <c r="CS193" i="7"/>
  <c r="CR193" i="7"/>
  <c r="CQ193" i="7"/>
  <c r="CP193" i="7"/>
  <c r="CO193" i="7"/>
  <c r="CN193" i="7"/>
  <c r="CM193" i="7"/>
  <c r="CL193" i="7"/>
  <c r="CK193" i="7"/>
  <c r="CJ193" i="7"/>
  <c r="CI193" i="7"/>
  <c r="CH193" i="7"/>
  <c r="CG193" i="7"/>
  <c r="CF193" i="7"/>
  <c r="CE193" i="7"/>
  <c r="CD193" i="7"/>
  <c r="CC193" i="7"/>
  <c r="CB193" i="7"/>
  <c r="CA193" i="7"/>
  <c r="BZ193" i="7"/>
  <c r="BY193" i="7"/>
  <c r="BX193" i="7"/>
  <c r="BW193" i="7"/>
  <c r="BV193" i="7"/>
  <c r="BU193" i="7"/>
  <c r="BT193" i="7"/>
  <c r="BS193" i="7"/>
  <c r="BR193" i="7"/>
  <c r="BQ193" i="7"/>
  <c r="BP193" i="7"/>
  <c r="BO193"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I192" i="7"/>
  <c r="DH192" i="7"/>
  <c r="DG192" i="7"/>
  <c r="DF192" i="7"/>
  <c r="DE192" i="7"/>
  <c r="DD192" i="7"/>
  <c r="DC192" i="7"/>
  <c r="DB192" i="7"/>
  <c r="DA192" i="7"/>
  <c r="CZ192" i="7"/>
  <c r="CY192" i="7"/>
  <c r="CX192" i="7"/>
  <c r="CW192" i="7"/>
  <c r="CV192" i="7"/>
  <c r="CU192" i="7"/>
  <c r="CT192" i="7"/>
  <c r="CS192" i="7"/>
  <c r="CR192" i="7"/>
  <c r="CQ192" i="7"/>
  <c r="CP192" i="7"/>
  <c r="CO192" i="7"/>
  <c r="CN192" i="7"/>
  <c r="CM192" i="7"/>
  <c r="CL192" i="7"/>
  <c r="CK192" i="7"/>
  <c r="CJ192" i="7"/>
  <c r="CI192" i="7"/>
  <c r="CH192" i="7"/>
  <c r="CG192" i="7"/>
  <c r="CF192" i="7"/>
  <c r="CE192" i="7"/>
  <c r="CD192" i="7"/>
  <c r="CC192" i="7"/>
  <c r="CB192" i="7"/>
  <c r="CA192" i="7"/>
  <c r="BZ192" i="7"/>
  <c r="BY192" i="7"/>
  <c r="BX192" i="7"/>
  <c r="BW192" i="7"/>
  <c r="BV192" i="7"/>
  <c r="BU192" i="7"/>
  <c r="BT192" i="7"/>
  <c r="BS192" i="7"/>
  <c r="BR192" i="7"/>
  <c r="BQ192" i="7"/>
  <c r="BP192" i="7"/>
  <c r="BO192"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I191" i="7"/>
  <c r="DH191" i="7"/>
  <c r="DG191" i="7"/>
  <c r="DF191" i="7"/>
  <c r="DE191" i="7"/>
  <c r="DD191" i="7"/>
  <c r="DC191" i="7"/>
  <c r="DB191" i="7"/>
  <c r="DA191" i="7"/>
  <c r="CZ191" i="7"/>
  <c r="CY191" i="7"/>
  <c r="CX191" i="7"/>
  <c r="CW191" i="7"/>
  <c r="CV191" i="7"/>
  <c r="CU191" i="7"/>
  <c r="CT191" i="7"/>
  <c r="CS191" i="7"/>
  <c r="CR191" i="7"/>
  <c r="CQ191" i="7"/>
  <c r="CP191" i="7"/>
  <c r="CO191" i="7"/>
  <c r="CN191" i="7"/>
  <c r="CM191" i="7"/>
  <c r="CL191" i="7"/>
  <c r="CK191" i="7"/>
  <c r="CJ191" i="7"/>
  <c r="CI191" i="7"/>
  <c r="CH191" i="7"/>
  <c r="CG191" i="7"/>
  <c r="CF191" i="7"/>
  <c r="CE191" i="7"/>
  <c r="CD191" i="7"/>
  <c r="CC191" i="7"/>
  <c r="CB191" i="7"/>
  <c r="CA191" i="7"/>
  <c r="BZ191" i="7"/>
  <c r="BY191" i="7"/>
  <c r="BX191" i="7"/>
  <c r="BW191" i="7"/>
  <c r="BV191" i="7"/>
  <c r="BU191" i="7"/>
  <c r="BT191" i="7"/>
  <c r="BS191" i="7"/>
  <c r="BR191" i="7"/>
  <c r="BQ191" i="7"/>
  <c r="BP191" i="7"/>
  <c r="BO191"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I190" i="7"/>
  <c r="DH190" i="7"/>
  <c r="DG190" i="7"/>
  <c r="DF190" i="7"/>
  <c r="DE190" i="7"/>
  <c r="DD190" i="7"/>
  <c r="DC190" i="7"/>
  <c r="DB190" i="7"/>
  <c r="DA190" i="7"/>
  <c r="CZ190" i="7"/>
  <c r="CY190" i="7"/>
  <c r="CX190" i="7"/>
  <c r="CW190" i="7"/>
  <c r="CV190" i="7"/>
  <c r="CU190" i="7"/>
  <c r="CT190" i="7"/>
  <c r="CS190" i="7"/>
  <c r="CR190" i="7"/>
  <c r="CQ190" i="7"/>
  <c r="CP190" i="7"/>
  <c r="CO190" i="7"/>
  <c r="CN190" i="7"/>
  <c r="CM190" i="7"/>
  <c r="CL190" i="7"/>
  <c r="CK190" i="7"/>
  <c r="CJ190" i="7"/>
  <c r="CI190" i="7"/>
  <c r="CH190" i="7"/>
  <c r="CG190" i="7"/>
  <c r="CF190" i="7"/>
  <c r="CE190" i="7"/>
  <c r="CD190" i="7"/>
  <c r="CC190" i="7"/>
  <c r="CB190" i="7"/>
  <c r="CA190" i="7"/>
  <c r="BZ190" i="7"/>
  <c r="BY190" i="7"/>
  <c r="BX190" i="7"/>
  <c r="BW190" i="7"/>
  <c r="BV190" i="7"/>
  <c r="BU190" i="7"/>
  <c r="BT190" i="7"/>
  <c r="BS190" i="7"/>
  <c r="BR190" i="7"/>
  <c r="BQ190" i="7"/>
  <c r="BP190" i="7"/>
  <c r="BO190"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I189" i="7"/>
  <c r="DH189" i="7"/>
  <c r="DG189" i="7"/>
  <c r="DF189" i="7"/>
  <c r="DE189" i="7"/>
  <c r="DD189" i="7"/>
  <c r="DC189" i="7"/>
  <c r="DB189" i="7"/>
  <c r="DA189" i="7"/>
  <c r="CZ189" i="7"/>
  <c r="CY189" i="7"/>
  <c r="CX189" i="7"/>
  <c r="CW189" i="7"/>
  <c r="CV189" i="7"/>
  <c r="CU189" i="7"/>
  <c r="CT189" i="7"/>
  <c r="CS189" i="7"/>
  <c r="CR189" i="7"/>
  <c r="CQ189" i="7"/>
  <c r="CP189" i="7"/>
  <c r="CO189" i="7"/>
  <c r="CN189" i="7"/>
  <c r="CM189" i="7"/>
  <c r="CL189" i="7"/>
  <c r="CK189" i="7"/>
  <c r="CJ189" i="7"/>
  <c r="CI189" i="7"/>
  <c r="CH189" i="7"/>
  <c r="CG189" i="7"/>
  <c r="CF189" i="7"/>
  <c r="CE189" i="7"/>
  <c r="CD189" i="7"/>
  <c r="CC189" i="7"/>
  <c r="CB189" i="7"/>
  <c r="CA189" i="7"/>
  <c r="BZ189" i="7"/>
  <c r="BY189" i="7"/>
  <c r="BX189" i="7"/>
  <c r="BW189" i="7"/>
  <c r="BV189" i="7"/>
  <c r="BU189" i="7"/>
  <c r="BT189" i="7"/>
  <c r="BS189" i="7"/>
  <c r="BR189" i="7"/>
  <c r="BQ189" i="7"/>
  <c r="BP189" i="7"/>
  <c r="BO189"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I172" i="7" s="1"/>
  <c r="I171" i="7" s="1"/>
  <c r="H189" i="7"/>
  <c r="G189" i="7"/>
  <c r="F189" i="7"/>
  <c r="E189" i="7"/>
  <c r="DI188" i="7"/>
  <c r="DH188" i="7"/>
  <c r="DG188" i="7"/>
  <c r="DF188" i="7"/>
  <c r="DE188" i="7"/>
  <c r="DD188" i="7"/>
  <c r="DC188" i="7"/>
  <c r="DB188" i="7"/>
  <c r="DA188" i="7"/>
  <c r="CZ188" i="7"/>
  <c r="CY188" i="7"/>
  <c r="CX188" i="7"/>
  <c r="CW188" i="7"/>
  <c r="CV188" i="7"/>
  <c r="CU188" i="7"/>
  <c r="CT188" i="7"/>
  <c r="CS188" i="7"/>
  <c r="CR188" i="7"/>
  <c r="CQ188" i="7"/>
  <c r="CP188" i="7"/>
  <c r="CO188" i="7"/>
  <c r="CN188" i="7"/>
  <c r="CM188" i="7"/>
  <c r="CL188" i="7"/>
  <c r="CK188" i="7"/>
  <c r="CJ188" i="7"/>
  <c r="CI188" i="7"/>
  <c r="CH188" i="7"/>
  <c r="CG188" i="7"/>
  <c r="CF188" i="7"/>
  <c r="CE188" i="7"/>
  <c r="CD188" i="7"/>
  <c r="CC188" i="7"/>
  <c r="CB188" i="7"/>
  <c r="CA188" i="7"/>
  <c r="BZ188" i="7"/>
  <c r="BY188" i="7"/>
  <c r="BX188" i="7"/>
  <c r="BW188" i="7"/>
  <c r="BV188" i="7"/>
  <c r="BU188" i="7"/>
  <c r="BT188" i="7"/>
  <c r="BS188" i="7"/>
  <c r="BR188" i="7"/>
  <c r="BQ188" i="7"/>
  <c r="BP188" i="7"/>
  <c r="BO188"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I187" i="7"/>
  <c r="DH187" i="7"/>
  <c r="DG187" i="7"/>
  <c r="DF187" i="7"/>
  <c r="DE187" i="7"/>
  <c r="DD187" i="7"/>
  <c r="DC187" i="7"/>
  <c r="DB187" i="7"/>
  <c r="DA187" i="7"/>
  <c r="CZ187" i="7"/>
  <c r="CY187" i="7"/>
  <c r="CX187" i="7"/>
  <c r="CW187" i="7"/>
  <c r="CV187" i="7"/>
  <c r="CU187" i="7"/>
  <c r="CT187" i="7"/>
  <c r="CS187" i="7"/>
  <c r="CR187" i="7"/>
  <c r="CQ187" i="7"/>
  <c r="CP187" i="7"/>
  <c r="CO187" i="7"/>
  <c r="CN187" i="7"/>
  <c r="CM187" i="7"/>
  <c r="CL187" i="7"/>
  <c r="CK187" i="7"/>
  <c r="CJ187" i="7"/>
  <c r="CI187" i="7"/>
  <c r="CH187" i="7"/>
  <c r="CG187" i="7"/>
  <c r="CF187" i="7"/>
  <c r="CE187" i="7"/>
  <c r="CD187" i="7"/>
  <c r="CC187" i="7"/>
  <c r="CB187" i="7"/>
  <c r="CA187" i="7"/>
  <c r="BZ187" i="7"/>
  <c r="BY187" i="7"/>
  <c r="BX187" i="7"/>
  <c r="BW187" i="7"/>
  <c r="BV187" i="7"/>
  <c r="BU187" i="7"/>
  <c r="BT187" i="7"/>
  <c r="BS187" i="7"/>
  <c r="BR187" i="7"/>
  <c r="BQ187" i="7"/>
  <c r="BP187" i="7"/>
  <c r="BO187"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I186" i="7"/>
  <c r="DH186" i="7"/>
  <c r="DG186" i="7"/>
  <c r="DF186" i="7"/>
  <c r="DE186" i="7"/>
  <c r="DD186" i="7"/>
  <c r="DC186" i="7"/>
  <c r="DB186" i="7"/>
  <c r="DA186" i="7"/>
  <c r="CZ186" i="7"/>
  <c r="CY186" i="7"/>
  <c r="CX186" i="7"/>
  <c r="CW186" i="7"/>
  <c r="CV186" i="7"/>
  <c r="CU186" i="7"/>
  <c r="CT186" i="7"/>
  <c r="CS186" i="7"/>
  <c r="CR186" i="7"/>
  <c r="CQ186" i="7"/>
  <c r="CP186" i="7"/>
  <c r="CO186" i="7"/>
  <c r="CN186" i="7"/>
  <c r="CM186" i="7"/>
  <c r="CL186" i="7"/>
  <c r="CK186" i="7"/>
  <c r="CJ186" i="7"/>
  <c r="CI186" i="7"/>
  <c r="CH186" i="7"/>
  <c r="CG186" i="7"/>
  <c r="CF186" i="7"/>
  <c r="CE186" i="7"/>
  <c r="CD186" i="7"/>
  <c r="CC186" i="7"/>
  <c r="CB186" i="7"/>
  <c r="CA186" i="7"/>
  <c r="BZ186" i="7"/>
  <c r="BY186" i="7"/>
  <c r="BX186" i="7"/>
  <c r="BW186" i="7"/>
  <c r="BV186" i="7"/>
  <c r="BU186" i="7"/>
  <c r="BT186" i="7"/>
  <c r="BS186" i="7"/>
  <c r="BR186" i="7"/>
  <c r="BQ186" i="7"/>
  <c r="BP186" i="7"/>
  <c r="BO186"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I185" i="7"/>
  <c r="DH185" i="7"/>
  <c r="DG185" i="7"/>
  <c r="DF185" i="7"/>
  <c r="DE185" i="7"/>
  <c r="DD185" i="7"/>
  <c r="DC185" i="7"/>
  <c r="DB185" i="7"/>
  <c r="DA185" i="7"/>
  <c r="CZ185" i="7"/>
  <c r="CY185" i="7"/>
  <c r="CX185" i="7"/>
  <c r="CW185" i="7"/>
  <c r="CV185" i="7"/>
  <c r="CU185" i="7"/>
  <c r="CT185" i="7"/>
  <c r="CS185" i="7"/>
  <c r="CR185" i="7"/>
  <c r="CQ185" i="7"/>
  <c r="CP185" i="7"/>
  <c r="CO185" i="7"/>
  <c r="CN185" i="7"/>
  <c r="CM185" i="7"/>
  <c r="CL185" i="7"/>
  <c r="CK185" i="7"/>
  <c r="CJ185" i="7"/>
  <c r="CI185" i="7"/>
  <c r="CH185" i="7"/>
  <c r="CG185" i="7"/>
  <c r="CF185" i="7"/>
  <c r="CE185" i="7"/>
  <c r="CD185" i="7"/>
  <c r="CC185" i="7"/>
  <c r="CB185" i="7"/>
  <c r="CA185" i="7"/>
  <c r="BZ185" i="7"/>
  <c r="BY185" i="7"/>
  <c r="BX185" i="7"/>
  <c r="BW185" i="7"/>
  <c r="BV185" i="7"/>
  <c r="BU185" i="7"/>
  <c r="BT185" i="7"/>
  <c r="BS185" i="7"/>
  <c r="BR185" i="7"/>
  <c r="BQ185" i="7"/>
  <c r="BP185" i="7"/>
  <c r="BO185"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I184" i="7"/>
  <c r="DH184" i="7"/>
  <c r="DG184" i="7"/>
  <c r="DF184" i="7"/>
  <c r="DE184" i="7"/>
  <c r="DD184" i="7"/>
  <c r="DC184" i="7"/>
  <c r="DB184" i="7"/>
  <c r="DA184" i="7"/>
  <c r="CZ184" i="7"/>
  <c r="CY184" i="7"/>
  <c r="CX184" i="7"/>
  <c r="CW184" i="7"/>
  <c r="CV184" i="7"/>
  <c r="CU184" i="7"/>
  <c r="CT184" i="7"/>
  <c r="CS184" i="7"/>
  <c r="CR184" i="7"/>
  <c r="CQ184" i="7"/>
  <c r="CP184" i="7"/>
  <c r="CO184" i="7"/>
  <c r="CN184" i="7"/>
  <c r="CM184" i="7"/>
  <c r="CL184" i="7"/>
  <c r="CK184" i="7"/>
  <c r="CJ184" i="7"/>
  <c r="CI184" i="7"/>
  <c r="CH184" i="7"/>
  <c r="CG184" i="7"/>
  <c r="CF184" i="7"/>
  <c r="CE184" i="7"/>
  <c r="CD184" i="7"/>
  <c r="CC184" i="7"/>
  <c r="CB184" i="7"/>
  <c r="CA184" i="7"/>
  <c r="BZ184" i="7"/>
  <c r="BY184" i="7"/>
  <c r="BX184" i="7"/>
  <c r="BW184" i="7"/>
  <c r="BV184" i="7"/>
  <c r="BU184" i="7"/>
  <c r="BT184" i="7"/>
  <c r="BS184" i="7"/>
  <c r="BR184" i="7"/>
  <c r="BQ184" i="7"/>
  <c r="BP184" i="7"/>
  <c r="BO184"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I183" i="7"/>
  <c r="DH183" i="7"/>
  <c r="DG183" i="7"/>
  <c r="DF183" i="7"/>
  <c r="DE183" i="7"/>
  <c r="DD183" i="7"/>
  <c r="DC183" i="7"/>
  <c r="DB183" i="7"/>
  <c r="DA183" i="7"/>
  <c r="CZ183" i="7"/>
  <c r="CY183" i="7"/>
  <c r="CX183" i="7"/>
  <c r="CW183" i="7"/>
  <c r="CV183" i="7"/>
  <c r="CU183" i="7"/>
  <c r="CT183" i="7"/>
  <c r="CS183" i="7"/>
  <c r="CR183" i="7"/>
  <c r="CQ183" i="7"/>
  <c r="CP183" i="7"/>
  <c r="CO183" i="7"/>
  <c r="CN183" i="7"/>
  <c r="CM183" i="7"/>
  <c r="CL183" i="7"/>
  <c r="CK183" i="7"/>
  <c r="CJ183" i="7"/>
  <c r="CI183" i="7"/>
  <c r="CH183" i="7"/>
  <c r="CG183" i="7"/>
  <c r="CF183" i="7"/>
  <c r="CE183" i="7"/>
  <c r="CD183" i="7"/>
  <c r="CC183" i="7"/>
  <c r="CB183" i="7"/>
  <c r="CA183" i="7"/>
  <c r="BZ183" i="7"/>
  <c r="BY183" i="7"/>
  <c r="BX183" i="7"/>
  <c r="BW183" i="7"/>
  <c r="BV183" i="7"/>
  <c r="BU183" i="7"/>
  <c r="BT183" i="7"/>
  <c r="BS183" i="7"/>
  <c r="BR183" i="7"/>
  <c r="BQ183" i="7"/>
  <c r="BP183" i="7"/>
  <c r="BO183"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I182" i="7"/>
  <c r="DH182" i="7"/>
  <c r="DG182" i="7"/>
  <c r="DF182" i="7"/>
  <c r="DE182" i="7"/>
  <c r="DD182" i="7"/>
  <c r="DC182" i="7"/>
  <c r="DB182" i="7"/>
  <c r="DA182" i="7"/>
  <c r="CZ182" i="7"/>
  <c r="CY182" i="7"/>
  <c r="CX182" i="7"/>
  <c r="CW182" i="7"/>
  <c r="CV182" i="7"/>
  <c r="CU182" i="7"/>
  <c r="CT182" i="7"/>
  <c r="CS182" i="7"/>
  <c r="CR182" i="7"/>
  <c r="CQ182" i="7"/>
  <c r="CP182" i="7"/>
  <c r="CO182" i="7"/>
  <c r="CN182" i="7"/>
  <c r="CM182" i="7"/>
  <c r="CL182" i="7"/>
  <c r="CK182" i="7"/>
  <c r="CJ182" i="7"/>
  <c r="CI182" i="7"/>
  <c r="CH182" i="7"/>
  <c r="CG182" i="7"/>
  <c r="CF182" i="7"/>
  <c r="CE182" i="7"/>
  <c r="CD182" i="7"/>
  <c r="CC182" i="7"/>
  <c r="CB182" i="7"/>
  <c r="CA182" i="7"/>
  <c r="BZ182" i="7"/>
  <c r="BY182" i="7"/>
  <c r="BX182" i="7"/>
  <c r="BW182" i="7"/>
  <c r="BV182" i="7"/>
  <c r="BU182" i="7"/>
  <c r="BT182" i="7"/>
  <c r="BS182" i="7"/>
  <c r="BR182" i="7"/>
  <c r="BQ182" i="7"/>
  <c r="BP182" i="7"/>
  <c r="BO182"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I181" i="7"/>
  <c r="DH181" i="7"/>
  <c r="DG181" i="7"/>
  <c r="DF181" i="7"/>
  <c r="DE181" i="7"/>
  <c r="DD181" i="7"/>
  <c r="DC181" i="7"/>
  <c r="DB181" i="7"/>
  <c r="DA181" i="7"/>
  <c r="CZ181" i="7"/>
  <c r="CY181" i="7"/>
  <c r="CX181" i="7"/>
  <c r="CW181" i="7"/>
  <c r="CV181" i="7"/>
  <c r="CU181" i="7"/>
  <c r="CT181" i="7"/>
  <c r="CS181" i="7"/>
  <c r="CR181" i="7"/>
  <c r="CQ181" i="7"/>
  <c r="CP181" i="7"/>
  <c r="CO181" i="7"/>
  <c r="CN181" i="7"/>
  <c r="CM181" i="7"/>
  <c r="CL181" i="7"/>
  <c r="CK181" i="7"/>
  <c r="CJ181" i="7"/>
  <c r="CI181" i="7"/>
  <c r="CH181" i="7"/>
  <c r="CG181" i="7"/>
  <c r="CF181" i="7"/>
  <c r="CE181" i="7"/>
  <c r="CD181" i="7"/>
  <c r="CC181" i="7"/>
  <c r="CB181" i="7"/>
  <c r="CA181" i="7"/>
  <c r="BZ181" i="7"/>
  <c r="BY181" i="7"/>
  <c r="BX181" i="7"/>
  <c r="BW181" i="7"/>
  <c r="BV181" i="7"/>
  <c r="BU181" i="7"/>
  <c r="BT181" i="7"/>
  <c r="BS181" i="7"/>
  <c r="BR181" i="7"/>
  <c r="BQ181" i="7"/>
  <c r="BP181" i="7"/>
  <c r="BO181"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I180" i="7"/>
  <c r="DH180" i="7"/>
  <c r="DG180" i="7"/>
  <c r="DF180" i="7"/>
  <c r="DE180" i="7"/>
  <c r="DD180" i="7"/>
  <c r="DC180" i="7"/>
  <c r="DB180" i="7"/>
  <c r="DA180" i="7"/>
  <c r="CZ180" i="7"/>
  <c r="CY180" i="7"/>
  <c r="CX180" i="7"/>
  <c r="CW180" i="7"/>
  <c r="CV180" i="7"/>
  <c r="CU180" i="7"/>
  <c r="CT180" i="7"/>
  <c r="CS180" i="7"/>
  <c r="CR180" i="7"/>
  <c r="CQ180" i="7"/>
  <c r="CP180" i="7"/>
  <c r="CO180" i="7"/>
  <c r="CN180" i="7"/>
  <c r="CM180" i="7"/>
  <c r="CL180" i="7"/>
  <c r="CK180" i="7"/>
  <c r="CJ180" i="7"/>
  <c r="CI180" i="7"/>
  <c r="CH180" i="7"/>
  <c r="CG180" i="7"/>
  <c r="CF180" i="7"/>
  <c r="CE180" i="7"/>
  <c r="CD180" i="7"/>
  <c r="CC180" i="7"/>
  <c r="CB180" i="7"/>
  <c r="CA180" i="7"/>
  <c r="BZ180" i="7"/>
  <c r="BY180" i="7"/>
  <c r="BX180" i="7"/>
  <c r="BW180" i="7"/>
  <c r="BV180" i="7"/>
  <c r="BU180" i="7"/>
  <c r="BT180" i="7"/>
  <c r="BS180" i="7"/>
  <c r="BR180" i="7"/>
  <c r="BQ180" i="7"/>
  <c r="BP180" i="7"/>
  <c r="BO180"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I179" i="7"/>
  <c r="DH179" i="7"/>
  <c r="DG179" i="7"/>
  <c r="DF179" i="7"/>
  <c r="DE179" i="7"/>
  <c r="DD179" i="7"/>
  <c r="DC179" i="7"/>
  <c r="DB179" i="7"/>
  <c r="DA179" i="7"/>
  <c r="CZ179" i="7"/>
  <c r="CY179" i="7"/>
  <c r="CX179" i="7"/>
  <c r="CW179" i="7"/>
  <c r="CV179" i="7"/>
  <c r="CU179" i="7"/>
  <c r="CT179" i="7"/>
  <c r="CS179" i="7"/>
  <c r="CR179" i="7"/>
  <c r="CQ179" i="7"/>
  <c r="CP179" i="7"/>
  <c r="CO179" i="7"/>
  <c r="CN179" i="7"/>
  <c r="CM179" i="7"/>
  <c r="CL179" i="7"/>
  <c r="CK179" i="7"/>
  <c r="CJ179" i="7"/>
  <c r="CI179" i="7"/>
  <c r="CH179" i="7"/>
  <c r="CG179" i="7"/>
  <c r="CF179" i="7"/>
  <c r="CE179" i="7"/>
  <c r="CD179" i="7"/>
  <c r="CC179" i="7"/>
  <c r="CB179" i="7"/>
  <c r="CA179" i="7"/>
  <c r="BZ179" i="7"/>
  <c r="BY179" i="7"/>
  <c r="BX179" i="7"/>
  <c r="BW179" i="7"/>
  <c r="BV179" i="7"/>
  <c r="BU179" i="7"/>
  <c r="BT179" i="7"/>
  <c r="BS179" i="7"/>
  <c r="BR179" i="7"/>
  <c r="BQ179" i="7"/>
  <c r="BP179" i="7"/>
  <c r="BO179"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I178" i="7"/>
  <c r="DH178" i="7"/>
  <c r="DG178" i="7"/>
  <c r="DF178" i="7"/>
  <c r="DE178" i="7"/>
  <c r="DD178" i="7"/>
  <c r="DC178" i="7"/>
  <c r="DB178" i="7"/>
  <c r="DA178" i="7"/>
  <c r="CZ178" i="7"/>
  <c r="CY178" i="7"/>
  <c r="CX178" i="7"/>
  <c r="CW178" i="7"/>
  <c r="CV178" i="7"/>
  <c r="CU178" i="7"/>
  <c r="CT178" i="7"/>
  <c r="CS178" i="7"/>
  <c r="CR178" i="7"/>
  <c r="CQ178" i="7"/>
  <c r="CP178" i="7"/>
  <c r="CO178" i="7"/>
  <c r="CN178" i="7"/>
  <c r="CM178" i="7"/>
  <c r="CL178" i="7"/>
  <c r="CK178" i="7"/>
  <c r="CJ178" i="7"/>
  <c r="CI178" i="7"/>
  <c r="CH178" i="7"/>
  <c r="CG178" i="7"/>
  <c r="CF178" i="7"/>
  <c r="CE178" i="7"/>
  <c r="CD178" i="7"/>
  <c r="CC178" i="7"/>
  <c r="CB178" i="7"/>
  <c r="CA178" i="7"/>
  <c r="BZ178" i="7"/>
  <c r="BY178" i="7"/>
  <c r="BX178" i="7"/>
  <c r="BW178" i="7"/>
  <c r="BV178" i="7"/>
  <c r="BU178" i="7"/>
  <c r="BT178" i="7"/>
  <c r="BS178" i="7"/>
  <c r="BR178" i="7"/>
  <c r="BQ178" i="7"/>
  <c r="BP178" i="7"/>
  <c r="BO178"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I177" i="7"/>
  <c r="DH177" i="7"/>
  <c r="DG177" i="7"/>
  <c r="DF177" i="7"/>
  <c r="DE177" i="7"/>
  <c r="DD177" i="7"/>
  <c r="DC177" i="7"/>
  <c r="DB177" i="7"/>
  <c r="DA177" i="7"/>
  <c r="CZ177" i="7"/>
  <c r="CY177" i="7"/>
  <c r="CX177" i="7"/>
  <c r="CW177" i="7"/>
  <c r="CV177" i="7"/>
  <c r="CU177" i="7"/>
  <c r="CT177" i="7"/>
  <c r="CS177" i="7"/>
  <c r="CR177" i="7"/>
  <c r="CQ177" i="7"/>
  <c r="CP177" i="7"/>
  <c r="CO177" i="7"/>
  <c r="CN177" i="7"/>
  <c r="CM177" i="7"/>
  <c r="CL177" i="7"/>
  <c r="CK177" i="7"/>
  <c r="CJ177" i="7"/>
  <c r="CI177" i="7"/>
  <c r="CH177" i="7"/>
  <c r="CG177" i="7"/>
  <c r="CF177" i="7"/>
  <c r="CE177" i="7"/>
  <c r="CD177" i="7"/>
  <c r="CC177" i="7"/>
  <c r="CB177" i="7"/>
  <c r="CA177" i="7"/>
  <c r="BZ177" i="7"/>
  <c r="BY177" i="7"/>
  <c r="BX177" i="7"/>
  <c r="BW177" i="7"/>
  <c r="BV177" i="7"/>
  <c r="BU177" i="7"/>
  <c r="BT177" i="7"/>
  <c r="BS177" i="7"/>
  <c r="BR177" i="7"/>
  <c r="BQ177" i="7"/>
  <c r="BP177" i="7"/>
  <c r="BO177"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I176" i="7"/>
  <c r="DH176" i="7"/>
  <c r="DG176" i="7"/>
  <c r="DF176" i="7"/>
  <c r="DE176" i="7"/>
  <c r="DD176" i="7"/>
  <c r="DC176" i="7"/>
  <c r="DB176" i="7"/>
  <c r="DA176" i="7"/>
  <c r="CZ176" i="7"/>
  <c r="CY176" i="7"/>
  <c r="CX176" i="7"/>
  <c r="CW176" i="7"/>
  <c r="CV176" i="7"/>
  <c r="CU176" i="7"/>
  <c r="CT176" i="7"/>
  <c r="CS176" i="7"/>
  <c r="CR176" i="7"/>
  <c r="CQ176" i="7"/>
  <c r="CP176" i="7"/>
  <c r="CO176" i="7"/>
  <c r="CN176" i="7"/>
  <c r="CM176" i="7"/>
  <c r="CL176" i="7"/>
  <c r="CK176" i="7"/>
  <c r="CJ176" i="7"/>
  <c r="CI176" i="7"/>
  <c r="CH176" i="7"/>
  <c r="CG176" i="7"/>
  <c r="CF176" i="7"/>
  <c r="CE176" i="7"/>
  <c r="CD176" i="7"/>
  <c r="CC176" i="7"/>
  <c r="CB176" i="7"/>
  <c r="CA176" i="7"/>
  <c r="BZ176" i="7"/>
  <c r="BY176" i="7"/>
  <c r="BX176" i="7"/>
  <c r="BW176" i="7"/>
  <c r="BV176" i="7"/>
  <c r="BU176" i="7"/>
  <c r="BT176" i="7"/>
  <c r="BS176" i="7"/>
  <c r="BR176" i="7"/>
  <c r="BQ176" i="7"/>
  <c r="BP176" i="7"/>
  <c r="BO176"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I175" i="7"/>
  <c r="DH175" i="7"/>
  <c r="DG175" i="7"/>
  <c r="DF175" i="7"/>
  <c r="DE175" i="7"/>
  <c r="DD175" i="7"/>
  <c r="DC175" i="7"/>
  <c r="DB175" i="7"/>
  <c r="DA175" i="7"/>
  <c r="CZ175" i="7"/>
  <c r="CY175" i="7"/>
  <c r="CX175" i="7"/>
  <c r="CW175" i="7"/>
  <c r="CV175" i="7"/>
  <c r="CU175" i="7"/>
  <c r="CT175" i="7"/>
  <c r="CS175" i="7"/>
  <c r="CR175" i="7"/>
  <c r="CQ175" i="7"/>
  <c r="CP175" i="7"/>
  <c r="CO175" i="7"/>
  <c r="CN175" i="7"/>
  <c r="CM175" i="7"/>
  <c r="CL175" i="7"/>
  <c r="CK175" i="7"/>
  <c r="CJ175" i="7"/>
  <c r="CI175" i="7"/>
  <c r="CH175" i="7"/>
  <c r="CG175" i="7"/>
  <c r="CF175" i="7"/>
  <c r="CE175" i="7"/>
  <c r="CD175" i="7"/>
  <c r="CC175" i="7"/>
  <c r="CB175" i="7"/>
  <c r="CA175" i="7"/>
  <c r="BZ175" i="7"/>
  <c r="BY175" i="7"/>
  <c r="BX175" i="7"/>
  <c r="BW175" i="7"/>
  <c r="BV175" i="7"/>
  <c r="BU175" i="7"/>
  <c r="BT175" i="7"/>
  <c r="BS175" i="7"/>
  <c r="BR175" i="7"/>
  <c r="BQ175" i="7"/>
  <c r="BP175" i="7"/>
  <c r="BO175"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I174" i="7"/>
  <c r="DH174" i="7"/>
  <c r="DG174" i="7"/>
  <c r="DF174" i="7"/>
  <c r="DE174" i="7"/>
  <c r="DD174" i="7"/>
  <c r="DC174" i="7"/>
  <c r="DB174" i="7"/>
  <c r="DA174" i="7"/>
  <c r="CZ174" i="7"/>
  <c r="CY174" i="7"/>
  <c r="CX174" i="7"/>
  <c r="CW174" i="7"/>
  <c r="CV174" i="7"/>
  <c r="CU174" i="7"/>
  <c r="CT174" i="7"/>
  <c r="CS174" i="7"/>
  <c r="CR174" i="7"/>
  <c r="CQ174" i="7"/>
  <c r="CP174" i="7"/>
  <c r="CO174" i="7"/>
  <c r="CN174" i="7"/>
  <c r="CM174" i="7"/>
  <c r="CL174" i="7"/>
  <c r="CK174" i="7"/>
  <c r="CJ174" i="7"/>
  <c r="CI174" i="7"/>
  <c r="CH174" i="7"/>
  <c r="CG174" i="7"/>
  <c r="CF174" i="7"/>
  <c r="CE174" i="7"/>
  <c r="CD174" i="7"/>
  <c r="CC174" i="7"/>
  <c r="CB174" i="7"/>
  <c r="CA174" i="7"/>
  <c r="BZ174" i="7"/>
  <c r="BY174" i="7"/>
  <c r="BX174" i="7"/>
  <c r="BW174" i="7"/>
  <c r="BV174" i="7"/>
  <c r="BU174" i="7"/>
  <c r="BT174" i="7"/>
  <c r="BS174" i="7"/>
  <c r="BR174" i="7"/>
  <c r="BQ174" i="7"/>
  <c r="BP174" i="7"/>
  <c r="BO174"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I173" i="7"/>
  <c r="DH173" i="7"/>
  <c r="DH172" i="7" s="1"/>
  <c r="DH171" i="7" s="1"/>
  <c r="DG173" i="7"/>
  <c r="DF173" i="7"/>
  <c r="DE173" i="7"/>
  <c r="DE172" i="7" s="1"/>
  <c r="DE171" i="7" s="1"/>
  <c r="DD173" i="7"/>
  <c r="DC173" i="7"/>
  <c r="DC172" i="7" s="1"/>
  <c r="DC171" i="7" s="1"/>
  <c r="DB173" i="7"/>
  <c r="DB172" i="7" s="1"/>
  <c r="DB171" i="7" s="1"/>
  <c r="DA173" i="7"/>
  <c r="CZ173" i="7"/>
  <c r="CY173" i="7"/>
  <c r="CY172" i="7" s="1"/>
  <c r="CY171" i="7" s="1"/>
  <c r="CX173" i="7"/>
  <c r="CW173" i="7"/>
  <c r="CW172" i="7" s="1"/>
  <c r="CW171" i="7" s="1"/>
  <c r="CV173" i="7"/>
  <c r="CV172" i="7" s="1"/>
  <c r="CV171" i="7" s="1"/>
  <c r="CU173" i="7"/>
  <c r="CT173" i="7"/>
  <c r="CT172" i="7" s="1"/>
  <c r="CT171" i="7" s="1"/>
  <c r="CS173" i="7"/>
  <c r="CS172" i="7" s="1"/>
  <c r="CS171" i="7" s="1"/>
  <c r="CR173" i="7"/>
  <c r="CQ173" i="7"/>
  <c r="CQ172" i="7" s="1"/>
  <c r="CQ171" i="7" s="1"/>
  <c r="CP173" i="7"/>
  <c r="CP172" i="7" s="1"/>
  <c r="CP171" i="7" s="1"/>
  <c r="CO173" i="7"/>
  <c r="CN173" i="7"/>
  <c r="CN172" i="7" s="1"/>
  <c r="CN171" i="7" s="1"/>
  <c r="CM173" i="7"/>
  <c r="CM172" i="7" s="1"/>
  <c r="CM171" i="7" s="1"/>
  <c r="CL173" i="7"/>
  <c r="CK173" i="7"/>
  <c r="CK172" i="7" s="1"/>
  <c r="CK171" i="7" s="1"/>
  <c r="CJ173" i="7"/>
  <c r="CJ172" i="7" s="1"/>
  <c r="CJ171" i="7" s="1"/>
  <c r="CI173" i="7"/>
  <c r="CH173" i="7"/>
  <c r="CH172" i="7" s="1"/>
  <c r="CH171" i="7" s="1"/>
  <c r="CG173" i="7"/>
  <c r="CG172" i="7" s="1"/>
  <c r="CG171" i="7" s="1"/>
  <c r="CF173" i="7"/>
  <c r="CE173" i="7"/>
  <c r="CE172" i="7" s="1"/>
  <c r="CE171" i="7" s="1"/>
  <c r="CD173" i="7"/>
  <c r="CD172" i="7" s="1"/>
  <c r="CD171" i="7" s="1"/>
  <c r="CC173" i="7"/>
  <c r="CB173" i="7"/>
  <c r="CB172" i="7" s="1"/>
  <c r="CB171" i="7" s="1"/>
  <c r="CA173" i="7"/>
  <c r="CA172" i="7" s="1"/>
  <c r="CA171" i="7" s="1"/>
  <c r="BZ173" i="7"/>
  <c r="BY173" i="7"/>
  <c r="BY172" i="7" s="1"/>
  <c r="BY171" i="7" s="1"/>
  <c r="BX173" i="7"/>
  <c r="BX172" i="7" s="1"/>
  <c r="BX171" i="7" s="1"/>
  <c r="BW173" i="7"/>
  <c r="BV173" i="7"/>
  <c r="BV172" i="7" s="1"/>
  <c r="BV171" i="7" s="1"/>
  <c r="BU173" i="7"/>
  <c r="BU172" i="7" s="1"/>
  <c r="BU171" i="7" s="1"/>
  <c r="BT173" i="7"/>
  <c r="BS173" i="7"/>
  <c r="BS172" i="7" s="1"/>
  <c r="BS171" i="7" s="1"/>
  <c r="BR173" i="7"/>
  <c r="BR172" i="7" s="1"/>
  <c r="BR171" i="7" s="1"/>
  <c r="BQ173" i="7"/>
  <c r="BP173" i="7"/>
  <c r="BP172" i="7" s="1"/>
  <c r="BP171" i="7" s="1"/>
  <c r="BO173" i="7"/>
  <c r="BO172" i="7" s="1"/>
  <c r="BO171" i="7" s="1"/>
  <c r="BN173" i="7"/>
  <c r="BM173" i="7"/>
  <c r="BL173" i="7"/>
  <c r="BL172" i="7" s="1"/>
  <c r="BL171" i="7" s="1"/>
  <c r="BK173" i="7"/>
  <c r="BJ173" i="7"/>
  <c r="BJ172" i="7" s="1"/>
  <c r="BJ171" i="7" s="1"/>
  <c r="BI173" i="7"/>
  <c r="BI172" i="7" s="1"/>
  <c r="BI171" i="7" s="1"/>
  <c r="BH173" i="7"/>
  <c r="BG173" i="7"/>
  <c r="BF173" i="7"/>
  <c r="BF172" i="7" s="1"/>
  <c r="BF171" i="7" s="1"/>
  <c r="BE173" i="7"/>
  <c r="BD173" i="7"/>
  <c r="BD172" i="7" s="1"/>
  <c r="BD171" i="7" s="1"/>
  <c r="BC173" i="7"/>
  <c r="BC172" i="7" s="1"/>
  <c r="BC171" i="7" s="1"/>
  <c r="BB173" i="7"/>
  <c r="BA173" i="7"/>
  <c r="BA172" i="7" s="1"/>
  <c r="BA171" i="7" s="1"/>
  <c r="AZ173" i="7"/>
  <c r="AZ172" i="7" s="1"/>
  <c r="AZ171" i="7" s="1"/>
  <c r="AY173" i="7"/>
  <c r="AX173" i="7"/>
  <c r="AX172" i="7" s="1"/>
  <c r="AX171" i="7" s="1"/>
  <c r="AW173" i="7"/>
  <c r="AW172" i="7" s="1"/>
  <c r="AW171" i="7" s="1"/>
  <c r="AV173" i="7"/>
  <c r="AU173" i="7"/>
  <c r="AU172" i="7" s="1"/>
  <c r="AU171" i="7" s="1"/>
  <c r="AT173" i="7"/>
  <c r="AT172" i="7" s="1"/>
  <c r="AT171" i="7" s="1"/>
  <c r="AS173" i="7"/>
  <c r="AR173" i="7"/>
  <c r="AR172" i="7" s="1"/>
  <c r="AR171" i="7" s="1"/>
  <c r="AQ173" i="7"/>
  <c r="AQ172" i="7" s="1"/>
  <c r="AQ171" i="7" s="1"/>
  <c r="AP173" i="7"/>
  <c r="AO173" i="7"/>
  <c r="AO172" i="7" s="1"/>
  <c r="AO171" i="7" s="1"/>
  <c r="AN173" i="7"/>
  <c r="AN172" i="7" s="1"/>
  <c r="AN171" i="7" s="1"/>
  <c r="AM173" i="7"/>
  <c r="AL173" i="7"/>
  <c r="AK173" i="7"/>
  <c r="AK172" i="7" s="1"/>
  <c r="AK171" i="7" s="1"/>
  <c r="AJ173" i="7"/>
  <c r="AI173" i="7"/>
  <c r="AI172" i="7" s="1"/>
  <c r="AI171" i="7" s="1"/>
  <c r="AH173" i="7"/>
  <c r="AH172" i="7" s="1"/>
  <c r="AH171" i="7" s="1"/>
  <c r="AG173" i="7"/>
  <c r="AF173" i="7"/>
  <c r="AE173" i="7"/>
  <c r="AE172" i="7" s="1"/>
  <c r="AE171" i="7" s="1"/>
  <c r="AD173" i="7"/>
  <c r="AC173" i="7"/>
  <c r="AC172" i="7" s="1"/>
  <c r="AC171" i="7" s="1"/>
  <c r="AB173" i="7"/>
  <c r="AB172" i="7" s="1"/>
  <c r="AB171" i="7" s="1"/>
  <c r="AA173" i="7"/>
  <c r="Z173" i="7"/>
  <c r="Z172" i="7" s="1"/>
  <c r="Z171" i="7" s="1"/>
  <c r="Y173" i="7"/>
  <c r="Y172" i="7" s="1"/>
  <c r="Y171" i="7" s="1"/>
  <c r="X173" i="7"/>
  <c r="W173" i="7"/>
  <c r="W172" i="7" s="1"/>
  <c r="W171" i="7" s="1"/>
  <c r="V173" i="7"/>
  <c r="V172" i="7" s="1"/>
  <c r="V171" i="7" s="1"/>
  <c r="U173" i="7"/>
  <c r="T173" i="7"/>
  <c r="S173" i="7"/>
  <c r="R173" i="7"/>
  <c r="R172" i="7" s="1"/>
  <c r="R171" i="7" s="1"/>
  <c r="Q173" i="7"/>
  <c r="P173" i="7"/>
  <c r="O173" i="7"/>
  <c r="O172" i="7" s="1"/>
  <c r="O171" i="7" s="1"/>
  <c r="N173" i="7"/>
  <c r="M173" i="7"/>
  <c r="L173" i="7"/>
  <c r="K173" i="7"/>
  <c r="J173" i="7"/>
  <c r="I173" i="7"/>
  <c r="H173" i="7"/>
  <c r="G173" i="7"/>
  <c r="G172" i="7" s="1"/>
  <c r="G171" i="7" s="1"/>
  <c r="F173" i="7"/>
  <c r="F172" i="7" s="1"/>
  <c r="F171" i="7" s="1"/>
  <c r="E173" i="7"/>
  <c r="DI172" i="7"/>
  <c r="DI171" i="7" s="1"/>
  <c r="DG172" i="7"/>
  <c r="DF172" i="7"/>
  <c r="DF171" i="7" s="1"/>
  <c r="DD172" i="7"/>
  <c r="DD171" i="7" s="1"/>
  <c r="DA172" i="7"/>
  <c r="CZ172" i="7"/>
  <c r="CZ171" i="7" s="1"/>
  <c r="CX172" i="7"/>
  <c r="CU172" i="7"/>
  <c r="CU171" i="7" s="1"/>
  <c r="CR172" i="7"/>
  <c r="CO172" i="7"/>
  <c r="CL172" i="7"/>
  <c r="CL171" i="7" s="1"/>
  <c r="CI172" i="7"/>
  <c r="CF172" i="7"/>
  <c r="CC172" i="7"/>
  <c r="CC171" i="7" s="1"/>
  <c r="BZ172" i="7"/>
  <c r="BW172" i="7"/>
  <c r="BT172" i="7"/>
  <c r="BT171" i="7" s="1"/>
  <c r="BQ172" i="7"/>
  <c r="BN172" i="7"/>
  <c r="BM172" i="7"/>
  <c r="BM171" i="7" s="1"/>
  <c r="BK172" i="7"/>
  <c r="BK171" i="7" s="1"/>
  <c r="BH172" i="7"/>
  <c r="BG172" i="7"/>
  <c r="BG171" i="7" s="1"/>
  <c r="BE172" i="7"/>
  <c r="BB172" i="7"/>
  <c r="BB171" i="7" s="1"/>
  <c r="AY172" i="7"/>
  <c r="AV172" i="7"/>
  <c r="AS172" i="7"/>
  <c r="AS171" i="7" s="1"/>
  <c r="AP172" i="7"/>
  <c r="AM172" i="7"/>
  <c r="AL172" i="7"/>
  <c r="AL171" i="7" s="1"/>
  <c r="AJ172" i="7"/>
  <c r="AJ171" i="7" s="1"/>
  <c r="AG172" i="7"/>
  <c r="AG171" i="7" s="1"/>
  <c r="AF172" i="7"/>
  <c r="AF171" i="7" s="1"/>
  <c r="AD172" i="7"/>
  <c r="AA172" i="7"/>
  <c r="AA171" i="7" s="1"/>
  <c r="X172" i="7"/>
  <c r="U172" i="7"/>
  <c r="DG171" i="7"/>
  <c r="DA171" i="7"/>
  <c r="CX171" i="7"/>
  <c r="CR171" i="7"/>
  <c r="CO171" i="7"/>
  <c r="CI171" i="7"/>
  <c r="CF171" i="7"/>
  <c r="BZ171" i="7"/>
  <c r="BW171" i="7"/>
  <c r="BQ171" i="7"/>
  <c r="BN171" i="7"/>
  <c r="BH171" i="7"/>
  <c r="BE171" i="7"/>
  <c r="AY171" i="7"/>
  <c r="AV171" i="7"/>
  <c r="AP171" i="7"/>
  <c r="AM171" i="7"/>
  <c r="AD171" i="7"/>
  <c r="X171" i="7"/>
  <c r="U171" i="7"/>
  <c r="AG111" i="7"/>
  <c r="BY108" i="7"/>
  <c r="Q108" i="7"/>
  <c r="BH105" i="7"/>
  <c r="CZ102" i="7"/>
  <c r="AP102" i="7"/>
  <c r="CH99" i="7"/>
  <c r="Z99" i="7"/>
  <c r="AC96" i="7"/>
  <c r="CN93" i="7"/>
  <c r="AF93" i="7"/>
  <c r="CI90" i="7"/>
  <c r="AT90" i="7"/>
  <c r="F90" i="7"/>
  <c r="CY87" i="7"/>
  <c r="CL87" i="7"/>
  <c r="BX87" i="7"/>
  <c r="BK87" i="7"/>
  <c r="AW87" i="7"/>
  <c r="AJ87" i="7"/>
  <c r="V87" i="7"/>
  <c r="I87" i="7"/>
  <c r="DG84" i="7"/>
  <c r="DB84" i="7"/>
  <c r="CX84" i="7"/>
  <c r="CS84" i="7"/>
  <c r="CO84" i="7"/>
  <c r="CJ84" i="7"/>
  <c r="CF84" i="7"/>
  <c r="CA84" i="7"/>
  <c r="BW84" i="7"/>
  <c r="BR84" i="7"/>
  <c r="BN84" i="7"/>
  <c r="BI84" i="7"/>
  <c r="BE84" i="7"/>
  <c r="AZ84" i="7"/>
  <c r="AV84" i="7"/>
  <c r="AQ84" i="7"/>
  <c r="AM84" i="7"/>
  <c r="AH84" i="7"/>
  <c r="AD84" i="7"/>
  <c r="Y84" i="7"/>
  <c r="U84" i="7"/>
  <c r="P84" i="7"/>
  <c r="L84" i="7"/>
  <c r="G84" i="7"/>
  <c r="CS109" i="7"/>
  <c r="DB100" i="7"/>
  <c r="DB89" i="7"/>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 i="5"/>
  <c r="W58" i="4"/>
  <c r="W57" i="4"/>
  <c r="W53" i="4"/>
  <c r="W52" i="4"/>
  <c r="W73" i="4"/>
  <c r="W65" i="4"/>
  <c r="W64" i="4"/>
  <c r="W60" i="4"/>
  <c r="W59" i="4"/>
  <c r="W51" i="4"/>
  <c r="W50" i="4"/>
  <c r="W49" i="4"/>
  <c r="W48" i="4"/>
  <c r="W47" i="4"/>
  <c r="W46" i="4"/>
  <c r="W42" i="4"/>
  <c r="W41" i="4"/>
  <c r="W40" i="4"/>
  <c r="W39" i="4"/>
  <c r="W35" i="4"/>
  <c r="W36" i="4"/>
  <c r="W37" i="4"/>
  <c r="W38" i="4"/>
  <c r="W33" i="4"/>
  <c r="W34" i="4"/>
  <c r="W31" i="4"/>
  <c r="W32" i="4"/>
  <c r="W30" i="4"/>
  <c r="W25" i="4"/>
  <c r="W26" i="4"/>
  <c r="W27" i="4"/>
  <c r="W19" i="4"/>
  <c r="W20" i="4"/>
  <c r="W21" i="4"/>
  <c r="W29" i="4"/>
  <c r="W28" i="4"/>
  <c r="W24" i="4"/>
  <c r="W23" i="4"/>
  <c r="W22" i="4"/>
  <c r="W18" i="4"/>
  <c r="W17" i="4"/>
  <c r="W16" i="4"/>
  <c r="W15" i="4"/>
  <c r="W14" i="4"/>
  <c r="W13" i="4"/>
  <c r="W12" i="4"/>
  <c r="W11" i="4"/>
  <c r="W10" i="4"/>
  <c r="W9" i="4"/>
  <c r="W8" i="4"/>
  <c r="W7" i="4"/>
  <c r="W69" i="4"/>
  <c r="T172" i="7" l="1"/>
  <c r="T171" i="7" s="1"/>
  <c r="S172" i="7"/>
  <c r="S171" i="7" s="1"/>
  <c r="Q172" i="7"/>
  <c r="Q171" i="7" s="1"/>
  <c r="P172" i="7"/>
  <c r="P171" i="7" s="1"/>
  <c r="N172" i="7"/>
  <c r="N171" i="7" s="1"/>
  <c r="M172" i="7"/>
  <c r="M171" i="7" s="1"/>
  <c r="L172" i="7"/>
  <c r="L171" i="7" s="1"/>
  <c r="K172" i="7"/>
  <c r="K171" i="7" s="1"/>
  <c r="J172" i="7"/>
  <c r="J171" i="7" s="1"/>
  <c r="H172" i="7"/>
  <c r="H171" i="7" s="1"/>
  <c r="F171" i="8"/>
  <c r="F139" i="8"/>
  <c r="E273" i="7"/>
  <c r="E289" i="7"/>
  <c r="G6" i="8"/>
  <c r="G22" i="8"/>
  <c r="G38" i="8"/>
  <c r="G49" i="8"/>
  <c r="G57" i="8"/>
  <c r="G65" i="8"/>
  <c r="F65" i="8" s="1"/>
  <c r="G74" i="8"/>
  <c r="F74" i="8" s="1"/>
  <c r="G82" i="8"/>
  <c r="F82" i="8" s="1"/>
  <c r="G90" i="8"/>
  <c r="F90" i="8" s="1"/>
  <c r="G52" i="8"/>
  <c r="F52" i="8" s="1"/>
  <c r="G60" i="8"/>
  <c r="F60" i="8" s="1"/>
  <c r="F127" i="8"/>
  <c r="G93" i="8"/>
  <c r="F93" i="8" s="1"/>
  <c r="E177" i="7"/>
  <c r="E193" i="7"/>
  <c r="G46" i="8"/>
  <c r="G54" i="8"/>
  <c r="F54" i="8" s="1"/>
  <c r="G62" i="8"/>
  <c r="F62" i="8" s="1"/>
  <c r="G85" i="8"/>
  <c r="F85" i="8" s="1"/>
  <c r="G79" i="8"/>
  <c r="F79" i="8" s="1"/>
  <c r="G87" i="8"/>
  <c r="F87" i="8" s="1"/>
  <c r="G43" i="8"/>
  <c r="F43" i="8" s="1"/>
  <c r="G51" i="8"/>
  <c r="F51" i="8" s="1"/>
  <c r="G59" i="8"/>
  <c r="F59" i="8" s="1"/>
  <c r="G77" i="8"/>
  <c r="F77" i="8" s="1"/>
  <c r="E176" i="7"/>
  <c r="E172" i="7" s="1"/>
  <c r="E171" i="7" s="1"/>
  <c r="E192" i="7"/>
  <c r="E208" i="7"/>
  <c r="G76" i="8"/>
  <c r="F76" i="8" s="1"/>
  <c r="G84" i="8"/>
  <c r="G92" i="8"/>
  <c r="G64" i="8"/>
  <c r="F64" i="8" s="1"/>
  <c r="G73" i="8"/>
  <c r="G81" i="8"/>
  <c r="F81" i="8" s="1"/>
  <c r="G89" i="8"/>
  <c r="F89" i="8" s="1"/>
  <c r="E272" i="7"/>
  <c r="E288" i="7"/>
  <c r="G45" i="8"/>
  <c r="F45" i="8" s="1"/>
  <c r="G53" i="8"/>
  <c r="F53" i="8" s="1"/>
  <c r="G61" i="8"/>
  <c r="F61" i="8" s="1"/>
  <c r="F100" i="8"/>
  <c r="G78" i="8"/>
  <c r="F78" i="8" s="1"/>
  <c r="G86" i="8"/>
  <c r="F86" i="8" s="1"/>
  <c r="G71" i="8"/>
  <c r="F71" i="8" s="1"/>
  <c r="G48" i="8"/>
  <c r="F48" i="8" s="1"/>
  <c r="G42" i="8"/>
  <c r="G50" i="8"/>
  <c r="G58" i="8"/>
  <c r="F58" i="8" s="1"/>
  <c r="G70" i="8"/>
  <c r="F70" i="8" s="1"/>
  <c r="G56" i="8"/>
  <c r="G75" i="8"/>
  <c r="F75" i="8" s="1"/>
  <c r="G83" i="8"/>
  <c r="F83" i="8" s="1"/>
  <c r="G47" i="8"/>
  <c r="F47" i="8" s="1"/>
  <c r="G55" i="8"/>
  <c r="F55" i="8" s="1"/>
  <c r="F158" i="8"/>
  <c r="F162" i="8"/>
  <c r="F167" i="8"/>
  <c r="CV106" i="7"/>
  <c r="DE97" i="7"/>
  <c r="DH87" i="7"/>
  <c r="P113" i="7"/>
  <c r="CR110" i="7"/>
  <c r="CU107" i="7"/>
  <c r="DA101" i="7"/>
  <c r="DH86" i="7"/>
  <c r="G2" i="8"/>
  <c r="F108" i="8"/>
  <c r="F114" i="8"/>
  <c r="F117" i="8"/>
  <c r="F119" i="8"/>
  <c r="F120" i="8"/>
  <c r="F126" i="8"/>
  <c r="CX104" i="7"/>
  <c r="CE102" i="7"/>
  <c r="CK96" i="7"/>
  <c r="BQ96" i="7"/>
  <c r="CB105" i="7"/>
  <c r="BK102" i="7"/>
  <c r="DC99" i="7"/>
  <c r="DI93" i="7"/>
  <c r="DD87" i="7"/>
  <c r="F170" i="8"/>
  <c r="F153" i="8"/>
  <c r="F154" i="8"/>
  <c r="F155" i="8"/>
  <c r="F157" i="8"/>
  <c r="F130" i="8"/>
  <c r="F136" i="8"/>
  <c r="F138" i="8"/>
  <c r="F131" i="8"/>
  <c r="F147" i="8"/>
  <c r="F99" i="8"/>
  <c r="F105" i="8"/>
  <c r="F107" i="8"/>
  <c r="F84" i="8"/>
  <c r="F92" i="8"/>
  <c r="F44" i="8"/>
  <c r="F46" i="8"/>
  <c r="F56" i="8"/>
  <c r="F49" i="8"/>
  <c r="F50" i="8"/>
  <c r="F57" i="8"/>
  <c r="F80" i="8"/>
  <c r="F88" i="8"/>
  <c r="F98" i="8"/>
  <c r="F110" i="8"/>
  <c r="F111" i="8"/>
  <c r="F113" i="8"/>
  <c r="F118" i="8"/>
  <c r="F129" i="8"/>
  <c r="F142" i="8"/>
  <c r="F143" i="8"/>
  <c r="F146" i="8"/>
  <c r="F161" i="8"/>
  <c r="F172" i="8"/>
  <c r="F173" i="8"/>
  <c r="F175" i="8"/>
  <c r="F72" i="8"/>
  <c r="F101" i="8"/>
  <c r="F102" i="8"/>
  <c r="F104" i="8"/>
  <c r="F109" i="8"/>
  <c r="F116" i="8"/>
  <c r="F132" i="8"/>
  <c r="F133" i="8"/>
  <c r="F135" i="8"/>
  <c r="F140" i="8"/>
  <c r="F141" i="8"/>
  <c r="F148" i="8"/>
  <c r="F152" i="8"/>
  <c r="F163" i="8"/>
  <c r="F164" i="8"/>
  <c r="F166" i="8"/>
  <c r="CT108" i="7"/>
  <c r="M87" i="7"/>
  <c r="AA87" i="7"/>
  <c r="AN87" i="7"/>
  <c r="BB87" i="7"/>
  <c r="BO87" i="7"/>
  <c r="CC87" i="7"/>
  <c r="CP87" i="7"/>
  <c r="S90" i="7"/>
  <c r="BH90" i="7"/>
  <c r="AY93" i="7"/>
  <c r="AV96" i="7"/>
  <c r="AS99" i="7"/>
  <c r="T105" i="7"/>
  <c r="R87" i="7"/>
  <c r="AE87" i="7"/>
  <c r="AS87" i="7"/>
  <c r="BF87" i="7"/>
  <c r="BT87" i="7"/>
  <c r="CG87" i="7"/>
  <c r="CU87" i="7"/>
  <c r="AG90" i="7"/>
  <c r="P93" i="7"/>
  <c r="H96" i="7"/>
  <c r="E99" i="7"/>
  <c r="W102" i="7"/>
  <c r="AM105" i="7"/>
  <c r="N111" i="7"/>
  <c r="F42" i="8"/>
  <c r="F73" i="8"/>
  <c r="F91" i="8"/>
  <c r="F103" i="8"/>
  <c r="F112" i="8"/>
  <c r="F125" i="8"/>
  <c r="F134" i="8"/>
  <c r="F144" i="8"/>
  <c r="F156" i="8"/>
  <c r="F165" i="8"/>
  <c r="F174" i="8"/>
  <c r="F63" i="8"/>
  <c r="F97" i="8"/>
  <c r="F106" i="8"/>
  <c r="F115" i="8"/>
  <c r="F128" i="8"/>
  <c r="F137" i="8"/>
  <c r="F159" i="8"/>
  <c r="F168" i="8"/>
  <c r="AK151" i="8"/>
  <c r="AK41" i="8"/>
  <c r="J151" i="8"/>
  <c r="J41" i="8"/>
  <c r="H267" i="7"/>
  <c r="K267" i="7"/>
  <c r="N267" i="7"/>
  <c r="Q267" i="7"/>
  <c r="T267" i="7"/>
  <c r="W267" i="7"/>
  <c r="Z267" i="7"/>
  <c r="AC267" i="7"/>
  <c r="AF267" i="7"/>
  <c r="AI267" i="7"/>
  <c r="AL267" i="7"/>
  <c r="AO267" i="7"/>
  <c r="AR267" i="7"/>
  <c r="DH88" i="7"/>
  <c r="DE88" i="7"/>
  <c r="DB88" i="7"/>
  <c r="CY88" i="7"/>
  <c r="CV88" i="7"/>
  <c r="CS88" i="7"/>
  <c r="CP88" i="7"/>
  <c r="CM88" i="7"/>
  <c r="CJ88" i="7"/>
  <c r="CG88" i="7"/>
  <c r="CD88" i="7"/>
  <c r="CA88" i="7"/>
  <c r="BX88" i="7"/>
  <c r="BU88" i="7"/>
  <c r="BR88" i="7"/>
  <c r="BO88" i="7"/>
  <c r="BL88" i="7"/>
  <c r="BI88" i="7"/>
  <c r="BF88" i="7"/>
  <c r="BC88" i="7"/>
  <c r="AZ88" i="7"/>
  <c r="AW88" i="7"/>
  <c r="AT88" i="7"/>
  <c r="AQ88" i="7"/>
  <c r="AN88" i="7"/>
  <c r="AK88" i="7"/>
  <c r="AH88" i="7"/>
  <c r="AE88" i="7"/>
  <c r="AB88" i="7"/>
  <c r="Y88" i="7"/>
  <c r="V88" i="7"/>
  <c r="S88" i="7"/>
  <c r="P88" i="7"/>
  <c r="M88" i="7"/>
  <c r="J88" i="7"/>
  <c r="G88" i="7"/>
  <c r="DH91" i="7"/>
  <c r="DE91" i="7"/>
  <c r="DB91" i="7"/>
  <c r="CY91" i="7"/>
  <c r="CV91" i="7"/>
  <c r="CS91" i="7"/>
  <c r="CP91" i="7"/>
  <c r="CM91" i="7"/>
  <c r="CJ91" i="7"/>
  <c r="CG91" i="7"/>
  <c r="CD91" i="7"/>
  <c r="CA91" i="7"/>
  <c r="BX91" i="7"/>
  <c r="BU91" i="7"/>
  <c r="BR91" i="7"/>
  <c r="BO91" i="7"/>
  <c r="BL91" i="7"/>
  <c r="BI91" i="7"/>
  <c r="BF91" i="7"/>
  <c r="BC91" i="7"/>
  <c r="AZ91" i="7"/>
  <c r="AW91" i="7"/>
  <c r="AT91" i="7"/>
  <c r="AQ91" i="7"/>
  <c r="AN91" i="7"/>
  <c r="AK91" i="7"/>
  <c r="AH91" i="7"/>
  <c r="AE91" i="7"/>
  <c r="AB91" i="7"/>
  <c r="Y91" i="7"/>
  <c r="V91" i="7"/>
  <c r="S91" i="7"/>
  <c r="P91" i="7"/>
  <c r="M91" i="7"/>
  <c r="J91" i="7"/>
  <c r="G91" i="7"/>
  <c r="DG91" i="7"/>
  <c r="DC91" i="7"/>
  <c r="CX91" i="7"/>
  <c r="CT91" i="7"/>
  <c r="CO91" i="7"/>
  <c r="CK91" i="7"/>
  <c r="CF91" i="7"/>
  <c r="CB91" i="7"/>
  <c r="BW91" i="7"/>
  <c r="BS91" i="7"/>
  <c r="BN91" i="7"/>
  <c r="BJ91" i="7"/>
  <c r="BE91" i="7"/>
  <c r="BA91" i="7"/>
  <c r="AV91" i="7"/>
  <c r="AR91" i="7"/>
  <c r="AM91" i="7"/>
  <c r="AI91" i="7"/>
  <c r="AD91" i="7"/>
  <c r="Z91" i="7"/>
  <c r="U91" i="7"/>
  <c r="Q91" i="7"/>
  <c r="L91" i="7"/>
  <c r="H91" i="7"/>
  <c r="DF91" i="7"/>
  <c r="DA91" i="7"/>
  <c r="CW91" i="7"/>
  <c r="CR91" i="7"/>
  <c r="CN91" i="7"/>
  <c r="CI91" i="7"/>
  <c r="CE91" i="7"/>
  <c r="BZ91" i="7"/>
  <c r="BV91" i="7"/>
  <c r="BQ91" i="7"/>
  <c r="BM91" i="7"/>
  <c r="BH91" i="7"/>
  <c r="BD91" i="7"/>
  <c r="AY91" i="7"/>
  <c r="AU91" i="7"/>
  <c r="AP91" i="7"/>
  <c r="AL91" i="7"/>
  <c r="AG91" i="7"/>
  <c r="AC91" i="7"/>
  <c r="X91" i="7"/>
  <c r="T91" i="7"/>
  <c r="O91" i="7"/>
  <c r="K91" i="7"/>
  <c r="F91" i="7"/>
  <c r="DI92" i="7"/>
  <c r="DE92" i="7"/>
  <c r="CZ92" i="7"/>
  <c r="CV92" i="7"/>
  <c r="CQ92" i="7"/>
  <c r="CM92" i="7"/>
  <c r="CH92" i="7"/>
  <c r="CD92" i="7"/>
  <c r="BY92" i="7"/>
  <c r="BU92" i="7"/>
  <c r="BP92" i="7"/>
  <c r="BL92" i="7"/>
  <c r="BG92" i="7"/>
  <c r="BC92" i="7"/>
  <c r="AX92" i="7"/>
  <c r="AT92" i="7"/>
  <c r="AO92" i="7"/>
  <c r="AK92" i="7"/>
  <c r="AF92" i="7"/>
  <c r="AB92" i="7"/>
  <c r="W92" i="7"/>
  <c r="S92" i="7"/>
  <c r="N92" i="7"/>
  <c r="J92" i="7"/>
  <c r="E92" i="7"/>
  <c r="DH95" i="7"/>
  <c r="DB95" i="7"/>
  <c r="CU95" i="7"/>
  <c r="CO95" i="7"/>
  <c r="CG95" i="7"/>
  <c r="CA95" i="7"/>
  <c r="BT95" i="7"/>
  <c r="BN95" i="7"/>
  <c r="BF95" i="7"/>
  <c r="AZ95" i="7"/>
  <c r="AS95" i="7"/>
  <c r="AM95" i="7"/>
  <c r="AE95" i="7"/>
  <c r="Y95" i="7"/>
  <c r="R95" i="7"/>
  <c r="L95" i="7"/>
  <c r="DG118" i="7"/>
  <c r="DD118" i="7"/>
  <c r="DA118" i="7"/>
  <c r="CX118" i="7"/>
  <c r="CU118" i="7"/>
  <c r="CR118" i="7"/>
  <c r="CO118" i="7"/>
  <c r="CL118" i="7"/>
  <c r="CI118" i="7"/>
  <c r="CF118" i="7"/>
  <c r="CC118" i="7"/>
  <c r="BZ118" i="7"/>
  <c r="BW118" i="7"/>
  <c r="BT118" i="7"/>
  <c r="BQ118" i="7"/>
  <c r="BN118" i="7"/>
  <c r="BK118" i="7"/>
  <c r="BH118" i="7"/>
  <c r="BE118" i="7"/>
  <c r="BB118" i="7"/>
  <c r="AY118" i="7"/>
  <c r="AV118" i="7"/>
  <c r="AS118" i="7"/>
  <c r="AP118" i="7"/>
  <c r="AM118" i="7"/>
  <c r="AJ118" i="7"/>
  <c r="AG118" i="7"/>
  <c r="AD118" i="7"/>
  <c r="AA118" i="7"/>
  <c r="X118" i="7"/>
  <c r="U118" i="7"/>
  <c r="R118" i="7"/>
  <c r="O118" i="7"/>
  <c r="L118" i="7"/>
  <c r="I118" i="7"/>
  <c r="F118" i="7"/>
  <c r="DI118" i="7"/>
  <c r="DE118" i="7"/>
  <c r="CZ118" i="7"/>
  <c r="CV118" i="7"/>
  <c r="CQ118" i="7"/>
  <c r="CM118" i="7"/>
  <c r="CH118" i="7"/>
  <c r="CD118" i="7"/>
  <c r="BY118" i="7"/>
  <c r="BU118" i="7"/>
  <c r="BP118" i="7"/>
  <c r="BL118" i="7"/>
  <c r="BG118" i="7"/>
  <c r="BC118" i="7"/>
  <c r="AX118" i="7"/>
  <c r="AT118" i="7"/>
  <c r="AO118" i="7"/>
  <c r="AK118" i="7"/>
  <c r="AF118" i="7"/>
  <c r="AB118" i="7"/>
  <c r="W118" i="7"/>
  <c r="S118" i="7"/>
  <c r="N118" i="7"/>
  <c r="J118" i="7"/>
  <c r="E118" i="7"/>
  <c r="DH118" i="7"/>
  <c r="DC118" i="7"/>
  <c r="CY118" i="7"/>
  <c r="CT118" i="7"/>
  <c r="CP118" i="7"/>
  <c r="CK118" i="7"/>
  <c r="CG118" i="7"/>
  <c r="CB118" i="7"/>
  <c r="BX118" i="7"/>
  <c r="BS118" i="7"/>
  <c r="BO118" i="7"/>
  <c r="BJ118" i="7"/>
  <c r="BF118" i="7"/>
  <c r="BA118" i="7"/>
  <c r="AW118" i="7"/>
  <c r="AR118" i="7"/>
  <c r="AN118" i="7"/>
  <c r="AI118" i="7"/>
  <c r="AE118" i="7"/>
  <c r="Z118" i="7"/>
  <c r="V118" i="7"/>
  <c r="Q118" i="7"/>
  <c r="M118" i="7"/>
  <c r="H118" i="7"/>
  <c r="DF118" i="7"/>
  <c r="DB118" i="7"/>
  <c r="CW118" i="7"/>
  <c r="CS118" i="7"/>
  <c r="CN118" i="7"/>
  <c r="CJ118" i="7"/>
  <c r="CE118" i="7"/>
  <c r="CA118" i="7"/>
  <c r="BV118" i="7"/>
  <c r="BR118" i="7"/>
  <c r="BM118" i="7"/>
  <c r="BI118" i="7"/>
  <c r="BD118" i="7"/>
  <c r="AZ118" i="7"/>
  <c r="AU118" i="7"/>
  <c r="AQ118" i="7"/>
  <c r="AL118" i="7"/>
  <c r="AH118" i="7"/>
  <c r="AC118" i="7"/>
  <c r="Y118" i="7"/>
  <c r="T118" i="7"/>
  <c r="P118" i="7"/>
  <c r="K118" i="7"/>
  <c r="G118" i="7"/>
  <c r="F85" i="7"/>
  <c r="O85" i="7"/>
  <c r="AC85" i="7"/>
  <c r="AL85" i="7"/>
  <c r="AU85" i="7"/>
  <c r="BD85" i="7"/>
  <c r="BM85" i="7"/>
  <c r="BV85" i="7"/>
  <c r="CE85" i="7"/>
  <c r="CR85" i="7"/>
  <c r="DA85" i="7"/>
  <c r="J86" i="7"/>
  <c r="W86" i="7"/>
  <c r="AF86" i="7"/>
  <c r="AO86" i="7"/>
  <c r="AX86" i="7"/>
  <c r="BG86" i="7"/>
  <c r="BP86" i="7"/>
  <c r="BY86" i="7"/>
  <c r="CH86" i="7"/>
  <c r="CQ86" i="7"/>
  <c r="CZ86" i="7"/>
  <c r="DI86" i="7"/>
  <c r="L88" i="7"/>
  <c r="U88" i="7"/>
  <c r="AD88" i="7"/>
  <c r="AR88" i="7"/>
  <c r="BA88" i="7"/>
  <c r="BJ88" i="7"/>
  <c r="BW88" i="7"/>
  <c r="CK88" i="7"/>
  <c r="CT88" i="7"/>
  <c r="DG88" i="7"/>
  <c r="K89" i="7"/>
  <c r="T89" i="7"/>
  <c r="AC89" i="7"/>
  <c r="AN89" i="7"/>
  <c r="BI89" i="7"/>
  <c r="BV89" i="7"/>
  <c r="CW89" i="7"/>
  <c r="AF91" i="7"/>
  <c r="BT91" i="7"/>
  <c r="CU91" i="7"/>
  <c r="Q92" i="7"/>
  <c r="AR92" i="7"/>
  <c r="BS92" i="7"/>
  <c r="CT92" i="7"/>
  <c r="AR94" i="7"/>
  <c r="CG94" i="7"/>
  <c r="P95" i="7"/>
  <c r="BE95" i="7"/>
  <c r="CS95" i="7"/>
  <c r="AO97" i="7"/>
  <c r="CD97" i="7"/>
  <c r="AG98" i="7"/>
  <c r="BU98" i="7"/>
  <c r="AL100" i="7"/>
  <c r="CA100" i="7"/>
  <c r="J101" i="7"/>
  <c r="AY101" i="7"/>
  <c r="CM101" i="7"/>
  <c r="DG101" i="7"/>
  <c r="AI103" i="7"/>
  <c r="BX103" i="7"/>
  <c r="G104" i="7"/>
  <c r="AV104" i="7"/>
  <c r="CJ104" i="7"/>
  <c r="K106" i="7"/>
  <c r="AZ106" i="7"/>
  <c r="BU106" i="7"/>
  <c r="DI106" i="7"/>
  <c r="AS107" i="7"/>
  <c r="CG107" i="7"/>
  <c r="AC109" i="7"/>
  <c r="DF109" i="7"/>
  <c r="CD110" i="7"/>
  <c r="CG112" i="7"/>
  <c r="DI84" i="7"/>
  <c r="DF84" i="7"/>
  <c r="DC84" i="7"/>
  <c r="CZ84" i="7"/>
  <c r="CW84" i="7"/>
  <c r="CT84" i="7"/>
  <c r="CQ84" i="7"/>
  <c r="CN84" i="7"/>
  <c r="CK84" i="7"/>
  <c r="CH84" i="7"/>
  <c r="CE84" i="7"/>
  <c r="CB84" i="7"/>
  <c r="BY84" i="7"/>
  <c r="BV84" i="7"/>
  <c r="BS84" i="7"/>
  <c r="BP84" i="7"/>
  <c r="BM84" i="7"/>
  <c r="BJ84" i="7"/>
  <c r="BG84" i="7"/>
  <c r="BD84" i="7"/>
  <c r="BA84" i="7"/>
  <c r="AX84" i="7"/>
  <c r="AU84" i="7"/>
  <c r="AR84" i="7"/>
  <c r="AO84" i="7"/>
  <c r="AL84" i="7"/>
  <c r="AI84" i="7"/>
  <c r="AF84" i="7"/>
  <c r="AC84" i="7"/>
  <c r="Z84" i="7"/>
  <c r="W84" i="7"/>
  <c r="T84" i="7"/>
  <c r="Q84" i="7"/>
  <c r="N84" i="7"/>
  <c r="K84" i="7"/>
  <c r="H84" i="7"/>
  <c r="E84" i="7"/>
  <c r="DI87" i="7"/>
  <c r="DF87" i="7"/>
  <c r="DC87" i="7"/>
  <c r="CZ87" i="7"/>
  <c r="CW87" i="7"/>
  <c r="CT87" i="7"/>
  <c r="CQ87" i="7"/>
  <c r="CN87" i="7"/>
  <c r="CK87" i="7"/>
  <c r="CH87" i="7"/>
  <c r="CE87" i="7"/>
  <c r="CB87" i="7"/>
  <c r="BY87" i="7"/>
  <c r="BV87" i="7"/>
  <c r="BS87" i="7"/>
  <c r="BP87" i="7"/>
  <c r="BM87" i="7"/>
  <c r="BJ87" i="7"/>
  <c r="BG87" i="7"/>
  <c r="BD87" i="7"/>
  <c r="BA87" i="7"/>
  <c r="AX87" i="7"/>
  <c r="AU87" i="7"/>
  <c r="AR87" i="7"/>
  <c r="AO87" i="7"/>
  <c r="AL87" i="7"/>
  <c r="AI87" i="7"/>
  <c r="AF87" i="7"/>
  <c r="AC87" i="7"/>
  <c r="Z87" i="7"/>
  <c r="W87" i="7"/>
  <c r="T87" i="7"/>
  <c r="Q87" i="7"/>
  <c r="N87" i="7"/>
  <c r="K87" i="7"/>
  <c r="H87" i="7"/>
  <c r="E87" i="7"/>
  <c r="DI90" i="7"/>
  <c r="DF90" i="7"/>
  <c r="DC90" i="7"/>
  <c r="CZ90" i="7"/>
  <c r="CW90" i="7"/>
  <c r="CT90" i="7"/>
  <c r="CQ90" i="7"/>
  <c r="CN90" i="7"/>
  <c r="CK90" i="7"/>
  <c r="CH90" i="7"/>
  <c r="CE90" i="7"/>
  <c r="CB90" i="7"/>
  <c r="BY90" i="7"/>
  <c r="BV90" i="7"/>
  <c r="BS90" i="7"/>
  <c r="BP90" i="7"/>
  <c r="BM90" i="7"/>
  <c r="BJ90" i="7"/>
  <c r="BG90" i="7"/>
  <c r="BD90" i="7"/>
  <c r="BA90" i="7"/>
  <c r="AX90" i="7"/>
  <c r="AU90" i="7"/>
  <c r="AR90" i="7"/>
  <c r="AO90" i="7"/>
  <c r="AL90" i="7"/>
  <c r="AI90" i="7"/>
  <c r="AF90" i="7"/>
  <c r="AC90" i="7"/>
  <c r="Z90" i="7"/>
  <c r="W90" i="7"/>
  <c r="T90" i="7"/>
  <c r="Q90" i="7"/>
  <c r="N90" i="7"/>
  <c r="K90" i="7"/>
  <c r="H90" i="7"/>
  <c r="E90" i="7"/>
  <c r="DH90" i="7"/>
  <c r="DD90" i="7"/>
  <c r="CY90" i="7"/>
  <c r="CU90" i="7"/>
  <c r="CP90" i="7"/>
  <c r="CL90" i="7"/>
  <c r="CG90" i="7"/>
  <c r="CC90" i="7"/>
  <c r="BX90" i="7"/>
  <c r="BT90" i="7"/>
  <c r="BO90" i="7"/>
  <c r="BK90" i="7"/>
  <c r="BF90" i="7"/>
  <c r="BB90" i="7"/>
  <c r="AW90" i="7"/>
  <c r="AS90" i="7"/>
  <c r="AN90" i="7"/>
  <c r="AJ90" i="7"/>
  <c r="AE90" i="7"/>
  <c r="AA90" i="7"/>
  <c r="V90" i="7"/>
  <c r="R90" i="7"/>
  <c r="M90" i="7"/>
  <c r="I90" i="7"/>
  <c r="DG90" i="7"/>
  <c r="DB90" i="7"/>
  <c r="CX90" i="7"/>
  <c r="CS90" i="7"/>
  <c r="CO90" i="7"/>
  <c r="CJ90" i="7"/>
  <c r="CF90" i="7"/>
  <c r="CA90" i="7"/>
  <c r="BW90" i="7"/>
  <c r="BR90" i="7"/>
  <c r="BN90" i="7"/>
  <c r="BI90" i="7"/>
  <c r="BE90" i="7"/>
  <c r="AZ90" i="7"/>
  <c r="AV90" i="7"/>
  <c r="AQ90" i="7"/>
  <c r="AM90" i="7"/>
  <c r="AH90" i="7"/>
  <c r="AD90" i="7"/>
  <c r="Y90" i="7"/>
  <c r="U90" i="7"/>
  <c r="P90" i="7"/>
  <c r="L90" i="7"/>
  <c r="G90" i="7"/>
  <c r="DH93" i="7"/>
  <c r="DE93" i="7"/>
  <c r="DB93" i="7"/>
  <c r="CY93" i="7"/>
  <c r="CV93" i="7"/>
  <c r="CS93" i="7"/>
  <c r="CP93" i="7"/>
  <c r="CM93" i="7"/>
  <c r="CJ93" i="7"/>
  <c r="CG93" i="7"/>
  <c r="CD93" i="7"/>
  <c r="CA93" i="7"/>
  <c r="BX93" i="7"/>
  <c r="BU93" i="7"/>
  <c r="BR93" i="7"/>
  <c r="BO93" i="7"/>
  <c r="BL93" i="7"/>
  <c r="BI93" i="7"/>
  <c r="BF93" i="7"/>
  <c r="BC93" i="7"/>
  <c r="AZ93" i="7"/>
  <c r="AW93" i="7"/>
  <c r="AT93" i="7"/>
  <c r="AQ93" i="7"/>
  <c r="AN93" i="7"/>
  <c r="AK93" i="7"/>
  <c r="AH93" i="7"/>
  <c r="AE93" i="7"/>
  <c r="AB93" i="7"/>
  <c r="DG93" i="7"/>
  <c r="DC93" i="7"/>
  <c r="CX93" i="7"/>
  <c r="CT93" i="7"/>
  <c r="CO93" i="7"/>
  <c r="CK93" i="7"/>
  <c r="CF93" i="7"/>
  <c r="CB93" i="7"/>
  <c r="BW93" i="7"/>
  <c r="BS93" i="7"/>
  <c r="BN93" i="7"/>
  <c r="BJ93" i="7"/>
  <c r="BE93" i="7"/>
  <c r="BA93" i="7"/>
  <c r="AV93" i="7"/>
  <c r="AR93" i="7"/>
  <c r="AM93" i="7"/>
  <c r="AI93" i="7"/>
  <c r="AD93" i="7"/>
  <c r="Z93" i="7"/>
  <c r="W93" i="7"/>
  <c r="T93" i="7"/>
  <c r="Q93" i="7"/>
  <c r="N93" i="7"/>
  <c r="K93" i="7"/>
  <c r="H93" i="7"/>
  <c r="E93" i="7"/>
  <c r="DF93" i="7"/>
  <c r="CZ93" i="7"/>
  <c r="CR93" i="7"/>
  <c r="CL93" i="7"/>
  <c r="CE93" i="7"/>
  <c r="BY93" i="7"/>
  <c r="BQ93" i="7"/>
  <c r="BK93" i="7"/>
  <c r="BD93" i="7"/>
  <c r="AX93" i="7"/>
  <c r="AP93" i="7"/>
  <c r="AJ93" i="7"/>
  <c r="AC93" i="7"/>
  <c r="X93" i="7"/>
  <c r="S93" i="7"/>
  <c r="O93" i="7"/>
  <c r="J93" i="7"/>
  <c r="F93" i="7"/>
  <c r="DD93" i="7"/>
  <c r="CW93" i="7"/>
  <c r="CQ93" i="7"/>
  <c r="CI93" i="7"/>
  <c r="CC93" i="7"/>
  <c r="BV93" i="7"/>
  <c r="BP93" i="7"/>
  <c r="BH93" i="7"/>
  <c r="BB93" i="7"/>
  <c r="AU93" i="7"/>
  <c r="AO93" i="7"/>
  <c r="AG93" i="7"/>
  <c r="AA93" i="7"/>
  <c r="V93" i="7"/>
  <c r="R93" i="7"/>
  <c r="M93" i="7"/>
  <c r="I93" i="7"/>
  <c r="DH96" i="7"/>
  <c r="DE96" i="7"/>
  <c r="DB96" i="7"/>
  <c r="CY96" i="7"/>
  <c r="CV96" i="7"/>
  <c r="CS96" i="7"/>
  <c r="CP96" i="7"/>
  <c r="CM96" i="7"/>
  <c r="CJ96" i="7"/>
  <c r="CG96" i="7"/>
  <c r="CD96" i="7"/>
  <c r="CA96" i="7"/>
  <c r="BX96" i="7"/>
  <c r="BU96" i="7"/>
  <c r="BR96" i="7"/>
  <c r="BO96" i="7"/>
  <c r="BL96" i="7"/>
  <c r="BI96" i="7"/>
  <c r="BF96" i="7"/>
  <c r="BC96" i="7"/>
  <c r="AZ96" i="7"/>
  <c r="AW96" i="7"/>
  <c r="AT96" i="7"/>
  <c r="AQ96" i="7"/>
  <c r="AN96" i="7"/>
  <c r="AK96" i="7"/>
  <c r="AH96" i="7"/>
  <c r="AE96" i="7"/>
  <c r="AB96" i="7"/>
  <c r="Y96" i="7"/>
  <c r="V96" i="7"/>
  <c r="S96" i="7"/>
  <c r="P96" i="7"/>
  <c r="M96" i="7"/>
  <c r="J96" i="7"/>
  <c r="G96" i="7"/>
  <c r="DI96" i="7"/>
  <c r="DD96" i="7"/>
  <c r="CZ96" i="7"/>
  <c r="CU96" i="7"/>
  <c r="CQ96" i="7"/>
  <c r="CL96" i="7"/>
  <c r="CH96" i="7"/>
  <c r="CC96" i="7"/>
  <c r="BY96" i="7"/>
  <c r="BT96" i="7"/>
  <c r="BP96" i="7"/>
  <c r="BK96" i="7"/>
  <c r="BG96" i="7"/>
  <c r="BB96" i="7"/>
  <c r="AX96" i="7"/>
  <c r="AS96" i="7"/>
  <c r="AO96" i="7"/>
  <c r="AJ96" i="7"/>
  <c r="AF96" i="7"/>
  <c r="AA96" i="7"/>
  <c r="W96" i="7"/>
  <c r="R96" i="7"/>
  <c r="N96" i="7"/>
  <c r="I96" i="7"/>
  <c r="E96" i="7"/>
  <c r="DC96" i="7"/>
  <c r="CW96" i="7"/>
  <c r="CO96" i="7"/>
  <c r="CI96" i="7"/>
  <c r="CB96" i="7"/>
  <c r="BV96" i="7"/>
  <c r="BN96" i="7"/>
  <c r="BH96" i="7"/>
  <c r="BA96" i="7"/>
  <c r="AU96" i="7"/>
  <c r="AM96" i="7"/>
  <c r="AG96" i="7"/>
  <c r="Z96" i="7"/>
  <c r="T96" i="7"/>
  <c r="L96" i="7"/>
  <c r="F96" i="7"/>
  <c r="DG96" i="7"/>
  <c r="DA96" i="7"/>
  <c r="CT96" i="7"/>
  <c r="CN96" i="7"/>
  <c r="CF96" i="7"/>
  <c r="BZ96" i="7"/>
  <c r="BS96" i="7"/>
  <c r="BM96" i="7"/>
  <c r="BE96" i="7"/>
  <c r="AY96" i="7"/>
  <c r="AR96" i="7"/>
  <c r="AL96" i="7"/>
  <c r="AD96" i="7"/>
  <c r="X96" i="7"/>
  <c r="Q96" i="7"/>
  <c r="K96" i="7"/>
  <c r="DH99" i="7"/>
  <c r="DE99" i="7"/>
  <c r="DB99" i="7"/>
  <c r="CY99" i="7"/>
  <c r="CV99" i="7"/>
  <c r="CS99" i="7"/>
  <c r="CP99" i="7"/>
  <c r="CM99" i="7"/>
  <c r="CJ99" i="7"/>
  <c r="CG99" i="7"/>
  <c r="CD99" i="7"/>
  <c r="CA99" i="7"/>
  <c r="BX99" i="7"/>
  <c r="BU99" i="7"/>
  <c r="BR99" i="7"/>
  <c r="BO99" i="7"/>
  <c r="BL99" i="7"/>
  <c r="BI99" i="7"/>
  <c r="BF99" i="7"/>
  <c r="BC99" i="7"/>
  <c r="AZ99" i="7"/>
  <c r="AW99" i="7"/>
  <c r="AT99" i="7"/>
  <c r="AQ99" i="7"/>
  <c r="AN99" i="7"/>
  <c r="AK99" i="7"/>
  <c r="AH99" i="7"/>
  <c r="AE99" i="7"/>
  <c r="AB99" i="7"/>
  <c r="Y99" i="7"/>
  <c r="V99" i="7"/>
  <c r="S99" i="7"/>
  <c r="P99" i="7"/>
  <c r="M99" i="7"/>
  <c r="J99" i="7"/>
  <c r="G99" i="7"/>
  <c r="DF99" i="7"/>
  <c r="DA99" i="7"/>
  <c r="CW99" i="7"/>
  <c r="CR99" i="7"/>
  <c r="CN99" i="7"/>
  <c r="CI99" i="7"/>
  <c r="CE99" i="7"/>
  <c r="BZ99" i="7"/>
  <c r="BV99" i="7"/>
  <c r="BQ99" i="7"/>
  <c r="BM99" i="7"/>
  <c r="BH99" i="7"/>
  <c r="BD99" i="7"/>
  <c r="AY99" i="7"/>
  <c r="AU99" i="7"/>
  <c r="AP99" i="7"/>
  <c r="AL99" i="7"/>
  <c r="AG99" i="7"/>
  <c r="AC99" i="7"/>
  <c r="X99" i="7"/>
  <c r="T99" i="7"/>
  <c r="O99" i="7"/>
  <c r="K99" i="7"/>
  <c r="F99" i="7"/>
  <c r="DG99" i="7"/>
  <c r="CZ99" i="7"/>
  <c r="CT99" i="7"/>
  <c r="CL99" i="7"/>
  <c r="CF99" i="7"/>
  <c r="BY99" i="7"/>
  <c r="BS99" i="7"/>
  <c r="BK99" i="7"/>
  <c r="BE99" i="7"/>
  <c r="AX99" i="7"/>
  <c r="AR99" i="7"/>
  <c r="AJ99" i="7"/>
  <c r="AD99" i="7"/>
  <c r="W99" i="7"/>
  <c r="Q99" i="7"/>
  <c r="I99" i="7"/>
  <c r="DD99" i="7"/>
  <c r="CX99" i="7"/>
  <c r="CQ99" i="7"/>
  <c r="CK99" i="7"/>
  <c r="CC99" i="7"/>
  <c r="BW99" i="7"/>
  <c r="BP99" i="7"/>
  <c r="BJ99" i="7"/>
  <c r="BB99" i="7"/>
  <c r="AV99" i="7"/>
  <c r="AO99" i="7"/>
  <c r="AI99" i="7"/>
  <c r="AA99" i="7"/>
  <c r="U99" i="7"/>
  <c r="N99" i="7"/>
  <c r="H99" i="7"/>
  <c r="DH102" i="7"/>
  <c r="DE102" i="7"/>
  <c r="DB102" i="7"/>
  <c r="CY102" i="7"/>
  <c r="CV102" i="7"/>
  <c r="CS102" i="7"/>
  <c r="CP102" i="7"/>
  <c r="CM102" i="7"/>
  <c r="CJ102" i="7"/>
  <c r="CG102" i="7"/>
  <c r="CD102" i="7"/>
  <c r="CA102" i="7"/>
  <c r="BX102" i="7"/>
  <c r="BU102" i="7"/>
  <c r="BR102" i="7"/>
  <c r="BO102" i="7"/>
  <c r="BL102" i="7"/>
  <c r="BI102" i="7"/>
  <c r="BF102" i="7"/>
  <c r="BC102" i="7"/>
  <c r="AZ102" i="7"/>
  <c r="AW102" i="7"/>
  <c r="AT102" i="7"/>
  <c r="AQ102" i="7"/>
  <c r="AN102" i="7"/>
  <c r="AK102" i="7"/>
  <c r="AH102" i="7"/>
  <c r="AE102" i="7"/>
  <c r="AB102" i="7"/>
  <c r="Y102" i="7"/>
  <c r="V102" i="7"/>
  <c r="S102" i="7"/>
  <c r="P102" i="7"/>
  <c r="M102" i="7"/>
  <c r="J102" i="7"/>
  <c r="G102" i="7"/>
  <c r="DG102" i="7"/>
  <c r="DC102" i="7"/>
  <c r="CX102" i="7"/>
  <c r="CT102" i="7"/>
  <c r="CO102" i="7"/>
  <c r="CK102" i="7"/>
  <c r="CF102" i="7"/>
  <c r="CB102" i="7"/>
  <c r="BW102" i="7"/>
  <c r="BS102" i="7"/>
  <c r="BN102" i="7"/>
  <c r="BJ102" i="7"/>
  <c r="BE102" i="7"/>
  <c r="BA102" i="7"/>
  <c r="AV102" i="7"/>
  <c r="AR102" i="7"/>
  <c r="AM102" i="7"/>
  <c r="AI102" i="7"/>
  <c r="AD102" i="7"/>
  <c r="Z102" i="7"/>
  <c r="U102" i="7"/>
  <c r="Q102" i="7"/>
  <c r="L102" i="7"/>
  <c r="H102" i="7"/>
  <c r="DD102" i="7"/>
  <c r="CW102" i="7"/>
  <c r="CQ102" i="7"/>
  <c r="CI102" i="7"/>
  <c r="CC102" i="7"/>
  <c r="BV102" i="7"/>
  <c r="BP102" i="7"/>
  <c r="BH102" i="7"/>
  <c r="BB102" i="7"/>
  <c r="AU102" i="7"/>
  <c r="AO102" i="7"/>
  <c r="AG102" i="7"/>
  <c r="AA102" i="7"/>
  <c r="T102" i="7"/>
  <c r="N102" i="7"/>
  <c r="F102" i="7"/>
  <c r="DI102" i="7"/>
  <c r="DA102" i="7"/>
  <c r="CU102" i="7"/>
  <c r="CN102" i="7"/>
  <c r="CH102" i="7"/>
  <c r="BZ102" i="7"/>
  <c r="BT102" i="7"/>
  <c r="BM102" i="7"/>
  <c r="BG102" i="7"/>
  <c r="AY102" i="7"/>
  <c r="AS102" i="7"/>
  <c r="AL102" i="7"/>
  <c r="AF102" i="7"/>
  <c r="X102" i="7"/>
  <c r="R102" i="7"/>
  <c r="K102" i="7"/>
  <c r="E102" i="7"/>
  <c r="DH105" i="7"/>
  <c r="DE105" i="7"/>
  <c r="DB105" i="7"/>
  <c r="CY105" i="7"/>
  <c r="CV105" i="7"/>
  <c r="CS105" i="7"/>
  <c r="CP105" i="7"/>
  <c r="CM105" i="7"/>
  <c r="CJ105" i="7"/>
  <c r="CG105" i="7"/>
  <c r="CD105" i="7"/>
  <c r="CA105" i="7"/>
  <c r="BX105" i="7"/>
  <c r="BU105" i="7"/>
  <c r="BR105" i="7"/>
  <c r="BO105" i="7"/>
  <c r="BL105" i="7"/>
  <c r="BI105" i="7"/>
  <c r="BF105" i="7"/>
  <c r="BC105" i="7"/>
  <c r="AZ105" i="7"/>
  <c r="AW105" i="7"/>
  <c r="AT105" i="7"/>
  <c r="AQ105" i="7"/>
  <c r="AN105" i="7"/>
  <c r="AK105" i="7"/>
  <c r="AH105" i="7"/>
  <c r="AE105" i="7"/>
  <c r="AB105" i="7"/>
  <c r="Y105" i="7"/>
  <c r="V105" i="7"/>
  <c r="S105" i="7"/>
  <c r="P105" i="7"/>
  <c r="M105" i="7"/>
  <c r="J105" i="7"/>
  <c r="G105" i="7"/>
  <c r="DI105" i="7"/>
  <c r="DD105" i="7"/>
  <c r="CZ105" i="7"/>
  <c r="CU105" i="7"/>
  <c r="CQ105" i="7"/>
  <c r="CL105" i="7"/>
  <c r="CH105" i="7"/>
  <c r="CC105" i="7"/>
  <c r="BY105" i="7"/>
  <c r="BT105" i="7"/>
  <c r="BP105" i="7"/>
  <c r="BK105" i="7"/>
  <c r="BG105" i="7"/>
  <c r="BB105" i="7"/>
  <c r="AX105" i="7"/>
  <c r="AS105" i="7"/>
  <c r="AO105" i="7"/>
  <c r="AJ105" i="7"/>
  <c r="AF105" i="7"/>
  <c r="AA105" i="7"/>
  <c r="W105" i="7"/>
  <c r="R105" i="7"/>
  <c r="N105" i="7"/>
  <c r="I105" i="7"/>
  <c r="E105" i="7"/>
  <c r="DG105" i="7"/>
  <c r="DA105" i="7"/>
  <c r="CT105" i="7"/>
  <c r="CN105" i="7"/>
  <c r="CF105" i="7"/>
  <c r="BZ105" i="7"/>
  <c r="BS105" i="7"/>
  <c r="BM105" i="7"/>
  <c r="BE105" i="7"/>
  <c r="AY105" i="7"/>
  <c r="AR105" i="7"/>
  <c r="AL105" i="7"/>
  <c r="AD105" i="7"/>
  <c r="X105" i="7"/>
  <c r="Q105" i="7"/>
  <c r="K105" i="7"/>
  <c r="DF105" i="7"/>
  <c r="CX105" i="7"/>
  <c r="CR105" i="7"/>
  <c r="CK105" i="7"/>
  <c r="CE105" i="7"/>
  <c r="BW105" i="7"/>
  <c r="BQ105" i="7"/>
  <c r="BJ105" i="7"/>
  <c r="BD105" i="7"/>
  <c r="AV105" i="7"/>
  <c r="AP105" i="7"/>
  <c r="AI105" i="7"/>
  <c r="AC105" i="7"/>
  <c r="U105" i="7"/>
  <c r="O105" i="7"/>
  <c r="H105" i="7"/>
  <c r="DH108" i="7"/>
  <c r="DE108" i="7"/>
  <c r="DB108" i="7"/>
  <c r="CY108" i="7"/>
  <c r="CV108" i="7"/>
  <c r="CS108" i="7"/>
  <c r="CP108" i="7"/>
  <c r="CM108" i="7"/>
  <c r="CJ108" i="7"/>
  <c r="CG108" i="7"/>
  <c r="CD108" i="7"/>
  <c r="CA108" i="7"/>
  <c r="BX108" i="7"/>
  <c r="BU108" i="7"/>
  <c r="BR108" i="7"/>
  <c r="BO108" i="7"/>
  <c r="BL108" i="7"/>
  <c r="BI108" i="7"/>
  <c r="BF108" i="7"/>
  <c r="BC108" i="7"/>
  <c r="AZ108" i="7"/>
  <c r="AW108" i="7"/>
  <c r="AT108" i="7"/>
  <c r="AQ108" i="7"/>
  <c r="AN108" i="7"/>
  <c r="AK108" i="7"/>
  <c r="AH108" i="7"/>
  <c r="AE108" i="7"/>
  <c r="AB108" i="7"/>
  <c r="Y108" i="7"/>
  <c r="V108" i="7"/>
  <c r="S108" i="7"/>
  <c r="P108" i="7"/>
  <c r="M108" i="7"/>
  <c r="J108" i="7"/>
  <c r="G108" i="7"/>
  <c r="DF108" i="7"/>
  <c r="DA108" i="7"/>
  <c r="CW108" i="7"/>
  <c r="CR108" i="7"/>
  <c r="CN108" i="7"/>
  <c r="CI108" i="7"/>
  <c r="CE108" i="7"/>
  <c r="BZ108" i="7"/>
  <c r="BV108" i="7"/>
  <c r="BQ108" i="7"/>
  <c r="BM108" i="7"/>
  <c r="BH108" i="7"/>
  <c r="BD108" i="7"/>
  <c r="AY108" i="7"/>
  <c r="AU108" i="7"/>
  <c r="AP108" i="7"/>
  <c r="AL108" i="7"/>
  <c r="AG108" i="7"/>
  <c r="AC108" i="7"/>
  <c r="X108" i="7"/>
  <c r="T108" i="7"/>
  <c r="O108" i="7"/>
  <c r="K108" i="7"/>
  <c r="F108" i="7"/>
  <c r="DD108" i="7"/>
  <c r="CX108" i="7"/>
  <c r="CQ108" i="7"/>
  <c r="CK108" i="7"/>
  <c r="CC108" i="7"/>
  <c r="BW108" i="7"/>
  <c r="BP108" i="7"/>
  <c r="BJ108" i="7"/>
  <c r="BB108" i="7"/>
  <c r="AV108" i="7"/>
  <c r="AO108" i="7"/>
  <c r="AI108" i="7"/>
  <c r="AA108" i="7"/>
  <c r="U108" i="7"/>
  <c r="N108" i="7"/>
  <c r="H108" i="7"/>
  <c r="DI108" i="7"/>
  <c r="DC108" i="7"/>
  <c r="CU108" i="7"/>
  <c r="CO108" i="7"/>
  <c r="CH108" i="7"/>
  <c r="CB108" i="7"/>
  <c r="BT108" i="7"/>
  <c r="BN108" i="7"/>
  <c r="BG108" i="7"/>
  <c r="BA108" i="7"/>
  <c r="AS108" i="7"/>
  <c r="AM108" i="7"/>
  <c r="AF108" i="7"/>
  <c r="Z108" i="7"/>
  <c r="R108" i="7"/>
  <c r="L108" i="7"/>
  <c r="E108" i="7"/>
  <c r="DH111" i="7"/>
  <c r="DE111" i="7"/>
  <c r="DB111" i="7"/>
  <c r="CY111" i="7"/>
  <c r="CV111" i="7"/>
  <c r="CS111" i="7"/>
  <c r="CP111" i="7"/>
  <c r="CM111" i="7"/>
  <c r="CJ111" i="7"/>
  <c r="CG111" i="7"/>
  <c r="CD111" i="7"/>
  <c r="CA111" i="7"/>
  <c r="BX111" i="7"/>
  <c r="BU111" i="7"/>
  <c r="BR111" i="7"/>
  <c r="BO111" i="7"/>
  <c r="BL111" i="7"/>
  <c r="BI111" i="7"/>
  <c r="BF111" i="7"/>
  <c r="BC111" i="7"/>
  <c r="AZ111" i="7"/>
  <c r="AW111" i="7"/>
  <c r="AT111" i="7"/>
  <c r="AQ111" i="7"/>
  <c r="AN111" i="7"/>
  <c r="AK111" i="7"/>
  <c r="AH111" i="7"/>
  <c r="AE111" i="7"/>
  <c r="AB111" i="7"/>
  <c r="Y111" i="7"/>
  <c r="V111" i="7"/>
  <c r="S111" i="7"/>
  <c r="P111" i="7"/>
  <c r="M111" i="7"/>
  <c r="J111" i="7"/>
  <c r="G111" i="7"/>
  <c r="DG111" i="7"/>
  <c r="DC111" i="7"/>
  <c r="CX111" i="7"/>
  <c r="CT111" i="7"/>
  <c r="CO111" i="7"/>
  <c r="CK111" i="7"/>
  <c r="CF111" i="7"/>
  <c r="CB111" i="7"/>
  <c r="BW111" i="7"/>
  <c r="BS111" i="7"/>
  <c r="BN111" i="7"/>
  <c r="BJ111" i="7"/>
  <c r="BE111" i="7"/>
  <c r="BA111" i="7"/>
  <c r="AV111" i="7"/>
  <c r="AR111" i="7"/>
  <c r="AM111" i="7"/>
  <c r="AI111" i="7"/>
  <c r="AD111" i="7"/>
  <c r="Z111" i="7"/>
  <c r="U111" i="7"/>
  <c r="Q111" i="7"/>
  <c r="L111" i="7"/>
  <c r="H111" i="7"/>
  <c r="DF111" i="7"/>
  <c r="DA111" i="7"/>
  <c r="CW111" i="7"/>
  <c r="CR111" i="7"/>
  <c r="CN111" i="7"/>
  <c r="CI111" i="7"/>
  <c r="CE111" i="7"/>
  <c r="BZ111" i="7"/>
  <c r="BV111" i="7"/>
  <c r="BQ111" i="7"/>
  <c r="BM111" i="7"/>
  <c r="BH111" i="7"/>
  <c r="BD111" i="7"/>
  <c r="AY111" i="7"/>
  <c r="AU111" i="7"/>
  <c r="AP111" i="7"/>
  <c r="AL111" i="7"/>
  <c r="DD111" i="7"/>
  <c r="CQ111" i="7"/>
  <c r="CC111" i="7"/>
  <c r="BP111" i="7"/>
  <c r="BB111" i="7"/>
  <c r="AO111" i="7"/>
  <c r="AF111" i="7"/>
  <c r="X111" i="7"/>
  <c r="R111" i="7"/>
  <c r="K111" i="7"/>
  <c r="E111" i="7"/>
  <c r="CZ111" i="7"/>
  <c r="CL111" i="7"/>
  <c r="BY111" i="7"/>
  <c r="BK111" i="7"/>
  <c r="AX111" i="7"/>
  <c r="AJ111" i="7"/>
  <c r="AC111" i="7"/>
  <c r="W111" i="7"/>
  <c r="O111" i="7"/>
  <c r="I111" i="7"/>
  <c r="DH114" i="7"/>
  <c r="DE114" i="7"/>
  <c r="DB114" i="7"/>
  <c r="CY114" i="7"/>
  <c r="CV114" i="7"/>
  <c r="CS114" i="7"/>
  <c r="CP114" i="7"/>
  <c r="CM114" i="7"/>
  <c r="CJ114" i="7"/>
  <c r="CG114" i="7"/>
  <c r="CD114" i="7"/>
  <c r="CA114" i="7"/>
  <c r="BX114" i="7"/>
  <c r="BU114" i="7"/>
  <c r="BR114" i="7"/>
  <c r="BO114" i="7"/>
  <c r="BL114" i="7"/>
  <c r="BI114" i="7"/>
  <c r="BF114" i="7"/>
  <c r="BC114" i="7"/>
  <c r="AZ114" i="7"/>
  <c r="AW114" i="7"/>
  <c r="AT114" i="7"/>
  <c r="AQ114" i="7"/>
  <c r="AN114" i="7"/>
  <c r="AK114" i="7"/>
  <c r="AH114" i="7"/>
  <c r="AE114" i="7"/>
  <c r="AB114" i="7"/>
  <c r="Y114" i="7"/>
  <c r="V114" i="7"/>
  <c r="S114" i="7"/>
  <c r="P114" i="7"/>
  <c r="M114" i="7"/>
  <c r="J114" i="7"/>
  <c r="G114" i="7"/>
  <c r="DI114" i="7"/>
  <c r="DD114" i="7"/>
  <c r="CZ114" i="7"/>
  <c r="CU114" i="7"/>
  <c r="CQ114" i="7"/>
  <c r="CL114" i="7"/>
  <c r="CH114" i="7"/>
  <c r="CC114" i="7"/>
  <c r="BY114" i="7"/>
  <c r="BT114" i="7"/>
  <c r="BP114" i="7"/>
  <c r="BK114" i="7"/>
  <c r="BG114" i="7"/>
  <c r="BB114" i="7"/>
  <c r="AX114" i="7"/>
  <c r="AS114" i="7"/>
  <c r="AO114" i="7"/>
  <c r="AJ114" i="7"/>
  <c r="AF114" i="7"/>
  <c r="AA114" i="7"/>
  <c r="W114" i="7"/>
  <c r="R114" i="7"/>
  <c r="N114" i="7"/>
  <c r="I114" i="7"/>
  <c r="E114" i="7"/>
  <c r="DG114" i="7"/>
  <c r="DC114" i="7"/>
  <c r="CX114" i="7"/>
  <c r="CT114" i="7"/>
  <c r="CO114" i="7"/>
  <c r="CK114" i="7"/>
  <c r="CF114" i="7"/>
  <c r="CB114" i="7"/>
  <c r="BW114" i="7"/>
  <c r="BS114" i="7"/>
  <c r="BN114" i="7"/>
  <c r="BJ114" i="7"/>
  <c r="BE114" i="7"/>
  <c r="BA114" i="7"/>
  <c r="AV114" i="7"/>
  <c r="AR114" i="7"/>
  <c r="AM114" i="7"/>
  <c r="AI114" i="7"/>
  <c r="AD114" i="7"/>
  <c r="Z114" i="7"/>
  <c r="U114" i="7"/>
  <c r="Q114" i="7"/>
  <c r="L114" i="7"/>
  <c r="H114" i="7"/>
  <c r="DF114" i="7"/>
  <c r="DA114" i="7"/>
  <c r="CW114" i="7"/>
  <c r="CR114" i="7"/>
  <c r="CN114" i="7"/>
  <c r="CI114" i="7"/>
  <c r="CE114" i="7"/>
  <c r="BZ114" i="7"/>
  <c r="BV114" i="7"/>
  <c r="BQ114" i="7"/>
  <c r="BM114" i="7"/>
  <c r="BH114" i="7"/>
  <c r="BD114" i="7"/>
  <c r="AY114" i="7"/>
  <c r="AU114" i="7"/>
  <c r="AP114" i="7"/>
  <c r="AL114" i="7"/>
  <c r="AG114" i="7"/>
  <c r="AC114" i="7"/>
  <c r="X114" i="7"/>
  <c r="T114" i="7"/>
  <c r="O114" i="7"/>
  <c r="K114" i="7"/>
  <c r="F114" i="7"/>
  <c r="DH117" i="7"/>
  <c r="DE117" i="7"/>
  <c r="DB117" i="7"/>
  <c r="CY117" i="7"/>
  <c r="CV117" i="7"/>
  <c r="CS117" i="7"/>
  <c r="CP117" i="7"/>
  <c r="CM117" i="7"/>
  <c r="CJ117" i="7"/>
  <c r="CG117" i="7"/>
  <c r="CD117" i="7"/>
  <c r="CA117" i="7"/>
  <c r="BX117" i="7"/>
  <c r="BU117" i="7"/>
  <c r="BR117" i="7"/>
  <c r="BO117" i="7"/>
  <c r="BL117" i="7"/>
  <c r="BI117" i="7"/>
  <c r="BF117" i="7"/>
  <c r="BC117" i="7"/>
  <c r="AZ117" i="7"/>
  <c r="AW117" i="7"/>
  <c r="AT117" i="7"/>
  <c r="AQ117" i="7"/>
  <c r="AN117" i="7"/>
  <c r="AK117" i="7"/>
  <c r="AH117" i="7"/>
  <c r="AE117" i="7"/>
  <c r="AB117" i="7"/>
  <c r="Y117" i="7"/>
  <c r="V117" i="7"/>
  <c r="S117" i="7"/>
  <c r="P117" i="7"/>
  <c r="M117" i="7"/>
  <c r="J117" i="7"/>
  <c r="G117" i="7"/>
  <c r="DF117" i="7"/>
  <c r="DA117" i="7"/>
  <c r="CW117" i="7"/>
  <c r="CR117" i="7"/>
  <c r="CN117" i="7"/>
  <c r="CI117" i="7"/>
  <c r="CE117" i="7"/>
  <c r="BZ117" i="7"/>
  <c r="BV117" i="7"/>
  <c r="BQ117" i="7"/>
  <c r="BM117" i="7"/>
  <c r="BH117" i="7"/>
  <c r="BD117" i="7"/>
  <c r="AY117" i="7"/>
  <c r="AU117" i="7"/>
  <c r="AP117" i="7"/>
  <c r="AL117" i="7"/>
  <c r="AG117" i="7"/>
  <c r="AC117" i="7"/>
  <c r="X117" i="7"/>
  <c r="T117" i="7"/>
  <c r="O117" i="7"/>
  <c r="K117" i="7"/>
  <c r="F117" i="7"/>
  <c r="DI117" i="7"/>
  <c r="DD117" i="7"/>
  <c r="CZ117" i="7"/>
  <c r="CU117" i="7"/>
  <c r="CQ117" i="7"/>
  <c r="CL117" i="7"/>
  <c r="CH117" i="7"/>
  <c r="CC117" i="7"/>
  <c r="BY117" i="7"/>
  <c r="BT117" i="7"/>
  <c r="BP117" i="7"/>
  <c r="BK117" i="7"/>
  <c r="BG117" i="7"/>
  <c r="BB117" i="7"/>
  <c r="AX117" i="7"/>
  <c r="AS117" i="7"/>
  <c r="AO117" i="7"/>
  <c r="AJ117" i="7"/>
  <c r="AF117" i="7"/>
  <c r="AA117" i="7"/>
  <c r="W117" i="7"/>
  <c r="R117" i="7"/>
  <c r="N117" i="7"/>
  <c r="I117" i="7"/>
  <c r="E117" i="7"/>
  <c r="DG117" i="7"/>
  <c r="DC117" i="7"/>
  <c r="CX117" i="7"/>
  <c r="CT117" i="7"/>
  <c r="CO117" i="7"/>
  <c r="CK117" i="7"/>
  <c r="CF117" i="7"/>
  <c r="CB117" i="7"/>
  <c r="BW117" i="7"/>
  <c r="BS117" i="7"/>
  <c r="BN117" i="7"/>
  <c r="BJ117" i="7"/>
  <c r="BE117" i="7"/>
  <c r="BA117" i="7"/>
  <c r="AV117" i="7"/>
  <c r="AR117" i="7"/>
  <c r="AM117" i="7"/>
  <c r="AI117" i="7"/>
  <c r="AD117" i="7"/>
  <c r="Z117" i="7"/>
  <c r="U117" i="7"/>
  <c r="Q117" i="7"/>
  <c r="L117" i="7"/>
  <c r="H117" i="7"/>
  <c r="I84" i="7"/>
  <c r="M84" i="7"/>
  <c r="R84" i="7"/>
  <c r="V84" i="7"/>
  <c r="AA84" i="7"/>
  <c r="AE84" i="7"/>
  <c r="AJ84" i="7"/>
  <c r="AN84" i="7"/>
  <c r="AS84" i="7"/>
  <c r="AW84" i="7"/>
  <c r="BB84" i="7"/>
  <c r="BF84" i="7"/>
  <c r="BK84" i="7"/>
  <c r="BO84" i="7"/>
  <c r="BT84" i="7"/>
  <c r="BX84" i="7"/>
  <c r="CC84" i="7"/>
  <c r="CG84" i="7"/>
  <c r="CL84" i="7"/>
  <c r="CP84" i="7"/>
  <c r="CU84" i="7"/>
  <c r="CY84" i="7"/>
  <c r="DD84" i="7"/>
  <c r="DH84" i="7"/>
  <c r="H85" i="7"/>
  <c r="L85" i="7"/>
  <c r="Q85" i="7"/>
  <c r="U85" i="7"/>
  <c r="Z85" i="7"/>
  <c r="AD85" i="7"/>
  <c r="AI85" i="7"/>
  <c r="AM85" i="7"/>
  <c r="AR85" i="7"/>
  <c r="AV85" i="7"/>
  <c r="BA85" i="7"/>
  <c r="BE85" i="7"/>
  <c r="BJ85" i="7"/>
  <c r="BN85" i="7"/>
  <c r="BS85" i="7"/>
  <c r="BW85" i="7"/>
  <c r="CB85" i="7"/>
  <c r="CF85" i="7"/>
  <c r="CK85" i="7"/>
  <c r="CO85" i="7"/>
  <c r="CT85" i="7"/>
  <c r="CX85" i="7"/>
  <c r="DC85" i="7"/>
  <c r="G86" i="7"/>
  <c r="K86" i="7"/>
  <c r="P86" i="7"/>
  <c r="T86" i="7"/>
  <c r="Y86" i="7"/>
  <c r="AC86" i="7"/>
  <c r="AH86" i="7"/>
  <c r="AL86" i="7"/>
  <c r="AQ86" i="7"/>
  <c r="AU86" i="7"/>
  <c r="AZ86" i="7"/>
  <c r="BD86" i="7"/>
  <c r="BI86" i="7"/>
  <c r="BM86" i="7"/>
  <c r="BR86" i="7"/>
  <c r="BV86" i="7"/>
  <c r="CA86" i="7"/>
  <c r="CE86" i="7"/>
  <c r="CJ86" i="7"/>
  <c r="CN86" i="7"/>
  <c r="CS86" i="7"/>
  <c r="CW86" i="7"/>
  <c r="DB86" i="7"/>
  <c r="DF86" i="7"/>
  <c r="F87" i="7"/>
  <c r="J87" i="7"/>
  <c r="O87" i="7"/>
  <c r="S87" i="7"/>
  <c r="X87" i="7"/>
  <c r="AB87" i="7"/>
  <c r="AG87" i="7"/>
  <c r="AK87" i="7"/>
  <c r="AP87" i="7"/>
  <c r="AT87" i="7"/>
  <c r="AY87" i="7"/>
  <c r="BC87" i="7"/>
  <c r="BH87" i="7"/>
  <c r="BL87" i="7"/>
  <c r="BQ87" i="7"/>
  <c r="BU87" i="7"/>
  <c r="BZ87" i="7"/>
  <c r="CD87" i="7"/>
  <c r="CI87" i="7"/>
  <c r="CM87" i="7"/>
  <c r="CR87" i="7"/>
  <c r="CV87" i="7"/>
  <c r="DA87" i="7"/>
  <c r="DE87" i="7"/>
  <c r="E88" i="7"/>
  <c r="I88" i="7"/>
  <c r="N88" i="7"/>
  <c r="R88" i="7"/>
  <c r="W88" i="7"/>
  <c r="AA88" i="7"/>
  <c r="AF88" i="7"/>
  <c r="AJ88" i="7"/>
  <c r="AO88" i="7"/>
  <c r="AS88" i="7"/>
  <c r="AX88" i="7"/>
  <c r="BB88" i="7"/>
  <c r="BG88" i="7"/>
  <c r="BK88" i="7"/>
  <c r="BP88" i="7"/>
  <c r="BT88" i="7"/>
  <c r="BY88" i="7"/>
  <c r="CC88" i="7"/>
  <c r="CH88" i="7"/>
  <c r="CL88" i="7"/>
  <c r="CQ88" i="7"/>
  <c r="CU88" i="7"/>
  <c r="CZ88" i="7"/>
  <c r="DD88" i="7"/>
  <c r="DI88" i="7"/>
  <c r="H89" i="7"/>
  <c r="M89" i="7"/>
  <c r="Q89" i="7"/>
  <c r="V89" i="7"/>
  <c r="Z89" i="7"/>
  <c r="AE89" i="7"/>
  <c r="AI89" i="7"/>
  <c r="AQ89" i="7"/>
  <c r="AZ89" i="7"/>
  <c r="BM89" i="7"/>
  <c r="CA89" i="7"/>
  <c r="CN89" i="7"/>
  <c r="J90" i="7"/>
  <c r="X90" i="7"/>
  <c r="AK90" i="7"/>
  <c r="AY90" i="7"/>
  <c r="BL90" i="7"/>
  <c r="BZ90" i="7"/>
  <c r="CM90" i="7"/>
  <c r="DA90" i="7"/>
  <c r="I91" i="7"/>
  <c r="W91" i="7"/>
  <c r="AJ91" i="7"/>
  <c r="AX91" i="7"/>
  <c r="BK91" i="7"/>
  <c r="BY91" i="7"/>
  <c r="CL91" i="7"/>
  <c r="CZ91" i="7"/>
  <c r="H92" i="7"/>
  <c r="V92" i="7"/>
  <c r="AI92" i="7"/>
  <c r="AW92" i="7"/>
  <c r="BJ92" i="7"/>
  <c r="BX92" i="7"/>
  <c r="CK92" i="7"/>
  <c r="CY92" i="7"/>
  <c r="G93" i="7"/>
  <c r="U93" i="7"/>
  <c r="AL93" i="7"/>
  <c r="BG93" i="7"/>
  <c r="BZ93" i="7"/>
  <c r="CU93" i="7"/>
  <c r="J94" i="7"/>
  <c r="AE94" i="7"/>
  <c r="AX94" i="7"/>
  <c r="BS94" i="7"/>
  <c r="CM94" i="7"/>
  <c r="V95" i="7"/>
  <c r="AQ95" i="7"/>
  <c r="BK95" i="7"/>
  <c r="CF95" i="7"/>
  <c r="CY95" i="7"/>
  <c r="O96" i="7"/>
  <c r="AI96" i="7"/>
  <c r="BD96" i="7"/>
  <c r="BW96" i="7"/>
  <c r="CR96" i="7"/>
  <c r="G97" i="7"/>
  <c r="AB97" i="7"/>
  <c r="AU97" i="7"/>
  <c r="BP97" i="7"/>
  <c r="CJ97" i="7"/>
  <c r="S98" i="7"/>
  <c r="AN98" i="7"/>
  <c r="BH98" i="7"/>
  <c r="CC98" i="7"/>
  <c r="CV98" i="7"/>
  <c r="L99" i="7"/>
  <c r="AF99" i="7"/>
  <c r="BA99" i="7"/>
  <c r="BT99" i="7"/>
  <c r="CO99" i="7"/>
  <c r="DI99" i="7"/>
  <c r="Y100" i="7"/>
  <c r="AR100" i="7"/>
  <c r="BM100" i="7"/>
  <c r="CG100" i="7"/>
  <c r="P101" i="7"/>
  <c r="AK101" i="7"/>
  <c r="BE101" i="7"/>
  <c r="BZ101" i="7"/>
  <c r="CS101" i="7"/>
  <c r="I102" i="7"/>
  <c r="AC102" i="7"/>
  <c r="AX102" i="7"/>
  <c r="BQ102" i="7"/>
  <c r="CL102" i="7"/>
  <c r="DF102" i="7"/>
  <c r="V103" i="7"/>
  <c r="AO103" i="7"/>
  <c r="BJ103" i="7"/>
  <c r="CD103" i="7"/>
  <c r="M104" i="7"/>
  <c r="AH104" i="7"/>
  <c r="BB104" i="7"/>
  <c r="BW104" i="7"/>
  <c r="CP104" i="7"/>
  <c r="F105" i="7"/>
  <c r="Z105" i="7"/>
  <c r="AU105" i="7"/>
  <c r="BN105" i="7"/>
  <c r="CI105" i="7"/>
  <c r="DC105" i="7"/>
  <c r="S106" i="7"/>
  <c r="AL106" i="7"/>
  <c r="BG106" i="7"/>
  <c r="CA106" i="7"/>
  <c r="J107" i="7"/>
  <c r="AE107" i="7"/>
  <c r="AY107" i="7"/>
  <c r="BT107" i="7"/>
  <c r="CM107" i="7"/>
  <c r="DH107" i="7"/>
  <c r="W108" i="7"/>
  <c r="AR108" i="7"/>
  <c r="BK108" i="7"/>
  <c r="CF108" i="7"/>
  <c r="CZ108" i="7"/>
  <c r="P109" i="7"/>
  <c r="AI109" i="7"/>
  <c r="BD109" i="7"/>
  <c r="BX109" i="7"/>
  <c r="G110" i="7"/>
  <c r="AB110" i="7"/>
  <c r="AV110" i="7"/>
  <c r="BQ110" i="7"/>
  <c r="CJ110" i="7"/>
  <c r="DE110" i="7"/>
  <c r="T111" i="7"/>
  <c r="AS111" i="7"/>
  <c r="CH111" i="7"/>
  <c r="Q112" i="7"/>
  <c r="BF112" i="7"/>
  <c r="AD113" i="7"/>
  <c r="DH85" i="7"/>
  <c r="DE85" i="7"/>
  <c r="DB85" i="7"/>
  <c r="CY85" i="7"/>
  <c r="CV85" i="7"/>
  <c r="CS85" i="7"/>
  <c r="CP85" i="7"/>
  <c r="CM85" i="7"/>
  <c r="CJ85" i="7"/>
  <c r="CG85" i="7"/>
  <c r="CD85" i="7"/>
  <c r="CA85" i="7"/>
  <c r="BX85" i="7"/>
  <c r="BU85" i="7"/>
  <c r="BR85" i="7"/>
  <c r="BO85" i="7"/>
  <c r="BL85" i="7"/>
  <c r="BI85" i="7"/>
  <c r="BF85" i="7"/>
  <c r="BC85" i="7"/>
  <c r="AZ85" i="7"/>
  <c r="AW85" i="7"/>
  <c r="AT85" i="7"/>
  <c r="AQ85" i="7"/>
  <c r="AN85" i="7"/>
  <c r="AK85" i="7"/>
  <c r="AH85" i="7"/>
  <c r="AE85" i="7"/>
  <c r="AB85" i="7"/>
  <c r="Y85" i="7"/>
  <c r="V85" i="7"/>
  <c r="S85" i="7"/>
  <c r="P85" i="7"/>
  <c r="M85" i="7"/>
  <c r="J85" i="7"/>
  <c r="G85" i="7"/>
  <c r="DH89" i="7"/>
  <c r="DC89" i="7"/>
  <c r="CY89" i="7"/>
  <c r="CT89" i="7"/>
  <c r="CP89" i="7"/>
  <c r="CK89" i="7"/>
  <c r="CG89" i="7"/>
  <c r="CB89" i="7"/>
  <c r="BX89" i="7"/>
  <c r="BS89" i="7"/>
  <c r="BO89" i="7"/>
  <c r="BJ89" i="7"/>
  <c r="BF89" i="7"/>
  <c r="BA89" i="7"/>
  <c r="AW89" i="7"/>
  <c r="DG94" i="7"/>
  <c r="DD94" i="7"/>
  <c r="DA94" i="7"/>
  <c r="CX94" i="7"/>
  <c r="CU94" i="7"/>
  <c r="CR94" i="7"/>
  <c r="CO94" i="7"/>
  <c r="CL94" i="7"/>
  <c r="CI94" i="7"/>
  <c r="CF94" i="7"/>
  <c r="CC94" i="7"/>
  <c r="BZ94" i="7"/>
  <c r="BW94" i="7"/>
  <c r="BT94" i="7"/>
  <c r="BQ94" i="7"/>
  <c r="BN94" i="7"/>
  <c r="BK94" i="7"/>
  <c r="BH94" i="7"/>
  <c r="BE94" i="7"/>
  <c r="BB94" i="7"/>
  <c r="AY94" i="7"/>
  <c r="AV94" i="7"/>
  <c r="AS94" i="7"/>
  <c r="AP94" i="7"/>
  <c r="AM94" i="7"/>
  <c r="AJ94" i="7"/>
  <c r="AG94" i="7"/>
  <c r="AD94" i="7"/>
  <c r="AA94" i="7"/>
  <c r="X94" i="7"/>
  <c r="U94" i="7"/>
  <c r="R94" i="7"/>
  <c r="O94" i="7"/>
  <c r="L94" i="7"/>
  <c r="I94" i="7"/>
  <c r="F94" i="7"/>
  <c r="DF94" i="7"/>
  <c r="DB94" i="7"/>
  <c r="CW94" i="7"/>
  <c r="CS94" i="7"/>
  <c r="CN94" i="7"/>
  <c r="CJ94" i="7"/>
  <c r="CE94" i="7"/>
  <c r="CA94" i="7"/>
  <c r="BV94" i="7"/>
  <c r="BR94" i="7"/>
  <c r="BM94" i="7"/>
  <c r="BI94" i="7"/>
  <c r="BD94" i="7"/>
  <c r="AZ94" i="7"/>
  <c r="AU94" i="7"/>
  <c r="AQ94" i="7"/>
  <c r="AL94" i="7"/>
  <c r="AH94" i="7"/>
  <c r="AC94" i="7"/>
  <c r="Y94" i="7"/>
  <c r="T94" i="7"/>
  <c r="P94" i="7"/>
  <c r="K94" i="7"/>
  <c r="G94" i="7"/>
  <c r="DE94" i="7"/>
  <c r="CY94" i="7"/>
  <c r="CQ94" i="7"/>
  <c r="CK94" i="7"/>
  <c r="CD94" i="7"/>
  <c r="BX94" i="7"/>
  <c r="BP94" i="7"/>
  <c r="BJ94" i="7"/>
  <c r="BC94" i="7"/>
  <c r="AW94" i="7"/>
  <c r="AO94" i="7"/>
  <c r="AI94" i="7"/>
  <c r="AB94" i="7"/>
  <c r="V94" i="7"/>
  <c r="N94" i="7"/>
  <c r="H94" i="7"/>
  <c r="DI94" i="7"/>
  <c r="DC94" i="7"/>
  <c r="CV94" i="7"/>
  <c r="CP94" i="7"/>
  <c r="CH94" i="7"/>
  <c r="CB94" i="7"/>
  <c r="BU94" i="7"/>
  <c r="BO94" i="7"/>
  <c r="BG94" i="7"/>
  <c r="BA94" i="7"/>
  <c r="AT94" i="7"/>
  <c r="AN94" i="7"/>
  <c r="AF94" i="7"/>
  <c r="Z94" i="7"/>
  <c r="S94" i="7"/>
  <c r="M94" i="7"/>
  <c r="E94" i="7"/>
  <c r="DG97" i="7"/>
  <c r="DD97" i="7"/>
  <c r="DA97" i="7"/>
  <c r="CX97" i="7"/>
  <c r="CU97" i="7"/>
  <c r="CR97" i="7"/>
  <c r="CO97" i="7"/>
  <c r="CL97" i="7"/>
  <c r="CI97" i="7"/>
  <c r="CF97" i="7"/>
  <c r="CC97" i="7"/>
  <c r="BZ97" i="7"/>
  <c r="BW97" i="7"/>
  <c r="BT97" i="7"/>
  <c r="BQ97" i="7"/>
  <c r="BN97" i="7"/>
  <c r="BK97" i="7"/>
  <c r="BH97" i="7"/>
  <c r="BE97" i="7"/>
  <c r="BB97" i="7"/>
  <c r="AY97" i="7"/>
  <c r="AV97" i="7"/>
  <c r="AS97" i="7"/>
  <c r="AP97" i="7"/>
  <c r="AM97" i="7"/>
  <c r="AJ97" i="7"/>
  <c r="AG97" i="7"/>
  <c r="AD97" i="7"/>
  <c r="AA97" i="7"/>
  <c r="X97" i="7"/>
  <c r="U97" i="7"/>
  <c r="R97" i="7"/>
  <c r="O97" i="7"/>
  <c r="L97" i="7"/>
  <c r="I97" i="7"/>
  <c r="F97" i="7"/>
  <c r="DH97" i="7"/>
  <c r="DC97" i="7"/>
  <c r="CY97" i="7"/>
  <c r="CT97" i="7"/>
  <c r="CP97" i="7"/>
  <c r="CK97" i="7"/>
  <c r="CG97" i="7"/>
  <c r="CB97" i="7"/>
  <c r="BX97" i="7"/>
  <c r="BS97" i="7"/>
  <c r="BO97" i="7"/>
  <c r="BJ97" i="7"/>
  <c r="BF97" i="7"/>
  <c r="BA97" i="7"/>
  <c r="AW97" i="7"/>
  <c r="AR97" i="7"/>
  <c r="AN97" i="7"/>
  <c r="AI97" i="7"/>
  <c r="AE97" i="7"/>
  <c r="Z97" i="7"/>
  <c r="V97" i="7"/>
  <c r="Q97" i="7"/>
  <c r="M97" i="7"/>
  <c r="H97" i="7"/>
  <c r="DI97" i="7"/>
  <c r="DB97" i="7"/>
  <c r="CV97" i="7"/>
  <c r="CN97" i="7"/>
  <c r="CH97" i="7"/>
  <c r="CA97" i="7"/>
  <c r="BU97" i="7"/>
  <c r="BM97" i="7"/>
  <c r="BG97" i="7"/>
  <c r="AZ97" i="7"/>
  <c r="AT97" i="7"/>
  <c r="AL97" i="7"/>
  <c r="AF97" i="7"/>
  <c r="Y97" i="7"/>
  <c r="S97" i="7"/>
  <c r="K97" i="7"/>
  <c r="E97" i="7"/>
  <c r="DF97" i="7"/>
  <c r="CZ97" i="7"/>
  <c r="CS97" i="7"/>
  <c r="CM97" i="7"/>
  <c r="CE97" i="7"/>
  <c r="BY97" i="7"/>
  <c r="BR97" i="7"/>
  <c r="BL97" i="7"/>
  <c r="BD97" i="7"/>
  <c r="AX97" i="7"/>
  <c r="AQ97" i="7"/>
  <c r="AK97" i="7"/>
  <c r="AC97" i="7"/>
  <c r="W97" i="7"/>
  <c r="P97" i="7"/>
  <c r="J97" i="7"/>
  <c r="DG100" i="7"/>
  <c r="DD100" i="7"/>
  <c r="DA100" i="7"/>
  <c r="CX100" i="7"/>
  <c r="CU100" i="7"/>
  <c r="CR100" i="7"/>
  <c r="CO100" i="7"/>
  <c r="CL100" i="7"/>
  <c r="CI100" i="7"/>
  <c r="CF100" i="7"/>
  <c r="CC100" i="7"/>
  <c r="BZ100" i="7"/>
  <c r="BW100" i="7"/>
  <c r="BT100" i="7"/>
  <c r="BQ100" i="7"/>
  <c r="BN100" i="7"/>
  <c r="BK100" i="7"/>
  <c r="BH100" i="7"/>
  <c r="BE100" i="7"/>
  <c r="BB100" i="7"/>
  <c r="AY100" i="7"/>
  <c r="AV100" i="7"/>
  <c r="AS100" i="7"/>
  <c r="AP100" i="7"/>
  <c r="AM100" i="7"/>
  <c r="AJ100" i="7"/>
  <c r="AG100" i="7"/>
  <c r="AD100" i="7"/>
  <c r="AA100" i="7"/>
  <c r="X100" i="7"/>
  <c r="U100" i="7"/>
  <c r="R100" i="7"/>
  <c r="O100" i="7"/>
  <c r="L100" i="7"/>
  <c r="I100" i="7"/>
  <c r="F100" i="7"/>
  <c r="DI100" i="7"/>
  <c r="DE100" i="7"/>
  <c r="CZ100" i="7"/>
  <c r="CV100" i="7"/>
  <c r="CQ100" i="7"/>
  <c r="CM100" i="7"/>
  <c r="CH100" i="7"/>
  <c r="CD100" i="7"/>
  <c r="BY100" i="7"/>
  <c r="BU100" i="7"/>
  <c r="BP100" i="7"/>
  <c r="BL100" i="7"/>
  <c r="BG100" i="7"/>
  <c r="BC100" i="7"/>
  <c r="AX100" i="7"/>
  <c r="AT100" i="7"/>
  <c r="AO100" i="7"/>
  <c r="AK100" i="7"/>
  <c r="AF100" i="7"/>
  <c r="AB100" i="7"/>
  <c r="W100" i="7"/>
  <c r="S100" i="7"/>
  <c r="N100" i="7"/>
  <c r="J100" i="7"/>
  <c r="E100" i="7"/>
  <c r="DF100" i="7"/>
  <c r="CY100" i="7"/>
  <c r="CS100" i="7"/>
  <c r="CK100" i="7"/>
  <c r="CE100" i="7"/>
  <c r="BX100" i="7"/>
  <c r="BR100" i="7"/>
  <c r="BJ100" i="7"/>
  <c r="BD100" i="7"/>
  <c r="AW100" i="7"/>
  <c r="AQ100" i="7"/>
  <c r="AI100" i="7"/>
  <c r="AC100" i="7"/>
  <c r="V100" i="7"/>
  <c r="P100" i="7"/>
  <c r="H100" i="7"/>
  <c r="DC100" i="7"/>
  <c r="CW100" i="7"/>
  <c r="CP100" i="7"/>
  <c r="CJ100" i="7"/>
  <c r="CB100" i="7"/>
  <c r="BV100" i="7"/>
  <c r="BO100" i="7"/>
  <c r="BI100" i="7"/>
  <c r="BA100" i="7"/>
  <c r="AU100" i="7"/>
  <c r="AN100" i="7"/>
  <c r="AH100" i="7"/>
  <c r="Z100" i="7"/>
  <c r="T100" i="7"/>
  <c r="M100" i="7"/>
  <c r="G100" i="7"/>
  <c r="DG103" i="7"/>
  <c r="DD103" i="7"/>
  <c r="DA103" i="7"/>
  <c r="CX103" i="7"/>
  <c r="CU103" i="7"/>
  <c r="CR103" i="7"/>
  <c r="CO103" i="7"/>
  <c r="CL103" i="7"/>
  <c r="CI103" i="7"/>
  <c r="CF103" i="7"/>
  <c r="CC103" i="7"/>
  <c r="BZ103" i="7"/>
  <c r="BW103" i="7"/>
  <c r="BT103" i="7"/>
  <c r="BQ103" i="7"/>
  <c r="BN103" i="7"/>
  <c r="BK103" i="7"/>
  <c r="BH103" i="7"/>
  <c r="BE103" i="7"/>
  <c r="BB103" i="7"/>
  <c r="AY103" i="7"/>
  <c r="AV103" i="7"/>
  <c r="AS103" i="7"/>
  <c r="AP103" i="7"/>
  <c r="AM103" i="7"/>
  <c r="AJ103" i="7"/>
  <c r="AG103" i="7"/>
  <c r="AD103" i="7"/>
  <c r="AA103" i="7"/>
  <c r="X103" i="7"/>
  <c r="U103" i="7"/>
  <c r="R103" i="7"/>
  <c r="O103" i="7"/>
  <c r="L103" i="7"/>
  <c r="I103" i="7"/>
  <c r="F103" i="7"/>
  <c r="DF103" i="7"/>
  <c r="DB103" i="7"/>
  <c r="CW103" i="7"/>
  <c r="CS103" i="7"/>
  <c r="CN103" i="7"/>
  <c r="CJ103" i="7"/>
  <c r="CE103" i="7"/>
  <c r="CA103" i="7"/>
  <c r="BV103" i="7"/>
  <c r="BR103" i="7"/>
  <c r="BM103" i="7"/>
  <c r="BI103" i="7"/>
  <c r="BD103" i="7"/>
  <c r="AZ103" i="7"/>
  <c r="AU103" i="7"/>
  <c r="AQ103" i="7"/>
  <c r="AL103" i="7"/>
  <c r="AH103" i="7"/>
  <c r="AC103" i="7"/>
  <c r="Y103" i="7"/>
  <c r="T103" i="7"/>
  <c r="P103" i="7"/>
  <c r="K103" i="7"/>
  <c r="G103" i="7"/>
  <c r="DI103" i="7"/>
  <c r="DC103" i="7"/>
  <c r="CV103" i="7"/>
  <c r="CP103" i="7"/>
  <c r="CH103" i="7"/>
  <c r="CB103" i="7"/>
  <c r="BU103" i="7"/>
  <c r="BO103" i="7"/>
  <c r="BG103" i="7"/>
  <c r="BA103" i="7"/>
  <c r="AT103" i="7"/>
  <c r="AN103" i="7"/>
  <c r="AF103" i="7"/>
  <c r="Z103" i="7"/>
  <c r="S103" i="7"/>
  <c r="M103" i="7"/>
  <c r="E103" i="7"/>
  <c r="DH103" i="7"/>
  <c r="CZ103" i="7"/>
  <c r="CT103" i="7"/>
  <c r="CM103" i="7"/>
  <c r="CG103" i="7"/>
  <c r="BY103" i="7"/>
  <c r="BS103" i="7"/>
  <c r="BL103" i="7"/>
  <c r="BF103" i="7"/>
  <c r="AX103" i="7"/>
  <c r="AR103" i="7"/>
  <c r="AK103" i="7"/>
  <c r="AE103" i="7"/>
  <c r="W103" i="7"/>
  <c r="Q103" i="7"/>
  <c r="J103" i="7"/>
  <c r="DG106" i="7"/>
  <c r="DD106" i="7"/>
  <c r="DA106" i="7"/>
  <c r="CX106" i="7"/>
  <c r="CU106" i="7"/>
  <c r="CR106" i="7"/>
  <c r="CO106" i="7"/>
  <c r="CL106" i="7"/>
  <c r="CI106" i="7"/>
  <c r="CF106" i="7"/>
  <c r="CC106" i="7"/>
  <c r="BZ106" i="7"/>
  <c r="BW106" i="7"/>
  <c r="BT106" i="7"/>
  <c r="BQ106" i="7"/>
  <c r="BN106" i="7"/>
  <c r="BK106" i="7"/>
  <c r="BH106" i="7"/>
  <c r="BE106" i="7"/>
  <c r="BB106" i="7"/>
  <c r="AY106" i="7"/>
  <c r="AV106" i="7"/>
  <c r="AS106" i="7"/>
  <c r="AP106" i="7"/>
  <c r="AM106" i="7"/>
  <c r="AJ106" i="7"/>
  <c r="AG106" i="7"/>
  <c r="AD106" i="7"/>
  <c r="AA106" i="7"/>
  <c r="X106" i="7"/>
  <c r="U106" i="7"/>
  <c r="R106" i="7"/>
  <c r="O106" i="7"/>
  <c r="L106" i="7"/>
  <c r="I106" i="7"/>
  <c r="F106" i="7"/>
  <c r="DH106" i="7"/>
  <c r="DC106" i="7"/>
  <c r="CY106" i="7"/>
  <c r="CT106" i="7"/>
  <c r="CP106" i="7"/>
  <c r="CK106" i="7"/>
  <c r="CG106" i="7"/>
  <c r="CB106" i="7"/>
  <c r="BX106" i="7"/>
  <c r="BS106" i="7"/>
  <c r="BO106" i="7"/>
  <c r="BJ106" i="7"/>
  <c r="BF106" i="7"/>
  <c r="BA106" i="7"/>
  <c r="AW106" i="7"/>
  <c r="AR106" i="7"/>
  <c r="AN106" i="7"/>
  <c r="AI106" i="7"/>
  <c r="AE106" i="7"/>
  <c r="Z106" i="7"/>
  <c r="V106" i="7"/>
  <c r="Q106" i="7"/>
  <c r="M106" i="7"/>
  <c r="H106" i="7"/>
  <c r="DF106" i="7"/>
  <c r="CZ106" i="7"/>
  <c r="CS106" i="7"/>
  <c r="CM106" i="7"/>
  <c r="CE106" i="7"/>
  <c r="BY106" i="7"/>
  <c r="BR106" i="7"/>
  <c r="BL106" i="7"/>
  <c r="BD106" i="7"/>
  <c r="AX106" i="7"/>
  <c r="AQ106" i="7"/>
  <c r="AK106" i="7"/>
  <c r="AC106" i="7"/>
  <c r="W106" i="7"/>
  <c r="P106" i="7"/>
  <c r="J106" i="7"/>
  <c r="DE106" i="7"/>
  <c r="CW106" i="7"/>
  <c r="CQ106" i="7"/>
  <c r="CJ106" i="7"/>
  <c r="CD106" i="7"/>
  <c r="BV106" i="7"/>
  <c r="BP106" i="7"/>
  <c r="BI106" i="7"/>
  <c r="BC106" i="7"/>
  <c r="AU106" i="7"/>
  <c r="AO106" i="7"/>
  <c r="AH106" i="7"/>
  <c r="AB106" i="7"/>
  <c r="T106" i="7"/>
  <c r="N106" i="7"/>
  <c r="G106" i="7"/>
  <c r="DG109" i="7"/>
  <c r="DD109" i="7"/>
  <c r="DA109" i="7"/>
  <c r="CX109" i="7"/>
  <c r="CU109" i="7"/>
  <c r="CR109" i="7"/>
  <c r="CO109" i="7"/>
  <c r="CL109" i="7"/>
  <c r="CI109" i="7"/>
  <c r="CF109" i="7"/>
  <c r="CC109" i="7"/>
  <c r="BZ109" i="7"/>
  <c r="BW109" i="7"/>
  <c r="BT109" i="7"/>
  <c r="BQ109" i="7"/>
  <c r="BN109" i="7"/>
  <c r="BK109" i="7"/>
  <c r="BH109" i="7"/>
  <c r="BE109" i="7"/>
  <c r="BB109" i="7"/>
  <c r="AY109" i="7"/>
  <c r="AV109" i="7"/>
  <c r="AS109" i="7"/>
  <c r="AP109" i="7"/>
  <c r="AM109" i="7"/>
  <c r="AJ109" i="7"/>
  <c r="AG109" i="7"/>
  <c r="AD109" i="7"/>
  <c r="AA109" i="7"/>
  <c r="X109" i="7"/>
  <c r="U109" i="7"/>
  <c r="R109" i="7"/>
  <c r="O109" i="7"/>
  <c r="L109" i="7"/>
  <c r="I109" i="7"/>
  <c r="F109" i="7"/>
  <c r="DI109" i="7"/>
  <c r="DE109" i="7"/>
  <c r="CZ109" i="7"/>
  <c r="CV109" i="7"/>
  <c r="CQ109" i="7"/>
  <c r="CM109" i="7"/>
  <c r="CH109" i="7"/>
  <c r="CD109" i="7"/>
  <c r="BY109" i="7"/>
  <c r="BU109" i="7"/>
  <c r="BP109" i="7"/>
  <c r="BL109" i="7"/>
  <c r="BG109" i="7"/>
  <c r="BC109" i="7"/>
  <c r="AX109" i="7"/>
  <c r="AT109" i="7"/>
  <c r="AO109" i="7"/>
  <c r="AK109" i="7"/>
  <c r="AF109" i="7"/>
  <c r="AB109" i="7"/>
  <c r="W109" i="7"/>
  <c r="S109" i="7"/>
  <c r="N109" i="7"/>
  <c r="J109" i="7"/>
  <c r="E109" i="7"/>
  <c r="DC109" i="7"/>
  <c r="CW109" i="7"/>
  <c r="CP109" i="7"/>
  <c r="CJ109" i="7"/>
  <c r="CB109" i="7"/>
  <c r="BV109" i="7"/>
  <c r="BO109" i="7"/>
  <c r="BI109" i="7"/>
  <c r="BA109" i="7"/>
  <c r="AU109" i="7"/>
  <c r="AN109" i="7"/>
  <c r="AH109" i="7"/>
  <c r="Z109" i="7"/>
  <c r="T109" i="7"/>
  <c r="M109" i="7"/>
  <c r="G109" i="7"/>
  <c r="DH109" i="7"/>
  <c r="DB109" i="7"/>
  <c r="CT109" i="7"/>
  <c r="CN109" i="7"/>
  <c r="CG109" i="7"/>
  <c r="CA109" i="7"/>
  <c r="BS109" i="7"/>
  <c r="BM109" i="7"/>
  <c r="BF109" i="7"/>
  <c r="AZ109" i="7"/>
  <c r="AR109" i="7"/>
  <c r="AL109" i="7"/>
  <c r="AE109" i="7"/>
  <c r="Y109" i="7"/>
  <c r="Q109" i="7"/>
  <c r="K109" i="7"/>
  <c r="DG112" i="7"/>
  <c r="DD112" i="7"/>
  <c r="DA112" i="7"/>
  <c r="CX112" i="7"/>
  <c r="CU112" i="7"/>
  <c r="CR112" i="7"/>
  <c r="CO112" i="7"/>
  <c r="CL112" i="7"/>
  <c r="CI112" i="7"/>
  <c r="CF112" i="7"/>
  <c r="CC112" i="7"/>
  <c r="BZ112" i="7"/>
  <c r="BW112" i="7"/>
  <c r="BT112" i="7"/>
  <c r="BQ112" i="7"/>
  <c r="BN112" i="7"/>
  <c r="BK112" i="7"/>
  <c r="BH112" i="7"/>
  <c r="BE112" i="7"/>
  <c r="BB112" i="7"/>
  <c r="AY112" i="7"/>
  <c r="AV112" i="7"/>
  <c r="AS112" i="7"/>
  <c r="AP112" i="7"/>
  <c r="AM112" i="7"/>
  <c r="AJ112" i="7"/>
  <c r="AG112" i="7"/>
  <c r="AD112" i="7"/>
  <c r="AA112" i="7"/>
  <c r="X112" i="7"/>
  <c r="U112" i="7"/>
  <c r="R112" i="7"/>
  <c r="O112" i="7"/>
  <c r="L112" i="7"/>
  <c r="I112" i="7"/>
  <c r="F112" i="7"/>
  <c r="DF112" i="7"/>
  <c r="DB112" i="7"/>
  <c r="CW112" i="7"/>
  <c r="CS112" i="7"/>
  <c r="CN112" i="7"/>
  <c r="CJ112" i="7"/>
  <c r="CE112" i="7"/>
  <c r="CA112" i="7"/>
  <c r="BV112" i="7"/>
  <c r="BR112" i="7"/>
  <c r="BM112" i="7"/>
  <c r="BI112" i="7"/>
  <c r="BD112" i="7"/>
  <c r="AZ112" i="7"/>
  <c r="AU112" i="7"/>
  <c r="AQ112" i="7"/>
  <c r="AL112" i="7"/>
  <c r="AH112" i="7"/>
  <c r="AC112" i="7"/>
  <c r="Y112" i="7"/>
  <c r="T112" i="7"/>
  <c r="P112" i="7"/>
  <c r="K112" i="7"/>
  <c r="G112" i="7"/>
  <c r="DI112" i="7"/>
  <c r="DE112" i="7"/>
  <c r="CZ112" i="7"/>
  <c r="CV112" i="7"/>
  <c r="CQ112" i="7"/>
  <c r="CM112" i="7"/>
  <c r="CH112" i="7"/>
  <c r="CD112" i="7"/>
  <c r="BY112" i="7"/>
  <c r="BU112" i="7"/>
  <c r="BP112" i="7"/>
  <c r="BL112" i="7"/>
  <c r="BG112" i="7"/>
  <c r="BC112" i="7"/>
  <c r="AX112" i="7"/>
  <c r="AT112" i="7"/>
  <c r="AO112" i="7"/>
  <c r="AK112" i="7"/>
  <c r="AF112" i="7"/>
  <c r="AB112" i="7"/>
  <c r="W112" i="7"/>
  <c r="S112" i="7"/>
  <c r="N112" i="7"/>
  <c r="J112" i="7"/>
  <c r="E112" i="7"/>
  <c r="DC112" i="7"/>
  <c r="CP112" i="7"/>
  <c r="CB112" i="7"/>
  <c r="BO112" i="7"/>
  <c r="BA112" i="7"/>
  <c r="AN112" i="7"/>
  <c r="Z112" i="7"/>
  <c r="M112" i="7"/>
  <c r="CY112" i="7"/>
  <c r="CK112" i="7"/>
  <c r="BX112" i="7"/>
  <c r="BJ112" i="7"/>
  <c r="AW112" i="7"/>
  <c r="AI112" i="7"/>
  <c r="V112" i="7"/>
  <c r="H112" i="7"/>
  <c r="DG115" i="7"/>
  <c r="DD115" i="7"/>
  <c r="DA115" i="7"/>
  <c r="CX115" i="7"/>
  <c r="CU115" i="7"/>
  <c r="CR115" i="7"/>
  <c r="CO115" i="7"/>
  <c r="CL115" i="7"/>
  <c r="CI115" i="7"/>
  <c r="CF115" i="7"/>
  <c r="CC115" i="7"/>
  <c r="BZ115" i="7"/>
  <c r="BW115" i="7"/>
  <c r="BT115" i="7"/>
  <c r="BQ115" i="7"/>
  <c r="BN115" i="7"/>
  <c r="BK115" i="7"/>
  <c r="BH115" i="7"/>
  <c r="BE115" i="7"/>
  <c r="BB115" i="7"/>
  <c r="AY115" i="7"/>
  <c r="AV115" i="7"/>
  <c r="AS115" i="7"/>
  <c r="AP115" i="7"/>
  <c r="AM115" i="7"/>
  <c r="AJ115" i="7"/>
  <c r="AG115" i="7"/>
  <c r="AD115" i="7"/>
  <c r="AA115" i="7"/>
  <c r="X115" i="7"/>
  <c r="U115" i="7"/>
  <c r="R115" i="7"/>
  <c r="O115" i="7"/>
  <c r="L115" i="7"/>
  <c r="I115" i="7"/>
  <c r="F115" i="7"/>
  <c r="DH115" i="7"/>
  <c r="DC115" i="7"/>
  <c r="CY115" i="7"/>
  <c r="CT115" i="7"/>
  <c r="CP115" i="7"/>
  <c r="CK115" i="7"/>
  <c r="CG115" i="7"/>
  <c r="CB115" i="7"/>
  <c r="BX115" i="7"/>
  <c r="BS115" i="7"/>
  <c r="BO115" i="7"/>
  <c r="BJ115" i="7"/>
  <c r="BF115" i="7"/>
  <c r="BA115" i="7"/>
  <c r="AW115" i="7"/>
  <c r="AR115" i="7"/>
  <c r="AN115" i="7"/>
  <c r="AI115" i="7"/>
  <c r="AE115" i="7"/>
  <c r="Z115" i="7"/>
  <c r="V115" i="7"/>
  <c r="Q115" i="7"/>
  <c r="M115" i="7"/>
  <c r="H115" i="7"/>
  <c r="DF115" i="7"/>
  <c r="DB115" i="7"/>
  <c r="CW115" i="7"/>
  <c r="CS115" i="7"/>
  <c r="CN115" i="7"/>
  <c r="CJ115" i="7"/>
  <c r="CE115" i="7"/>
  <c r="CA115" i="7"/>
  <c r="BV115" i="7"/>
  <c r="BR115" i="7"/>
  <c r="BM115" i="7"/>
  <c r="BI115" i="7"/>
  <c r="BD115" i="7"/>
  <c r="AZ115" i="7"/>
  <c r="AU115" i="7"/>
  <c r="AQ115" i="7"/>
  <c r="AL115" i="7"/>
  <c r="AH115" i="7"/>
  <c r="AC115" i="7"/>
  <c r="Y115" i="7"/>
  <c r="T115" i="7"/>
  <c r="P115" i="7"/>
  <c r="K115" i="7"/>
  <c r="G115" i="7"/>
  <c r="DI115" i="7"/>
  <c r="DE115" i="7"/>
  <c r="CZ115" i="7"/>
  <c r="CV115" i="7"/>
  <c r="CQ115" i="7"/>
  <c r="CM115" i="7"/>
  <c r="CH115" i="7"/>
  <c r="CD115" i="7"/>
  <c r="BY115" i="7"/>
  <c r="BU115" i="7"/>
  <c r="BP115" i="7"/>
  <c r="BL115" i="7"/>
  <c r="BG115" i="7"/>
  <c r="BC115" i="7"/>
  <c r="AX115" i="7"/>
  <c r="AT115" i="7"/>
  <c r="AO115" i="7"/>
  <c r="AK115" i="7"/>
  <c r="AF115" i="7"/>
  <c r="AB115" i="7"/>
  <c r="W115" i="7"/>
  <c r="S115" i="7"/>
  <c r="N115" i="7"/>
  <c r="J115" i="7"/>
  <c r="E115" i="7"/>
  <c r="K85" i="7"/>
  <c r="T85" i="7"/>
  <c r="X85" i="7"/>
  <c r="AG85" i="7"/>
  <c r="AP85" i="7"/>
  <c r="AY85" i="7"/>
  <c r="BH85" i="7"/>
  <c r="BQ85" i="7"/>
  <c r="BZ85" i="7"/>
  <c r="CI85" i="7"/>
  <c r="CN85" i="7"/>
  <c r="CW85" i="7"/>
  <c r="DF85" i="7"/>
  <c r="E86" i="7"/>
  <c r="N86" i="7"/>
  <c r="S86" i="7"/>
  <c r="AB86" i="7"/>
  <c r="AK86" i="7"/>
  <c r="AT86" i="7"/>
  <c r="BC86" i="7"/>
  <c r="BL86" i="7"/>
  <c r="BU86" i="7"/>
  <c r="CD86" i="7"/>
  <c r="CM86" i="7"/>
  <c r="CV86" i="7"/>
  <c r="DE86" i="7"/>
  <c r="H88" i="7"/>
  <c r="Q88" i="7"/>
  <c r="Z88" i="7"/>
  <c r="AI88" i="7"/>
  <c r="AM88" i="7"/>
  <c r="AV88" i="7"/>
  <c r="BE88" i="7"/>
  <c r="BN88" i="7"/>
  <c r="BS88" i="7"/>
  <c r="CB88" i="7"/>
  <c r="CF88" i="7"/>
  <c r="CO88" i="7"/>
  <c r="CX88" i="7"/>
  <c r="DC88" i="7"/>
  <c r="G89" i="7"/>
  <c r="P89" i="7"/>
  <c r="Y89" i="7"/>
  <c r="AH89" i="7"/>
  <c r="AU89" i="7"/>
  <c r="CJ89" i="7"/>
  <c r="E91" i="7"/>
  <c r="R91" i="7"/>
  <c r="AS91" i="7"/>
  <c r="BG91" i="7"/>
  <c r="CH91" i="7"/>
  <c r="DI91" i="7"/>
  <c r="AE92" i="7"/>
  <c r="BF92" i="7"/>
  <c r="CG92" i="7"/>
  <c r="DH92" i="7"/>
  <c r="W94" i="7"/>
  <c r="BL94" i="7"/>
  <c r="CZ94" i="7"/>
  <c r="AJ95" i="7"/>
  <c r="BX95" i="7"/>
  <c r="T97" i="7"/>
  <c r="BI97" i="7"/>
  <c r="CW97" i="7"/>
  <c r="M98" i="7"/>
  <c r="BB98" i="7"/>
  <c r="CP98" i="7"/>
  <c r="Q100" i="7"/>
  <c r="BF100" i="7"/>
  <c r="CT100" i="7"/>
  <c r="AD101" i="7"/>
  <c r="BR101" i="7"/>
  <c r="N103" i="7"/>
  <c r="BC103" i="7"/>
  <c r="CQ103" i="7"/>
  <c r="AA104" i="7"/>
  <c r="BO104" i="7"/>
  <c r="DD104" i="7"/>
  <c r="AF106" i="7"/>
  <c r="CN106" i="7"/>
  <c r="X107" i="7"/>
  <c r="BL107" i="7"/>
  <c r="DA107" i="7"/>
  <c r="H109" i="7"/>
  <c r="AW109" i="7"/>
  <c r="BR109" i="7"/>
  <c r="CK109" i="7"/>
  <c r="U110" i="7"/>
  <c r="AP110" i="7"/>
  <c r="BI110" i="7"/>
  <c r="CX110" i="7"/>
  <c r="AR112" i="7"/>
  <c r="DG86" i="7"/>
  <c r="DE98" i="7"/>
  <c r="DB101" i="7"/>
  <c r="DG104" i="7"/>
  <c r="DD107" i="7"/>
  <c r="DG110" i="7"/>
  <c r="AH113" i="7"/>
  <c r="F84" i="7"/>
  <c r="J84" i="7"/>
  <c r="O84" i="7"/>
  <c r="S84" i="7"/>
  <c r="X84" i="7"/>
  <c r="AB84" i="7"/>
  <c r="AG84" i="7"/>
  <c r="AK84" i="7"/>
  <c r="AP84" i="7"/>
  <c r="AT84" i="7"/>
  <c r="AY84" i="7"/>
  <c r="BC84" i="7"/>
  <c r="BH84" i="7"/>
  <c r="BL84" i="7"/>
  <c r="BQ84" i="7"/>
  <c r="BU84" i="7"/>
  <c r="BZ84" i="7"/>
  <c r="CD84" i="7"/>
  <c r="CI84" i="7"/>
  <c r="CM84" i="7"/>
  <c r="CR84" i="7"/>
  <c r="CV84" i="7"/>
  <c r="DA84" i="7"/>
  <c r="DE84" i="7"/>
  <c r="E85" i="7"/>
  <c r="I85" i="7"/>
  <c r="N85" i="7"/>
  <c r="R85" i="7"/>
  <c r="W85" i="7"/>
  <c r="AA85" i="7"/>
  <c r="AF85" i="7"/>
  <c r="AJ85" i="7"/>
  <c r="AO85" i="7"/>
  <c r="AS85" i="7"/>
  <c r="AX85" i="7"/>
  <c r="BB85" i="7"/>
  <c r="BG85" i="7"/>
  <c r="BK85" i="7"/>
  <c r="BP85" i="7"/>
  <c r="BT85" i="7"/>
  <c r="BY85" i="7"/>
  <c r="CC85" i="7"/>
  <c r="CH85" i="7"/>
  <c r="CL85" i="7"/>
  <c r="CQ85" i="7"/>
  <c r="CU85" i="7"/>
  <c r="CZ85" i="7"/>
  <c r="DD85" i="7"/>
  <c r="DI85" i="7"/>
  <c r="H86" i="7"/>
  <c r="M86" i="7"/>
  <c r="Q86" i="7"/>
  <c r="V86" i="7"/>
  <c r="Z86" i="7"/>
  <c r="AE86" i="7"/>
  <c r="AI86" i="7"/>
  <c r="AN86" i="7"/>
  <c r="AR86" i="7"/>
  <c r="AW86" i="7"/>
  <c r="BA86" i="7"/>
  <c r="BF86" i="7"/>
  <c r="BJ86" i="7"/>
  <c r="BO86" i="7"/>
  <c r="BS86" i="7"/>
  <c r="BX86" i="7"/>
  <c r="CB86" i="7"/>
  <c r="CG86" i="7"/>
  <c r="CK86" i="7"/>
  <c r="CP86" i="7"/>
  <c r="CT86" i="7"/>
  <c r="CY86" i="7"/>
  <c r="DC86" i="7"/>
  <c r="G87" i="7"/>
  <c r="L87" i="7"/>
  <c r="P87" i="7"/>
  <c r="U87" i="7"/>
  <c r="Y87" i="7"/>
  <c r="AD87" i="7"/>
  <c r="AH87" i="7"/>
  <c r="AM87" i="7"/>
  <c r="AQ87" i="7"/>
  <c r="AV87" i="7"/>
  <c r="AZ87" i="7"/>
  <c r="BE87" i="7"/>
  <c r="BI87" i="7"/>
  <c r="BN87" i="7"/>
  <c r="BR87" i="7"/>
  <c r="BW87" i="7"/>
  <c r="CA87" i="7"/>
  <c r="CF87" i="7"/>
  <c r="CJ87" i="7"/>
  <c r="CO87" i="7"/>
  <c r="CS87" i="7"/>
  <c r="CX87" i="7"/>
  <c r="DB87" i="7"/>
  <c r="DG87" i="7"/>
  <c r="F88" i="7"/>
  <c r="K88" i="7"/>
  <c r="O88" i="7"/>
  <c r="T88" i="7"/>
  <c r="X88" i="7"/>
  <c r="AC88" i="7"/>
  <c r="AG88" i="7"/>
  <c r="AL88" i="7"/>
  <c r="AP88" i="7"/>
  <c r="AU88" i="7"/>
  <c r="AY88" i="7"/>
  <c r="BD88" i="7"/>
  <c r="BH88" i="7"/>
  <c r="BM88" i="7"/>
  <c r="BQ88" i="7"/>
  <c r="BV88" i="7"/>
  <c r="BZ88" i="7"/>
  <c r="CE88" i="7"/>
  <c r="CI88" i="7"/>
  <c r="CN88" i="7"/>
  <c r="CR88" i="7"/>
  <c r="CW88" i="7"/>
  <c r="DA88" i="7"/>
  <c r="DF88" i="7"/>
  <c r="E89" i="7"/>
  <c r="J89" i="7"/>
  <c r="N89" i="7"/>
  <c r="S89" i="7"/>
  <c r="W89" i="7"/>
  <c r="AB89" i="7"/>
  <c r="AF89" i="7"/>
  <c r="AL89" i="7"/>
  <c r="AR89" i="7"/>
  <c r="BD89" i="7"/>
  <c r="BR89" i="7"/>
  <c r="CE89" i="7"/>
  <c r="CS89" i="7"/>
  <c r="DF89" i="7"/>
  <c r="O90" i="7"/>
  <c r="AB90" i="7"/>
  <c r="AP90" i="7"/>
  <c r="BC90" i="7"/>
  <c r="BQ90" i="7"/>
  <c r="CD90" i="7"/>
  <c r="CR90" i="7"/>
  <c r="DE90" i="7"/>
  <c r="N91" i="7"/>
  <c r="AA91" i="7"/>
  <c r="AO91" i="7"/>
  <c r="BB91" i="7"/>
  <c r="BP91" i="7"/>
  <c r="CC91" i="7"/>
  <c r="CQ91" i="7"/>
  <c r="DD91" i="7"/>
  <c r="M92" i="7"/>
  <c r="Z92" i="7"/>
  <c r="AN92" i="7"/>
  <c r="BA92" i="7"/>
  <c r="BO92" i="7"/>
  <c r="CB92" i="7"/>
  <c r="CP92" i="7"/>
  <c r="DC92" i="7"/>
  <c r="L93" i="7"/>
  <c r="Y93" i="7"/>
  <c r="AS93" i="7"/>
  <c r="BM93" i="7"/>
  <c r="CH93" i="7"/>
  <c r="DA93" i="7"/>
  <c r="Q94" i="7"/>
  <c r="AK94" i="7"/>
  <c r="BF94" i="7"/>
  <c r="BY94" i="7"/>
  <c r="CT94" i="7"/>
  <c r="I95" i="7"/>
  <c r="AD95" i="7"/>
  <c r="AW95" i="7"/>
  <c r="BR95" i="7"/>
  <c r="CL95" i="7"/>
  <c r="DG95" i="7"/>
  <c r="U96" i="7"/>
  <c r="AP96" i="7"/>
  <c r="BJ96" i="7"/>
  <c r="CE96" i="7"/>
  <c r="CX96" i="7"/>
  <c r="N97" i="7"/>
  <c r="AH97" i="7"/>
  <c r="BC97" i="7"/>
  <c r="BV97" i="7"/>
  <c r="CQ97" i="7"/>
  <c r="F98" i="7"/>
  <c r="AA98" i="7"/>
  <c r="AT98" i="7"/>
  <c r="BO98" i="7"/>
  <c r="CI98" i="7"/>
  <c r="R99" i="7"/>
  <c r="AM99" i="7"/>
  <c r="BG99" i="7"/>
  <c r="CB99" i="7"/>
  <c r="CU99" i="7"/>
  <c r="K100" i="7"/>
  <c r="AE100" i="7"/>
  <c r="AZ100" i="7"/>
  <c r="BS100" i="7"/>
  <c r="CN100" i="7"/>
  <c r="DH100" i="7"/>
  <c r="X101" i="7"/>
  <c r="AQ101" i="7"/>
  <c r="BL101" i="7"/>
  <c r="CF101" i="7"/>
  <c r="O102" i="7"/>
  <c r="AJ102" i="7"/>
  <c r="BD102" i="7"/>
  <c r="BY102" i="7"/>
  <c r="CR102" i="7"/>
  <c r="H103" i="7"/>
  <c r="AB103" i="7"/>
  <c r="AW103" i="7"/>
  <c r="BP103" i="7"/>
  <c r="CK103" i="7"/>
  <c r="DE103" i="7"/>
  <c r="U104" i="7"/>
  <c r="AN104" i="7"/>
  <c r="BI104" i="7"/>
  <c r="CC104" i="7"/>
  <c r="L105" i="7"/>
  <c r="AG105" i="7"/>
  <c r="BA105" i="7"/>
  <c r="BV105" i="7"/>
  <c r="CO105" i="7"/>
  <c r="E106" i="7"/>
  <c r="Y106" i="7"/>
  <c r="AT106" i="7"/>
  <c r="BM106" i="7"/>
  <c r="CH106" i="7"/>
  <c r="DB106" i="7"/>
  <c r="R107" i="7"/>
  <c r="AK107" i="7"/>
  <c r="BF107" i="7"/>
  <c r="BZ107" i="7"/>
  <c r="I108" i="7"/>
  <c r="AD108" i="7"/>
  <c r="AX108" i="7"/>
  <c r="BS108" i="7"/>
  <c r="CL108" i="7"/>
  <c r="DG108" i="7"/>
  <c r="V109" i="7"/>
  <c r="AQ109" i="7"/>
  <c r="BJ109" i="7"/>
  <c r="CE109" i="7"/>
  <c r="CY109" i="7"/>
  <c r="O110" i="7"/>
  <c r="AH110" i="7"/>
  <c r="BC110" i="7"/>
  <c r="BW110" i="7"/>
  <c r="F111" i="7"/>
  <c r="AA111" i="7"/>
  <c r="BG111" i="7"/>
  <c r="CU111" i="7"/>
  <c r="AE112" i="7"/>
  <c r="BS112" i="7"/>
  <c r="DH112" i="7"/>
  <c r="I98" i="7"/>
  <c r="O98" i="7"/>
  <c r="V98" i="7"/>
  <c r="AB98" i="7"/>
  <c r="AJ98" i="7"/>
  <c r="AP98" i="7"/>
  <c r="AW98" i="7"/>
  <c r="BC98" i="7"/>
  <c r="BK98" i="7"/>
  <c r="BQ98" i="7"/>
  <c r="BX98" i="7"/>
  <c r="CD98" i="7"/>
  <c r="CL98" i="7"/>
  <c r="CR98" i="7"/>
  <c r="CY98" i="7"/>
  <c r="F101" i="7"/>
  <c r="L101" i="7"/>
  <c r="S101" i="7"/>
  <c r="Y101" i="7"/>
  <c r="AG101" i="7"/>
  <c r="AM101" i="7"/>
  <c r="AT101" i="7"/>
  <c r="AZ101" i="7"/>
  <c r="BH101" i="7"/>
  <c r="BN101" i="7"/>
  <c r="BU101" i="7"/>
  <c r="CA101" i="7"/>
  <c r="CI101" i="7"/>
  <c r="CO101" i="7"/>
  <c r="CV101" i="7"/>
  <c r="I104" i="7"/>
  <c r="P104" i="7"/>
  <c r="V104" i="7"/>
  <c r="AD104" i="7"/>
  <c r="AJ104" i="7"/>
  <c r="AQ104" i="7"/>
  <c r="AW104" i="7"/>
  <c r="BE104" i="7"/>
  <c r="BK104" i="7"/>
  <c r="BR104" i="7"/>
  <c r="BX104" i="7"/>
  <c r="CF104" i="7"/>
  <c r="CL104" i="7"/>
  <c r="CS104" i="7"/>
  <c r="CY104" i="7"/>
  <c r="F107" i="7"/>
  <c r="M107" i="7"/>
  <c r="S107" i="7"/>
  <c r="AA107" i="7"/>
  <c r="AG107" i="7"/>
  <c r="AN107" i="7"/>
  <c r="AT107" i="7"/>
  <c r="BB107" i="7"/>
  <c r="BH107" i="7"/>
  <c r="BO107" i="7"/>
  <c r="BU107" i="7"/>
  <c r="CC107" i="7"/>
  <c r="CI107" i="7"/>
  <c r="CP107" i="7"/>
  <c r="CV107" i="7"/>
  <c r="J110" i="7"/>
  <c r="P110" i="7"/>
  <c r="X110" i="7"/>
  <c r="AD110" i="7"/>
  <c r="AK110" i="7"/>
  <c r="AQ110" i="7"/>
  <c r="AY110" i="7"/>
  <c r="BE110" i="7"/>
  <c r="BL110" i="7"/>
  <c r="BR110" i="7"/>
  <c r="BZ110" i="7"/>
  <c r="CF110" i="7"/>
  <c r="CM110" i="7"/>
  <c r="CS110" i="7"/>
  <c r="DA110" i="7"/>
  <c r="G113" i="7"/>
  <c r="U113" i="7"/>
  <c r="DG89" i="7"/>
  <c r="DD89" i="7"/>
  <c r="DA89" i="7"/>
  <c r="CX89" i="7"/>
  <c r="CU89" i="7"/>
  <c r="CR89" i="7"/>
  <c r="CO89" i="7"/>
  <c r="CL89" i="7"/>
  <c r="CI89" i="7"/>
  <c r="CF89" i="7"/>
  <c r="CC89" i="7"/>
  <c r="BZ89" i="7"/>
  <c r="BW89" i="7"/>
  <c r="BT89" i="7"/>
  <c r="BQ89" i="7"/>
  <c r="BN89" i="7"/>
  <c r="BK89" i="7"/>
  <c r="BH89" i="7"/>
  <c r="BE89" i="7"/>
  <c r="BB89" i="7"/>
  <c r="AY89" i="7"/>
  <c r="AV89" i="7"/>
  <c r="AS89" i="7"/>
  <c r="AP89" i="7"/>
  <c r="AM89" i="7"/>
  <c r="AJ89" i="7"/>
  <c r="DG92" i="7"/>
  <c r="DD92" i="7"/>
  <c r="DA92" i="7"/>
  <c r="CX92" i="7"/>
  <c r="CU92" i="7"/>
  <c r="CR92" i="7"/>
  <c r="CO92" i="7"/>
  <c r="CL92" i="7"/>
  <c r="CI92" i="7"/>
  <c r="CF92" i="7"/>
  <c r="CC92" i="7"/>
  <c r="BZ92" i="7"/>
  <c r="BW92" i="7"/>
  <c r="BT92" i="7"/>
  <c r="BQ92" i="7"/>
  <c r="BN92" i="7"/>
  <c r="BK92" i="7"/>
  <c r="BH92" i="7"/>
  <c r="BE92" i="7"/>
  <c r="BB92" i="7"/>
  <c r="AY92" i="7"/>
  <c r="AV92" i="7"/>
  <c r="AS92" i="7"/>
  <c r="AP92" i="7"/>
  <c r="AM92" i="7"/>
  <c r="AJ92" i="7"/>
  <c r="AG92" i="7"/>
  <c r="AD92" i="7"/>
  <c r="AA92" i="7"/>
  <c r="X92" i="7"/>
  <c r="U92" i="7"/>
  <c r="R92" i="7"/>
  <c r="O92" i="7"/>
  <c r="L92" i="7"/>
  <c r="I92" i="7"/>
  <c r="F92" i="7"/>
  <c r="DI95" i="7"/>
  <c r="DF95" i="7"/>
  <c r="DC95" i="7"/>
  <c r="CZ95" i="7"/>
  <c r="CW95" i="7"/>
  <c r="CT95" i="7"/>
  <c r="CQ95" i="7"/>
  <c r="CN95" i="7"/>
  <c r="CK95" i="7"/>
  <c r="CH95" i="7"/>
  <c r="CE95" i="7"/>
  <c r="CB95" i="7"/>
  <c r="BY95" i="7"/>
  <c r="BV95" i="7"/>
  <c r="BS95" i="7"/>
  <c r="BP95" i="7"/>
  <c r="BM95" i="7"/>
  <c r="BJ95" i="7"/>
  <c r="BG95" i="7"/>
  <c r="BD95" i="7"/>
  <c r="BA95" i="7"/>
  <c r="AX95" i="7"/>
  <c r="AU95" i="7"/>
  <c r="AR95" i="7"/>
  <c r="AO95" i="7"/>
  <c r="AL95" i="7"/>
  <c r="AI95" i="7"/>
  <c r="AF95" i="7"/>
  <c r="AC95" i="7"/>
  <c r="Z95" i="7"/>
  <c r="W95" i="7"/>
  <c r="T95" i="7"/>
  <c r="Q95" i="7"/>
  <c r="N95" i="7"/>
  <c r="K95" i="7"/>
  <c r="H95" i="7"/>
  <c r="E95" i="7"/>
  <c r="DE95" i="7"/>
  <c r="DA95" i="7"/>
  <c r="CV95" i="7"/>
  <c r="CR95" i="7"/>
  <c r="CM95" i="7"/>
  <c r="CI95" i="7"/>
  <c r="CD95" i="7"/>
  <c r="BZ95" i="7"/>
  <c r="BU95" i="7"/>
  <c r="BQ95" i="7"/>
  <c r="BL95" i="7"/>
  <c r="BH95" i="7"/>
  <c r="BC95" i="7"/>
  <c r="AY95" i="7"/>
  <c r="AT95" i="7"/>
  <c r="AP95" i="7"/>
  <c r="AK95" i="7"/>
  <c r="AG95" i="7"/>
  <c r="AB95" i="7"/>
  <c r="X95" i="7"/>
  <c r="S95" i="7"/>
  <c r="O95" i="7"/>
  <c r="J95" i="7"/>
  <c r="F95" i="7"/>
  <c r="DI98" i="7"/>
  <c r="DF98" i="7"/>
  <c r="DC98" i="7"/>
  <c r="CZ98" i="7"/>
  <c r="CW98" i="7"/>
  <c r="CT98" i="7"/>
  <c r="CQ98" i="7"/>
  <c r="CN98" i="7"/>
  <c r="CK98" i="7"/>
  <c r="CH98" i="7"/>
  <c r="CE98" i="7"/>
  <c r="CB98" i="7"/>
  <c r="BY98" i="7"/>
  <c r="BV98" i="7"/>
  <c r="BS98" i="7"/>
  <c r="BP98" i="7"/>
  <c r="BM98" i="7"/>
  <c r="BJ98" i="7"/>
  <c r="BG98" i="7"/>
  <c r="BD98" i="7"/>
  <c r="BA98" i="7"/>
  <c r="AX98" i="7"/>
  <c r="AU98" i="7"/>
  <c r="AR98" i="7"/>
  <c r="AO98" i="7"/>
  <c r="AL98" i="7"/>
  <c r="AI98" i="7"/>
  <c r="AF98" i="7"/>
  <c r="AC98" i="7"/>
  <c r="Z98" i="7"/>
  <c r="W98" i="7"/>
  <c r="T98" i="7"/>
  <c r="Q98" i="7"/>
  <c r="N98" i="7"/>
  <c r="K98" i="7"/>
  <c r="H98" i="7"/>
  <c r="E98" i="7"/>
  <c r="DG98" i="7"/>
  <c r="DB98" i="7"/>
  <c r="CX98" i="7"/>
  <c r="CS98" i="7"/>
  <c r="CO98" i="7"/>
  <c r="CJ98" i="7"/>
  <c r="CF98" i="7"/>
  <c r="CA98" i="7"/>
  <c r="BW98" i="7"/>
  <c r="BR98" i="7"/>
  <c r="BN98" i="7"/>
  <c r="BI98" i="7"/>
  <c r="BE98" i="7"/>
  <c r="AZ98" i="7"/>
  <c r="AV98" i="7"/>
  <c r="AQ98" i="7"/>
  <c r="AM98" i="7"/>
  <c r="AH98" i="7"/>
  <c r="AD98" i="7"/>
  <c r="Y98" i="7"/>
  <c r="U98" i="7"/>
  <c r="P98" i="7"/>
  <c r="L98" i="7"/>
  <c r="G98" i="7"/>
  <c r="DI101" i="7"/>
  <c r="DF101" i="7"/>
  <c r="DC101" i="7"/>
  <c r="CZ101" i="7"/>
  <c r="CW101" i="7"/>
  <c r="CT101" i="7"/>
  <c r="CQ101" i="7"/>
  <c r="CN101" i="7"/>
  <c r="CK101" i="7"/>
  <c r="CH101" i="7"/>
  <c r="CE101" i="7"/>
  <c r="CB101" i="7"/>
  <c r="BY101" i="7"/>
  <c r="BV101" i="7"/>
  <c r="BS101" i="7"/>
  <c r="BP101" i="7"/>
  <c r="BM101" i="7"/>
  <c r="BJ101" i="7"/>
  <c r="BG101" i="7"/>
  <c r="BD101" i="7"/>
  <c r="BA101" i="7"/>
  <c r="AX101" i="7"/>
  <c r="AU101" i="7"/>
  <c r="AR101" i="7"/>
  <c r="AO101" i="7"/>
  <c r="AL101" i="7"/>
  <c r="AI101" i="7"/>
  <c r="AF101" i="7"/>
  <c r="AC101" i="7"/>
  <c r="Z101" i="7"/>
  <c r="W101" i="7"/>
  <c r="T101" i="7"/>
  <c r="Q101" i="7"/>
  <c r="N101" i="7"/>
  <c r="K101" i="7"/>
  <c r="H101" i="7"/>
  <c r="E101" i="7"/>
  <c r="DH101" i="7"/>
  <c r="DD101" i="7"/>
  <c r="CY101" i="7"/>
  <c r="CU101" i="7"/>
  <c r="CP101" i="7"/>
  <c r="CL101" i="7"/>
  <c r="CG101" i="7"/>
  <c r="CC101" i="7"/>
  <c r="BX101" i="7"/>
  <c r="BT101" i="7"/>
  <c r="BO101" i="7"/>
  <c r="BK101" i="7"/>
  <c r="BF101" i="7"/>
  <c r="BB101" i="7"/>
  <c r="AW101" i="7"/>
  <c r="AS101" i="7"/>
  <c r="AN101" i="7"/>
  <c r="AJ101" i="7"/>
  <c r="AE101" i="7"/>
  <c r="AA101" i="7"/>
  <c r="V101" i="7"/>
  <c r="R101" i="7"/>
  <c r="M101" i="7"/>
  <c r="I101" i="7"/>
  <c r="DI104" i="7"/>
  <c r="DF104" i="7"/>
  <c r="DC104" i="7"/>
  <c r="CZ104" i="7"/>
  <c r="CW104" i="7"/>
  <c r="CT104" i="7"/>
  <c r="CQ104" i="7"/>
  <c r="CN104" i="7"/>
  <c r="CK104" i="7"/>
  <c r="CH104" i="7"/>
  <c r="CE104" i="7"/>
  <c r="CB104" i="7"/>
  <c r="BY104" i="7"/>
  <c r="BV104" i="7"/>
  <c r="BS104" i="7"/>
  <c r="BP104" i="7"/>
  <c r="BM104" i="7"/>
  <c r="BJ104" i="7"/>
  <c r="BG104" i="7"/>
  <c r="BD104" i="7"/>
  <c r="BA104" i="7"/>
  <c r="AX104" i="7"/>
  <c r="AU104" i="7"/>
  <c r="AR104" i="7"/>
  <c r="AO104" i="7"/>
  <c r="AL104" i="7"/>
  <c r="AI104" i="7"/>
  <c r="AF104" i="7"/>
  <c r="AC104" i="7"/>
  <c r="Z104" i="7"/>
  <c r="W104" i="7"/>
  <c r="T104" i="7"/>
  <c r="Q104" i="7"/>
  <c r="N104" i="7"/>
  <c r="K104" i="7"/>
  <c r="H104" i="7"/>
  <c r="E104" i="7"/>
  <c r="DE104" i="7"/>
  <c r="DA104" i="7"/>
  <c r="CV104" i="7"/>
  <c r="CR104" i="7"/>
  <c r="CM104" i="7"/>
  <c r="CI104" i="7"/>
  <c r="CD104" i="7"/>
  <c r="BZ104" i="7"/>
  <c r="BU104" i="7"/>
  <c r="BQ104" i="7"/>
  <c r="BL104" i="7"/>
  <c r="BH104" i="7"/>
  <c r="BC104" i="7"/>
  <c r="AY104" i="7"/>
  <c r="AT104" i="7"/>
  <c r="AP104" i="7"/>
  <c r="AK104" i="7"/>
  <c r="AG104" i="7"/>
  <c r="AB104" i="7"/>
  <c r="X104" i="7"/>
  <c r="S104" i="7"/>
  <c r="O104" i="7"/>
  <c r="J104" i="7"/>
  <c r="F104" i="7"/>
  <c r="DI107" i="7"/>
  <c r="DF107" i="7"/>
  <c r="DC107" i="7"/>
  <c r="CZ107" i="7"/>
  <c r="CW107" i="7"/>
  <c r="CT107" i="7"/>
  <c r="CQ107" i="7"/>
  <c r="CN107" i="7"/>
  <c r="CK107" i="7"/>
  <c r="CH107" i="7"/>
  <c r="CE107" i="7"/>
  <c r="CB107" i="7"/>
  <c r="BY107" i="7"/>
  <c r="BV107" i="7"/>
  <c r="BS107" i="7"/>
  <c r="BP107" i="7"/>
  <c r="BM107" i="7"/>
  <c r="BJ107" i="7"/>
  <c r="BG107" i="7"/>
  <c r="BD107" i="7"/>
  <c r="BA107" i="7"/>
  <c r="AX107" i="7"/>
  <c r="AU107" i="7"/>
  <c r="AR107" i="7"/>
  <c r="AO107" i="7"/>
  <c r="AL107" i="7"/>
  <c r="AI107" i="7"/>
  <c r="AF107" i="7"/>
  <c r="AC107" i="7"/>
  <c r="Z107" i="7"/>
  <c r="W107" i="7"/>
  <c r="T107" i="7"/>
  <c r="Q107" i="7"/>
  <c r="N107" i="7"/>
  <c r="K107" i="7"/>
  <c r="H107" i="7"/>
  <c r="E107" i="7"/>
  <c r="DG107" i="7"/>
  <c r="DB107" i="7"/>
  <c r="CX107" i="7"/>
  <c r="CS107" i="7"/>
  <c r="CO107" i="7"/>
  <c r="CJ107" i="7"/>
  <c r="CF107" i="7"/>
  <c r="CA107" i="7"/>
  <c r="BW107" i="7"/>
  <c r="BR107" i="7"/>
  <c r="BN107" i="7"/>
  <c r="BI107" i="7"/>
  <c r="BE107" i="7"/>
  <c r="AZ107" i="7"/>
  <c r="AV107" i="7"/>
  <c r="AQ107" i="7"/>
  <c r="AM107" i="7"/>
  <c r="AH107" i="7"/>
  <c r="AD107" i="7"/>
  <c r="Y107" i="7"/>
  <c r="U107" i="7"/>
  <c r="P107" i="7"/>
  <c r="L107" i="7"/>
  <c r="G107" i="7"/>
  <c r="DI110" i="7"/>
  <c r="DF110" i="7"/>
  <c r="DC110" i="7"/>
  <c r="CZ110" i="7"/>
  <c r="CW110" i="7"/>
  <c r="CT110" i="7"/>
  <c r="CQ110" i="7"/>
  <c r="CN110" i="7"/>
  <c r="CK110" i="7"/>
  <c r="CH110" i="7"/>
  <c r="CE110" i="7"/>
  <c r="CB110" i="7"/>
  <c r="BY110" i="7"/>
  <c r="BV110" i="7"/>
  <c r="BS110" i="7"/>
  <c r="BP110" i="7"/>
  <c r="BM110" i="7"/>
  <c r="BJ110" i="7"/>
  <c r="BG110" i="7"/>
  <c r="BD110" i="7"/>
  <c r="BA110" i="7"/>
  <c r="AX110" i="7"/>
  <c r="AU110" i="7"/>
  <c r="AR110" i="7"/>
  <c r="AO110" i="7"/>
  <c r="AL110" i="7"/>
  <c r="AI110" i="7"/>
  <c r="AF110" i="7"/>
  <c r="AC110" i="7"/>
  <c r="Z110" i="7"/>
  <c r="W110" i="7"/>
  <c r="T110" i="7"/>
  <c r="Q110" i="7"/>
  <c r="N110" i="7"/>
  <c r="K110" i="7"/>
  <c r="H110" i="7"/>
  <c r="E110" i="7"/>
  <c r="DH110" i="7"/>
  <c r="DD110" i="7"/>
  <c r="CY110" i="7"/>
  <c r="CU110" i="7"/>
  <c r="CP110" i="7"/>
  <c r="CL110" i="7"/>
  <c r="CG110" i="7"/>
  <c r="CC110" i="7"/>
  <c r="BX110" i="7"/>
  <c r="BT110" i="7"/>
  <c r="BO110" i="7"/>
  <c r="BK110" i="7"/>
  <c r="BF110" i="7"/>
  <c r="BB110" i="7"/>
  <c r="AW110" i="7"/>
  <c r="AS110" i="7"/>
  <c r="AN110" i="7"/>
  <c r="AJ110" i="7"/>
  <c r="AE110" i="7"/>
  <c r="AA110" i="7"/>
  <c r="V110" i="7"/>
  <c r="R110" i="7"/>
  <c r="M110" i="7"/>
  <c r="I110" i="7"/>
  <c r="DI113" i="7"/>
  <c r="DF113" i="7"/>
  <c r="DC113" i="7"/>
  <c r="CZ113" i="7"/>
  <c r="CW113" i="7"/>
  <c r="CT113" i="7"/>
  <c r="CQ113" i="7"/>
  <c r="CN113" i="7"/>
  <c r="CK113" i="7"/>
  <c r="CH113" i="7"/>
  <c r="CE113" i="7"/>
  <c r="CB113" i="7"/>
  <c r="BY113" i="7"/>
  <c r="BV113" i="7"/>
  <c r="BS113" i="7"/>
  <c r="BP113" i="7"/>
  <c r="BM113" i="7"/>
  <c r="BJ113" i="7"/>
  <c r="BG113" i="7"/>
  <c r="BD113" i="7"/>
  <c r="BA113" i="7"/>
  <c r="AX113" i="7"/>
  <c r="AU113" i="7"/>
  <c r="AR113" i="7"/>
  <c r="AO113" i="7"/>
  <c r="AL113" i="7"/>
  <c r="AI113" i="7"/>
  <c r="AF113" i="7"/>
  <c r="AC113" i="7"/>
  <c r="Z113" i="7"/>
  <c r="W113" i="7"/>
  <c r="T113" i="7"/>
  <c r="Q113" i="7"/>
  <c r="N113" i="7"/>
  <c r="K113" i="7"/>
  <c r="H113" i="7"/>
  <c r="E113" i="7"/>
  <c r="DE113" i="7"/>
  <c r="DA113" i="7"/>
  <c r="CV113" i="7"/>
  <c r="CR113" i="7"/>
  <c r="CM113" i="7"/>
  <c r="CI113" i="7"/>
  <c r="CD113" i="7"/>
  <c r="BZ113" i="7"/>
  <c r="BU113" i="7"/>
  <c r="BQ113" i="7"/>
  <c r="BL113" i="7"/>
  <c r="BH113" i="7"/>
  <c r="BC113" i="7"/>
  <c r="AY113" i="7"/>
  <c r="AT113" i="7"/>
  <c r="AP113" i="7"/>
  <c r="AK113" i="7"/>
  <c r="AG113" i="7"/>
  <c r="AB113" i="7"/>
  <c r="X113" i="7"/>
  <c r="S113" i="7"/>
  <c r="O113" i="7"/>
  <c r="J113" i="7"/>
  <c r="F113" i="7"/>
  <c r="DH113" i="7"/>
  <c r="DD113" i="7"/>
  <c r="CY113" i="7"/>
  <c r="CU113" i="7"/>
  <c r="CP113" i="7"/>
  <c r="CL113" i="7"/>
  <c r="CG113" i="7"/>
  <c r="CC113" i="7"/>
  <c r="BX113" i="7"/>
  <c r="BT113" i="7"/>
  <c r="BO113" i="7"/>
  <c r="BK113" i="7"/>
  <c r="BF113" i="7"/>
  <c r="BB113" i="7"/>
  <c r="AW113" i="7"/>
  <c r="AS113" i="7"/>
  <c r="AN113" i="7"/>
  <c r="AJ113" i="7"/>
  <c r="AE113" i="7"/>
  <c r="AA113" i="7"/>
  <c r="V113" i="7"/>
  <c r="R113" i="7"/>
  <c r="M113" i="7"/>
  <c r="I113" i="7"/>
  <c r="DG113" i="7"/>
  <c r="DB113" i="7"/>
  <c r="CX113" i="7"/>
  <c r="CS113" i="7"/>
  <c r="CO113" i="7"/>
  <c r="CJ113" i="7"/>
  <c r="CF113" i="7"/>
  <c r="CA113" i="7"/>
  <c r="BW113" i="7"/>
  <c r="BR113" i="7"/>
  <c r="BN113" i="7"/>
  <c r="BI113" i="7"/>
  <c r="BE113" i="7"/>
  <c r="AZ113" i="7"/>
  <c r="AV113" i="7"/>
  <c r="AQ113" i="7"/>
  <c r="DI116" i="7"/>
  <c r="DF116" i="7"/>
  <c r="DC116" i="7"/>
  <c r="CZ116" i="7"/>
  <c r="CW116" i="7"/>
  <c r="CT116" i="7"/>
  <c r="CQ116" i="7"/>
  <c r="CN116" i="7"/>
  <c r="CK116" i="7"/>
  <c r="CH116" i="7"/>
  <c r="CE116" i="7"/>
  <c r="CB116" i="7"/>
  <c r="BY116" i="7"/>
  <c r="BV116" i="7"/>
  <c r="BS116" i="7"/>
  <c r="BP116" i="7"/>
  <c r="BM116" i="7"/>
  <c r="BJ116" i="7"/>
  <c r="BG116" i="7"/>
  <c r="BD116" i="7"/>
  <c r="BA116" i="7"/>
  <c r="AX116" i="7"/>
  <c r="AU116" i="7"/>
  <c r="AR116" i="7"/>
  <c r="AO116" i="7"/>
  <c r="AL116" i="7"/>
  <c r="AI116" i="7"/>
  <c r="AF116" i="7"/>
  <c r="AC116" i="7"/>
  <c r="Z116" i="7"/>
  <c r="W116" i="7"/>
  <c r="T116" i="7"/>
  <c r="Q116" i="7"/>
  <c r="N116" i="7"/>
  <c r="K116" i="7"/>
  <c r="H116" i="7"/>
  <c r="E116" i="7"/>
  <c r="DG116" i="7"/>
  <c r="DB116" i="7"/>
  <c r="CX116" i="7"/>
  <c r="CS116" i="7"/>
  <c r="CO116" i="7"/>
  <c r="CJ116" i="7"/>
  <c r="CF116" i="7"/>
  <c r="CA116" i="7"/>
  <c r="BW116" i="7"/>
  <c r="BR116" i="7"/>
  <c r="BN116" i="7"/>
  <c r="BI116" i="7"/>
  <c r="BE116" i="7"/>
  <c r="AZ116" i="7"/>
  <c r="AV116" i="7"/>
  <c r="AQ116" i="7"/>
  <c r="AM116" i="7"/>
  <c r="AH116" i="7"/>
  <c r="AD116" i="7"/>
  <c r="Y116" i="7"/>
  <c r="U116" i="7"/>
  <c r="P116" i="7"/>
  <c r="L116" i="7"/>
  <c r="G116" i="7"/>
  <c r="DE116" i="7"/>
  <c r="DA116" i="7"/>
  <c r="CV116" i="7"/>
  <c r="CR116" i="7"/>
  <c r="CM116" i="7"/>
  <c r="CI116" i="7"/>
  <c r="CD116" i="7"/>
  <c r="BZ116" i="7"/>
  <c r="BU116" i="7"/>
  <c r="BQ116" i="7"/>
  <c r="BL116" i="7"/>
  <c r="BH116" i="7"/>
  <c r="BC116" i="7"/>
  <c r="AY116" i="7"/>
  <c r="AT116" i="7"/>
  <c r="AP116" i="7"/>
  <c r="AK116" i="7"/>
  <c r="AG116" i="7"/>
  <c r="AB116" i="7"/>
  <c r="X116" i="7"/>
  <c r="S116" i="7"/>
  <c r="O116" i="7"/>
  <c r="J116" i="7"/>
  <c r="F116" i="7"/>
  <c r="DH116" i="7"/>
  <c r="DD116" i="7"/>
  <c r="CY116" i="7"/>
  <c r="CU116" i="7"/>
  <c r="CP116" i="7"/>
  <c r="CL116" i="7"/>
  <c r="CG116" i="7"/>
  <c r="CC116" i="7"/>
  <c r="BX116" i="7"/>
  <c r="BT116" i="7"/>
  <c r="BO116" i="7"/>
  <c r="BK116" i="7"/>
  <c r="BF116" i="7"/>
  <c r="BB116" i="7"/>
  <c r="AW116" i="7"/>
  <c r="AS116" i="7"/>
  <c r="AN116" i="7"/>
  <c r="AJ116" i="7"/>
  <c r="AE116" i="7"/>
  <c r="AA116" i="7"/>
  <c r="V116" i="7"/>
  <c r="R116" i="7"/>
  <c r="M116" i="7"/>
  <c r="I116" i="7"/>
  <c r="DI119" i="7"/>
  <c r="DF119" i="7"/>
  <c r="DC119" i="7"/>
  <c r="CZ119" i="7"/>
  <c r="CW119" i="7"/>
  <c r="CT119" i="7"/>
  <c r="CQ119" i="7"/>
  <c r="CN119" i="7"/>
  <c r="CK119" i="7"/>
  <c r="CH119" i="7"/>
  <c r="CE119" i="7"/>
  <c r="CB119" i="7"/>
  <c r="BY119" i="7"/>
  <c r="BV119" i="7"/>
  <c r="BS119" i="7"/>
  <c r="BP119" i="7"/>
  <c r="BM119" i="7"/>
  <c r="BJ119" i="7"/>
  <c r="BG119" i="7"/>
  <c r="BD119" i="7"/>
  <c r="BA119" i="7"/>
  <c r="AX119" i="7"/>
  <c r="AU119" i="7"/>
  <c r="AR119" i="7"/>
  <c r="AO119" i="7"/>
  <c r="AL119" i="7"/>
  <c r="AI119" i="7"/>
  <c r="AF119" i="7"/>
  <c r="AC119" i="7"/>
  <c r="Z119" i="7"/>
  <c r="W119" i="7"/>
  <c r="T119" i="7"/>
  <c r="Q119" i="7"/>
  <c r="N119" i="7"/>
  <c r="K119" i="7"/>
  <c r="H119" i="7"/>
  <c r="E119" i="7"/>
  <c r="DG119" i="7"/>
  <c r="DD119" i="7"/>
  <c r="DA119" i="7"/>
  <c r="DH119" i="7"/>
  <c r="CY119" i="7"/>
  <c r="CU119" i="7"/>
  <c r="CP119" i="7"/>
  <c r="CL119" i="7"/>
  <c r="CG119" i="7"/>
  <c r="CC119" i="7"/>
  <c r="BX119" i="7"/>
  <c r="BT119" i="7"/>
  <c r="BO119" i="7"/>
  <c r="BK119" i="7"/>
  <c r="BF119" i="7"/>
  <c r="BB119" i="7"/>
  <c r="AW119" i="7"/>
  <c r="AS119" i="7"/>
  <c r="AN119" i="7"/>
  <c r="AJ119" i="7"/>
  <c r="AE119" i="7"/>
  <c r="AA119" i="7"/>
  <c r="V119" i="7"/>
  <c r="R119" i="7"/>
  <c r="M119" i="7"/>
  <c r="I119" i="7"/>
  <c r="DE119" i="7"/>
  <c r="CX119" i="7"/>
  <c r="CS119" i="7"/>
  <c r="CO119" i="7"/>
  <c r="CJ119" i="7"/>
  <c r="CF119" i="7"/>
  <c r="CA119" i="7"/>
  <c r="BW119" i="7"/>
  <c r="BR119" i="7"/>
  <c r="BN119" i="7"/>
  <c r="BI119" i="7"/>
  <c r="BE119" i="7"/>
  <c r="AZ119" i="7"/>
  <c r="AV119" i="7"/>
  <c r="AQ119" i="7"/>
  <c r="AM119" i="7"/>
  <c r="AH119" i="7"/>
  <c r="AD119" i="7"/>
  <c r="Y119" i="7"/>
  <c r="U119" i="7"/>
  <c r="P119" i="7"/>
  <c r="L119" i="7"/>
  <c r="G119" i="7"/>
  <c r="DB119" i="7"/>
  <c r="CV119" i="7"/>
  <c r="CR119" i="7"/>
  <c r="CM119" i="7"/>
  <c r="CI119" i="7"/>
  <c r="CD119" i="7"/>
  <c r="BZ119" i="7"/>
  <c r="BU119" i="7"/>
  <c r="BQ119" i="7"/>
  <c r="BL119" i="7"/>
  <c r="BH119" i="7"/>
  <c r="BC119" i="7"/>
  <c r="AY119" i="7"/>
  <c r="AT119" i="7"/>
  <c r="AP119" i="7"/>
  <c r="AK119" i="7"/>
  <c r="AG119" i="7"/>
  <c r="AB119" i="7"/>
  <c r="X119" i="7"/>
  <c r="S119" i="7"/>
  <c r="O119" i="7"/>
  <c r="J119" i="7"/>
  <c r="F119" i="7"/>
  <c r="F86" i="7"/>
  <c r="I86" i="7"/>
  <c r="L86" i="7"/>
  <c r="O86" i="7"/>
  <c r="R86" i="7"/>
  <c r="U86" i="7"/>
  <c r="X86" i="7"/>
  <c r="AA86" i="7"/>
  <c r="AD86" i="7"/>
  <c r="AG86" i="7"/>
  <c r="AJ86" i="7"/>
  <c r="AM86" i="7"/>
  <c r="AP86" i="7"/>
  <c r="AS86" i="7"/>
  <c r="AV86" i="7"/>
  <c r="AY86" i="7"/>
  <c r="BB86" i="7"/>
  <c r="BE86" i="7"/>
  <c r="BH86" i="7"/>
  <c r="BK86" i="7"/>
  <c r="BN86" i="7"/>
  <c r="BQ86" i="7"/>
  <c r="BT86" i="7"/>
  <c r="BW86" i="7"/>
  <c r="BZ86" i="7"/>
  <c r="CC86" i="7"/>
  <c r="CF86" i="7"/>
  <c r="CI86" i="7"/>
  <c r="CL86" i="7"/>
  <c r="CO86" i="7"/>
  <c r="CR86" i="7"/>
  <c r="CU86" i="7"/>
  <c r="CX86" i="7"/>
  <c r="DA86" i="7"/>
  <c r="DD86" i="7"/>
  <c r="F89" i="7"/>
  <c r="I89" i="7"/>
  <c r="L89" i="7"/>
  <c r="O89" i="7"/>
  <c r="R89" i="7"/>
  <c r="U89" i="7"/>
  <c r="X89" i="7"/>
  <c r="AA89" i="7"/>
  <c r="AD89" i="7"/>
  <c r="AG89" i="7"/>
  <c r="AK89" i="7"/>
  <c r="AO89" i="7"/>
  <c r="AT89" i="7"/>
  <c r="AX89" i="7"/>
  <c r="BC89" i="7"/>
  <c r="BG89" i="7"/>
  <c r="BL89" i="7"/>
  <c r="BP89" i="7"/>
  <c r="BU89" i="7"/>
  <c r="BY89" i="7"/>
  <c r="CD89" i="7"/>
  <c r="CH89" i="7"/>
  <c r="CM89" i="7"/>
  <c r="CQ89" i="7"/>
  <c r="CV89" i="7"/>
  <c r="CZ89" i="7"/>
  <c r="DE89" i="7"/>
  <c r="DI89" i="7"/>
  <c r="G92" i="7"/>
  <c r="K92" i="7"/>
  <c r="P92" i="7"/>
  <c r="T92" i="7"/>
  <c r="Y92" i="7"/>
  <c r="AC92" i="7"/>
  <c r="AH92" i="7"/>
  <c r="AL92" i="7"/>
  <c r="AQ92" i="7"/>
  <c r="AU92" i="7"/>
  <c r="AZ92" i="7"/>
  <c r="BD92" i="7"/>
  <c r="BI92" i="7"/>
  <c r="BM92" i="7"/>
  <c r="BR92" i="7"/>
  <c r="BV92" i="7"/>
  <c r="CA92" i="7"/>
  <c r="CE92" i="7"/>
  <c r="CJ92" i="7"/>
  <c r="CN92" i="7"/>
  <c r="CS92" i="7"/>
  <c r="CW92" i="7"/>
  <c r="DB92" i="7"/>
  <c r="DF92" i="7"/>
  <c r="G95" i="7"/>
  <c r="M95" i="7"/>
  <c r="U95" i="7"/>
  <c r="AA95" i="7"/>
  <c r="AH95" i="7"/>
  <c r="AN95" i="7"/>
  <c r="AV95" i="7"/>
  <c r="BB95" i="7"/>
  <c r="BI95" i="7"/>
  <c r="BO95" i="7"/>
  <c r="BW95" i="7"/>
  <c r="CC95" i="7"/>
  <c r="CJ95" i="7"/>
  <c r="CP95" i="7"/>
  <c r="CX95" i="7"/>
  <c r="DD95" i="7"/>
  <c r="J98" i="7"/>
  <c r="R98" i="7"/>
  <c r="X98" i="7"/>
  <c r="AE98" i="7"/>
  <c r="AK98" i="7"/>
  <c r="AS98" i="7"/>
  <c r="AY98" i="7"/>
  <c r="BF98" i="7"/>
  <c r="BL98" i="7"/>
  <c r="BT98" i="7"/>
  <c r="BZ98" i="7"/>
  <c r="CG98" i="7"/>
  <c r="CM98" i="7"/>
  <c r="CU98" i="7"/>
  <c r="DA98" i="7"/>
  <c r="DH98" i="7"/>
  <c r="G101" i="7"/>
  <c r="O101" i="7"/>
  <c r="U101" i="7"/>
  <c r="AB101" i="7"/>
  <c r="AH101" i="7"/>
  <c r="AP101" i="7"/>
  <c r="AV101" i="7"/>
  <c r="BC101" i="7"/>
  <c r="BI101" i="7"/>
  <c r="BQ101" i="7"/>
  <c r="BW101" i="7"/>
  <c r="CD101" i="7"/>
  <c r="CJ101" i="7"/>
  <c r="CR101" i="7"/>
  <c r="CX101" i="7"/>
  <c r="DE101" i="7"/>
  <c r="L104" i="7"/>
  <c r="R104" i="7"/>
  <c r="Y104" i="7"/>
  <c r="AE104" i="7"/>
  <c r="AM104" i="7"/>
  <c r="AS104" i="7"/>
  <c r="AZ104" i="7"/>
  <c r="BF104" i="7"/>
  <c r="BN104" i="7"/>
  <c r="BT104" i="7"/>
  <c r="CA104" i="7"/>
  <c r="CG104" i="7"/>
  <c r="CO104" i="7"/>
  <c r="CU104" i="7"/>
  <c r="DB104" i="7"/>
  <c r="DH104" i="7"/>
  <c r="I107" i="7"/>
  <c r="O107" i="7"/>
  <c r="V107" i="7"/>
  <c r="AB107" i="7"/>
  <c r="AJ107" i="7"/>
  <c r="AP107" i="7"/>
  <c r="AW107" i="7"/>
  <c r="BC107" i="7"/>
  <c r="BK107" i="7"/>
  <c r="BQ107" i="7"/>
  <c r="BX107" i="7"/>
  <c r="CD107" i="7"/>
  <c r="CL107" i="7"/>
  <c r="CR107" i="7"/>
  <c r="CY107" i="7"/>
  <c r="DE107" i="7"/>
  <c r="F110" i="7"/>
  <c r="L110" i="7"/>
  <c r="S110" i="7"/>
  <c r="Y110" i="7"/>
  <c r="AG110" i="7"/>
  <c r="AM110" i="7"/>
  <c r="AT110" i="7"/>
  <c r="AZ110" i="7"/>
  <c r="BH110" i="7"/>
  <c r="BN110" i="7"/>
  <c r="BU110" i="7"/>
  <c r="CA110" i="7"/>
  <c r="CI110" i="7"/>
  <c r="CO110" i="7"/>
  <c r="CV110" i="7"/>
  <c r="DB110" i="7"/>
  <c r="L113" i="7"/>
  <c r="Y113" i="7"/>
  <c r="AM113" i="7"/>
  <c r="P2" i="9"/>
  <c r="I151" i="8"/>
  <c r="S2" i="9"/>
  <c r="L151" i="8"/>
  <c r="V2" i="9"/>
  <c r="O151" i="8"/>
  <c r="Y2" i="9"/>
  <c r="R151" i="8"/>
  <c r="AB2" i="9"/>
  <c r="U151" i="8"/>
  <c r="AE2" i="9"/>
  <c r="X151" i="8"/>
  <c r="AH2" i="9"/>
  <c r="AA151" i="8"/>
  <c r="AK2" i="9"/>
  <c r="AD151" i="8"/>
  <c r="AN2" i="9"/>
  <c r="AG151" i="8"/>
  <c r="AQ2" i="9"/>
  <c r="AJ151" i="8"/>
  <c r="AT2" i="9"/>
  <c r="AM151" i="8"/>
  <c r="AW2" i="9"/>
  <c r="AP151" i="8"/>
  <c r="AZ2" i="9"/>
  <c r="AS151" i="8"/>
  <c r="BC2" i="9"/>
  <c r="AV151" i="8"/>
  <c r="O41" i="8"/>
  <c r="X41" i="8"/>
  <c r="AG41" i="8"/>
  <c r="AP41" i="8"/>
  <c r="O69" i="8"/>
  <c r="X69" i="8"/>
  <c r="AG69" i="8"/>
  <c r="AP69" i="8"/>
  <c r="L96" i="8"/>
  <c r="U96" i="8"/>
  <c r="AD96" i="8"/>
  <c r="AM96" i="8"/>
  <c r="AV96" i="8"/>
  <c r="I124" i="8"/>
  <c r="R124" i="8"/>
  <c r="AA124" i="8"/>
  <c r="AJ124" i="8"/>
  <c r="AS124" i="8"/>
  <c r="G151" i="8"/>
  <c r="G124" i="8"/>
  <c r="G96" i="8"/>
  <c r="G69" i="8"/>
  <c r="Q2" i="9"/>
  <c r="J124" i="8"/>
  <c r="J96" i="8"/>
  <c r="J69" i="8"/>
  <c r="M151" i="8"/>
  <c r="T2" i="9"/>
  <c r="M124" i="8"/>
  <c r="M96" i="8"/>
  <c r="M69" i="8"/>
  <c r="P151" i="8"/>
  <c r="P124" i="8"/>
  <c r="P96" i="8"/>
  <c r="P69" i="8"/>
  <c r="Z2" i="9"/>
  <c r="S124" i="8"/>
  <c r="S96" i="8"/>
  <c r="S69" i="8"/>
  <c r="V151" i="8"/>
  <c r="AC2" i="9"/>
  <c r="V124" i="8"/>
  <c r="V96" i="8"/>
  <c r="V69" i="8"/>
  <c r="Y151" i="8"/>
  <c r="Y124" i="8"/>
  <c r="Y96" i="8"/>
  <c r="Y69" i="8"/>
  <c r="AI2" i="9"/>
  <c r="AB124" i="8"/>
  <c r="AB96" i="8"/>
  <c r="AB69" i="8"/>
  <c r="AE151" i="8"/>
  <c r="AL2" i="9"/>
  <c r="AE124" i="8"/>
  <c r="AE96" i="8"/>
  <c r="AE69" i="8"/>
  <c r="AH151" i="8"/>
  <c r="AH124" i="8"/>
  <c r="AH96" i="8"/>
  <c r="AH69" i="8"/>
  <c r="AR2" i="9"/>
  <c r="AK124" i="8"/>
  <c r="AK96" i="8"/>
  <c r="AK69" i="8"/>
  <c r="AN151" i="8"/>
  <c r="AU2" i="9"/>
  <c r="AN124" i="8"/>
  <c r="AN96" i="8"/>
  <c r="AN69" i="8"/>
  <c r="AQ151" i="8"/>
  <c r="AQ124" i="8"/>
  <c r="AQ96" i="8"/>
  <c r="AQ69" i="8"/>
  <c r="BA2" i="9"/>
  <c r="AT124" i="8"/>
  <c r="AT96" i="8"/>
  <c r="AT69" i="8"/>
  <c r="G41" i="8"/>
  <c r="L41" i="8"/>
  <c r="P41" i="8"/>
  <c r="U41" i="8"/>
  <c r="Y41" i="8"/>
  <c r="AD41" i="8"/>
  <c r="AH41" i="8"/>
  <c r="AM41" i="8"/>
  <c r="AQ41" i="8"/>
  <c r="AV41" i="8"/>
  <c r="I69" i="8"/>
  <c r="R69" i="8"/>
  <c r="AA69" i="8"/>
  <c r="AJ69" i="8"/>
  <c r="AS69" i="8"/>
  <c r="O96" i="8"/>
  <c r="X96" i="8"/>
  <c r="AG96" i="8"/>
  <c r="AP96" i="8"/>
  <c r="L124" i="8"/>
  <c r="U124" i="8"/>
  <c r="AD124" i="8"/>
  <c r="AM124" i="8"/>
  <c r="AV124" i="8"/>
  <c r="AB151" i="8"/>
  <c r="W2" i="9"/>
  <c r="AX2" i="9"/>
  <c r="H151" i="8"/>
  <c r="H124" i="8"/>
  <c r="H96" i="8"/>
  <c r="H69" i="8"/>
  <c r="H41" i="8"/>
  <c r="O2" i="9"/>
  <c r="K124" i="8"/>
  <c r="K96" i="8"/>
  <c r="K69" i="8"/>
  <c r="K41" i="8"/>
  <c r="K151" i="8"/>
  <c r="U2" i="9"/>
  <c r="N124" i="8"/>
  <c r="N96" i="8"/>
  <c r="N69" i="8"/>
  <c r="N41" i="8"/>
  <c r="Q151" i="8"/>
  <c r="Q124" i="8"/>
  <c r="Q96" i="8"/>
  <c r="Q69" i="8"/>
  <c r="Q41" i="8"/>
  <c r="X2" i="9"/>
  <c r="T124" i="8"/>
  <c r="T96" i="8"/>
  <c r="T69" i="8"/>
  <c r="T41" i="8"/>
  <c r="T151" i="8"/>
  <c r="AD2" i="9"/>
  <c r="W124" i="8"/>
  <c r="W96" i="8"/>
  <c r="W69" i="8"/>
  <c r="W41" i="8"/>
  <c r="Z151" i="8"/>
  <c r="Z124" i="8"/>
  <c r="Z96" i="8"/>
  <c r="Z69" i="8"/>
  <c r="Z41" i="8"/>
  <c r="AG2" i="9"/>
  <c r="AC124" i="8"/>
  <c r="AC96" i="8"/>
  <c r="AC69" i="8"/>
  <c r="AC41" i="8"/>
  <c r="AC151" i="8"/>
  <c r="AM2" i="9"/>
  <c r="AF124" i="8"/>
  <c r="AF96" i="8"/>
  <c r="AF69" i="8"/>
  <c r="AF41" i="8"/>
  <c r="AI151" i="8"/>
  <c r="AI124" i="8"/>
  <c r="AI96" i="8"/>
  <c r="AI69" i="8"/>
  <c r="AI41" i="8"/>
  <c r="AP2" i="9"/>
  <c r="AL124" i="8"/>
  <c r="AL96" i="8"/>
  <c r="AL69" i="8"/>
  <c r="AL41" i="8"/>
  <c r="AL151" i="8"/>
  <c r="AV2" i="9"/>
  <c r="AO124" i="8"/>
  <c r="AO96" i="8"/>
  <c r="AO69" i="8"/>
  <c r="AO41" i="8"/>
  <c r="AR151" i="8"/>
  <c r="AR124" i="8"/>
  <c r="AR96" i="8"/>
  <c r="AR69" i="8"/>
  <c r="AR41" i="8"/>
  <c r="AY2" i="9"/>
  <c r="AU124" i="8"/>
  <c r="AU96" i="8"/>
  <c r="AU69" i="8"/>
  <c r="AU41" i="8"/>
  <c r="AU151" i="8"/>
  <c r="I41" i="8"/>
  <c r="M41" i="8"/>
  <c r="R41" i="8"/>
  <c r="V41" i="8"/>
  <c r="AA41" i="8"/>
  <c r="AE41" i="8"/>
  <c r="AJ41" i="8"/>
  <c r="AN41" i="8"/>
  <c r="AS41" i="8"/>
  <c r="L69" i="8"/>
  <c r="U69" i="8"/>
  <c r="AD69" i="8"/>
  <c r="AM69" i="8"/>
  <c r="AV69" i="8"/>
  <c r="I96" i="8"/>
  <c r="R96" i="8"/>
  <c r="AA96" i="8"/>
  <c r="AJ96" i="8"/>
  <c r="AS96" i="8"/>
  <c r="O124" i="8"/>
  <c r="X124" i="8"/>
  <c r="AG124" i="8"/>
  <c r="AP124" i="8"/>
  <c r="S151" i="8"/>
  <c r="AF151" i="8"/>
  <c r="AT151" i="8"/>
  <c r="N2" i="9"/>
  <c r="AA2" i="9"/>
  <c r="AO2" i="9"/>
  <c r="BB2" i="9"/>
  <c r="F145" i="8"/>
  <c r="F160" i="8"/>
  <c r="F169" i="8"/>
  <c r="Y69" i="4"/>
  <c r="AW49" i="4"/>
  <c r="AW48" i="4"/>
  <c r="AW47" i="4"/>
  <c r="AW46" i="4"/>
  <c r="AW45" i="4"/>
  <c r="AW44" i="4"/>
  <c r="AM42" i="4"/>
  <c r="AL42" i="4"/>
  <c r="AK42" i="4"/>
  <c r="AI42" i="4"/>
  <c r="AH42" i="4"/>
  <c r="AG42" i="4"/>
  <c r="AM41" i="4"/>
  <c r="AL41" i="4"/>
  <c r="AK41" i="4"/>
  <c r="AI41" i="4"/>
  <c r="AH41" i="4"/>
  <c r="AG41" i="4"/>
  <c r="AM40" i="4"/>
  <c r="AL40" i="4"/>
  <c r="AK40" i="4"/>
  <c r="AI40" i="4"/>
  <c r="AH40" i="4"/>
  <c r="AG40" i="4"/>
  <c r="AM39" i="4"/>
  <c r="AL39" i="4"/>
  <c r="AK39" i="4"/>
  <c r="AI39" i="4"/>
  <c r="AH39" i="4"/>
  <c r="AG39" i="4"/>
  <c r="AM38" i="4"/>
  <c r="AL38" i="4"/>
  <c r="AK38" i="4"/>
  <c r="AI38" i="4"/>
  <c r="AH38" i="4"/>
  <c r="AG38" i="4"/>
  <c r="AM37" i="4"/>
  <c r="AL37" i="4"/>
  <c r="AK37" i="4"/>
  <c r="AI37" i="4"/>
  <c r="AH37" i="4"/>
  <c r="AG37" i="4"/>
  <c r="AM36" i="4"/>
  <c r="AL36" i="4"/>
  <c r="AK36" i="4"/>
  <c r="AI36" i="4"/>
  <c r="AH36" i="4"/>
  <c r="AG36" i="4"/>
  <c r="AM35" i="4"/>
  <c r="AL35" i="4"/>
  <c r="AK35" i="4"/>
  <c r="AI35" i="4"/>
  <c r="AH35" i="4"/>
  <c r="AG35" i="4"/>
  <c r="AM34" i="4"/>
  <c r="AL34" i="4"/>
  <c r="AK34" i="4"/>
  <c r="AI34" i="4"/>
  <c r="AH34" i="4"/>
  <c r="AG34" i="4"/>
  <c r="AM33" i="4"/>
  <c r="AL33" i="4"/>
  <c r="AK33" i="4"/>
  <c r="AI33" i="4"/>
  <c r="AH33" i="4"/>
  <c r="AG33" i="4"/>
  <c r="AM32" i="4"/>
  <c r="AL32" i="4"/>
  <c r="AK32" i="4"/>
  <c r="AI32" i="4"/>
  <c r="AH32" i="4"/>
  <c r="AG32" i="4"/>
  <c r="AM31" i="4"/>
  <c r="AL31" i="4"/>
  <c r="AK31" i="4"/>
  <c r="AI31" i="4"/>
  <c r="AH31" i="4"/>
  <c r="AG31" i="4"/>
  <c r="AW30" i="4"/>
  <c r="AM30" i="4"/>
  <c r="AV30" i="4" s="1"/>
  <c r="AL30" i="4"/>
  <c r="AU30" i="4" s="1"/>
  <c r="AK30" i="4"/>
  <c r="AT30" i="4" s="1"/>
  <c r="AI30" i="4"/>
  <c r="AR30" i="4" s="1"/>
  <c r="AH30" i="4"/>
  <c r="AQ30" i="4" s="1"/>
  <c r="AG30" i="4"/>
  <c r="AP30" i="4" s="1"/>
  <c r="AM29" i="4"/>
  <c r="AV29" i="4" s="1"/>
  <c r="AL29" i="4"/>
  <c r="AU29" i="4" s="1"/>
  <c r="AK29" i="4"/>
  <c r="AT29" i="4" s="1"/>
  <c r="AI29" i="4"/>
  <c r="AR29" i="4" s="1"/>
  <c r="AH29" i="4"/>
  <c r="AQ29" i="4" s="1"/>
  <c r="AG29" i="4"/>
  <c r="AP29" i="4" s="1"/>
  <c r="AM28" i="4"/>
  <c r="AV28" i="4" s="1"/>
  <c r="AL28" i="4"/>
  <c r="AU28" i="4" s="1"/>
  <c r="AK28" i="4"/>
  <c r="AT28" i="4" s="1"/>
  <c r="AI28" i="4"/>
  <c r="AR28" i="4" s="1"/>
  <c r="AH28" i="4"/>
  <c r="AQ28" i="4" s="1"/>
  <c r="AG28" i="4"/>
  <c r="AP28" i="4" s="1"/>
  <c r="AM27" i="4"/>
  <c r="AV27" i="4" s="1"/>
  <c r="AL27" i="4"/>
  <c r="AU27" i="4" s="1"/>
  <c r="AK27" i="4"/>
  <c r="AT27" i="4" s="1"/>
  <c r="AI27" i="4"/>
  <c r="AR27" i="4" s="1"/>
  <c r="AH27" i="4"/>
  <c r="AQ27" i="4" s="1"/>
  <c r="AG27" i="4"/>
  <c r="AP27" i="4" s="1"/>
  <c r="AM26" i="4"/>
  <c r="AV26" i="4" s="1"/>
  <c r="AL26" i="4"/>
  <c r="AU26" i="4" s="1"/>
  <c r="AK26" i="4"/>
  <c r="AT26" i="4" s="1"/>
  <c r="AI26" i="4"/>
  <c r="AR26" i="4" s="1"/>
  <c r="AH26" i="4"/>
  <c r="AQ26" i="4" s="1"/>
  <c r="AG26" i="4"/>
  <c r="AP26" i="4" s="1"/>
  <c r="AM25" i="4"/>
  <c r="AV25" i="4" s="1"/>
  <c r="AL25" i="4"/>
  <c r="AU25" i="4" s="1"/>
  <c r="AK25" i="4"/>
  <c r="AT25" i="4" s="1"/>
  <c r="AI25" i="4"/>
  <c r="AR25" i="4" s="1"/>
  <c r="AH25" i="4"/>
  <c r="AQ25" i="4" s="1"/>
  <c r="AG25" i="4"/>
  <c r="AP25" i="4" s="1"/>
  <c r="AM24" i="4"/>
  <c r="AV24" i="4" s="1"/>
  <c r="AL24" i="4"/>
  <c r="AU24" i="4" s="1"/>
  <c r="AK24" i="4"/>
  <c r="AT24" i="4" s="1"/>
  <c r="AI24" i="4"/>
  <c r="AR24" i="4" s="1"/>
  <c r="AH24" i="4"/>
  <c r="AQ24" i="4" s="1"/>
  <c r="AG24" i="4"/>
  <c r="AP24" i="4" s="1"/>
  <c r="AM23" i="4"/>
  <c r="AV23" i="4" s="1"/>
  <c r="AL23" i="4"/>
  <c r="AU23" i="4" s="1"/>
  <c r="AK23" i="4"/>
  <c r="AT23" i="4" s="1"/>
  <c r="AI23" i="4"/>
  <c r="AR23" i="4" s="1"/>
  <c r="AH23" i="4"/>
  <c r="AQ23" i="4" s="1"/>
  <c r="AG23" i="4"/>
  <c r="AP23" i="4" s="1"/>
  <c r="AM22" i="4"/>
  <c r="AV22" i="4" s="1"/>
  <c r="AL22" i="4"/>
  <c r="AU22" i="4" s="1"/>
  <c r="AK22" i="4"/>
  <c r="AT22" i="4" s="1"/>
  <c r="AI22" i="4"/>
  <c r="AR22" i="4" s="1"/>
  <c r="AH22" i="4"/>
  <c r="AQ22" i="4" s="1"/>
  <c r="AG22" i="4"/>
  <c r="AP22" i="4" s="1"/>
  <c r="AM21" i="4"/>
  <c r="AV21" i="4" s="1"/>
  <c r="AL21" i="4"/>
  <c r="AU21" i="4" s="1"/>
  <c r="AK21" i="4"/>
  <c r="AT21" i="4" s="1"/>
  <c r="AI21" i="4"/>
  <c r="AR21" i="4" s="1"/>
  <c r="AH21" i="4"/>
  <c r="AQ21" i="4" s="1"/>
  <c r="AG21" i="4"/>
  <c r="AP21" i="4" s="1"/>
  <c r="AM20" i="4"/>
  <c r="AV20" i="4" s="1"/>
  <c r="AL20" i="4"/>
  <c r="AU20" i="4" s="1"/>
  <c r="AK20" i="4"/>
  <c r="AT20" i="4" s="1"/>
  <c r="AI20" i="4"/>
  <c r="AR20" i="4" s="1"/>
  <c r="AH20" i="4"/>
  <c r="AQ20" i="4" s="1"/>
  <c r="AG20" i="4"/>
  <c r="AP20" i="4" s="1"/>
  <c r="AM19" i="4"/>
  <c r="AV19" i="4" s="1"/>
  <c r="AL19" i="4"/>
  <c r="AU19" i="4" s="1"/>
  <c r="AK19" i="4"/>
  <c r="AT19" i="4" s="1"/>
  <c r="AI19" i="4"/>
  <c r="AR19" i="4" s="1"/>
  <c r="AH19" i="4"/>
  <c r="AQ19" i="4" s="1"/>
  <c r="AG19" i="4"/>
  <c r="AP19" i="4" s="1"/>
  <c r="AM18" i="4"/>
  <c r="AV18" i="4" s="1"/>
  <c r="AL18" i="4"/>
  <c r="AU18" i="4" s="1"/>
  <c r="AK18" i="4"/>
  <c r="AT18" i="4" s="1"/>
  <c r="AI18" i="4"/>
  <c r="AR18" i="4" s="1"/>
  <c r="AH18" i="4"/>
  <c r="AQ18" i="4" s="1"/>
  <c r="AG18" i="4"/>
  <c r="AP18" i="4" s="1"/>
  <c r="AM17" i="4"/>
  <c r="AV17" i="4" s="1"/>
  <c r="AL17" i="4"/>
  <c r="AU17" i="4" s="1"/>
  <c r="AK17" i="4"/>
  <c r="AT17" i="4" s="1"/>
  <c r="AI17" i="4"/>
  <c r="AR17" i="4" s="1"/>
  <c r="AH17" i="4"/>
  <c r="AQ17" i="4" s="1"/>
  <c r="AG17" i="4"/>
  <c r="AP17" i="4" s="1"/>
  <c r="AM16" i="4"/>
  <c r="AV16" i="4" s="1"/>
  <c r="AL16" i="4"/>
  <c r="AU16" i="4" s="1"/>
  <c r="AK16" i="4"/>
  <c r="AT16" i="4" s="1"/>
  <c r="AI16" i="4"/>
  <c r="AR16" i="4" s="1"/>
  <c r="AH16" i="4"/>
  <c r="AQ16" i="4" s="1"/>
  <c r="AG16" i="4"/>
  <c r="AP16" i="4" s="1"/>
  <c r="AM15" i="4"/>
  <c r="AV15" i="4" s="1"/>
  <c r="AL15" i="4"/>
  <c r="AU15" i="4" s="1"/>
  <c r="AK15" i="4"/>
  <c r="AT15" i="4" s="1"/>
  <c r="AI15" i="4"/>
  <c r="AR15" i="4" s="1"/>
  <c r="AH15" i="4"/>
  <c r="AQ15" i="4" s="1"/>
  <c r="AG15" i="4"/>
  <c r="AP15" i="4" s="1"/>
  <c r="AM14" i="4"/>
  <c r="AV14" i="4" s="1"/>
  <c r="AL14" i="4"/>
  <c r="AU14" i="4" s="1"/>
  <c r="AK14" i="4"/>
  <c r="AT14" i="4" s="1"/>
  <c r="AI14" i="4"/>
  <c r="AR14" i="4" s="1"/>
  <c r="AH14" i="4"/>
  <c r="AQ14" i="4" s="1"/>
  <c r="AG14" i="4"/>
  <c r="AP14" i="4" s="1"/>
  <c r="AM13" i="4"/>
  <c r="AV13" i="4" s="1"/>
  <c r="AL13" i="4"/>
  <c r="AU13" i="4" s="1"/>
  <c r="AK13" i="4"/>
  <c r="AT13" i="4" s="1"/>
  <c r="AI13" i="4"/>
  <c r="AR13" i="4" s="1"/>
  <c r="AH13" i="4"/>
  <c r="AQ13" i="4" s="1"/>
  <c r="AG13" i="4"/>
  <c r="AP13" i="4" s="1"/>
  <c r="AM12" i="4"/>
  <c r="AV12" i="4" s="1"/>
  <c r="AL12" i="4"/>
  <c r="AU12" i="4" s="1"/>
  <c r="AK12" i="4"/>
  <c r="AT12" i="4" s="1"/>
  <c r="AI12" i="4"/>
  <c r="AR12" i="4" s="1"/>
  <c r="AH12" i="4"/>
  <c r="AQ12" i="4" s="1"/>
  <c r="AG12" i="4"/>
  <c r="AP12" i="4" s="1"/>
  <c r="AM11" i="4"/>
  <c r="AV11" i="4" s="1"/>
  <c r="AL11" i="4"/>
  <c r="AU11" i="4" s="1"/>
  <c r="AK11" i="4"/>
  <c r="AT11" i="4" s="1"/>
  <c r="AI11" i="4"/>
  <c r="AR11" i="4" s="1"/>
  <c r="AH11" i="4"/>
  <c r="AQ11" i="4" s="1"/>
  <c r="AG11" i="4"/>
  <c r="AP11" i="4" s="1"/>
  <c r="AM10" i="4"/>
  <c r="AV10" i="4" s="1"/>
  <c r="AL10" i="4"/>
  <c r="AU10" i="4" s="1"/>
  <c r="AK10" i="4"/>
  <c r="AT10" i="4" s="1"/>
  <c r="AI10" i="4"/>
  <c r="AR10" i="4" s="1"/>
  <c r="AH10" i="4"/>
  <c r="AQ10" i="4" s="1"/>
  <c r="AG10" i="4"/>
  <c r="AP10" i="4" s="1"/>
  <c r="AM9" i="4"/>
  <c r="AV9" i="4" s="1"/>
  <c r="AL9" i="4"/>
  <c r="AU9" i="4" s="1"/>
  <c r="AK9" i="4"/>
  <c r="AT9" i="4" s="1"/>
  <c r="AI9" i="4"/>
  <c r="AR9" i="4" s="1"/>
  <c r="AH9" i="4"/>
  <c r="AQ9" i="4" s="1"/>
  <c r="AG9" i="4"/>
  <c r="AP9" i="4" s="1"/>
  <c r="AM8" i="4"/>
  <c r="AV8" i="4" s="1"/>
  <c r="AL8" i="4"/>
  <c r="AU8" i="4" s="1"/>
  <c r="AK8" i="4"/>
  <c r="AT8" i="4" s="1"/>
  <c r="AI8" i="4"/>
  <c r="AR8" i="4" s="1"/>
  <c r="AH8" i="4"/>
  <c r="AQ8" i="4" s="1"/>
  <c r="AG8" i="4"/>
  <c r="AP8" i="4" s="1"/>
  <c r="AM7" i="4"/>
  <c r="AV7" i="4" s="1"/>
  <c r="AL7" i="4"/>
  <c r="AU7" i="4" s="1"/>
  <c r="AK7" i="4"/>
  <c r="AT7" i="4" s="1"/>
  <c r="AI7" i="4"/>
  <c r="AR7" i="4" s="1"/>
  <c r="AH7" i="4"/>
  <c r="AQ7" i="4" s="1"/>
  <c r="AG7" i="4"/>
  <c r="AP7" i="4" s="1"/>
  <c r="G46" i="2"/>
  <c r="G14" i="2"/>
  <c r="G13" i="2"/>
  <c r="CS10" i="7" l="1"/>
  <c r="CF10" i="7"/>
  <c r="BW10" i="7"/>
  <c r="AD10" i="7"/>
  <c r="AM10" i="9" s="1"/>
  <c r="BE10" i="7"/>
  <c r="CA10" i="7"/>
  <c r="AD120" i="7"/>
  <c r="AD3" i="7" s="1"/>
  <c r="AM3" i="9" s="1"/>
  <c r="G10" i="7"/>
  <c r="P10" i="9" s="1"/>
  <c r="P120" i="7"/>
  <c r="P3" i="7" s="1"/>
  <c r="Y3" i="9" s="1"/>
  <c r="Y10" i="7"/>
  <c r="AH10" i="9" s="1"/>
  <c r="AH120" i="7"/>
  <c r="AH3" i="7" s="1"/>
  <c r="AQ3" i="9" s="1"/>
  <c r="AQ120" i="7"/>
  <c r="AQ3" i="7" s="1"/>
  <c r="AZ3" i="9" s="1"/>
  <c r="AZ120" i="7"/>
  <c r="AZ3" i="7" s="1"/>
  <c r="BI120" i="7"/>
  <c r="BI3" i="7" s="1"/>
  <c r="BR10" i="7"/>
  <c r="CA120" i="7"/>
  <c r="CA3" i="7" s="1"/>
  <c r="CJ10" i="7"/>
  <c r="CS120" i="7"/>
  <c r="CS3" i="7" s="1"/>
  <c r="DB10" i="7"/>
  <c r="CO120" i="7"/>
  <c r="CO3" i="7" s="1"/>
  <c r="BN10" i="7"/>
  <c r="AM10" i="7"/>
  <c r="AV10" i="9" s="1"/>
  <c r="L120" i="7"/>
  <c r="L3" i="7" s="1"/>
  <c r="U3" i="9" s="1"/>
  <c r="CX10" i="7"/>
  <c r="BN120" i="7"/>
  <c r="BN3" i="7" s="1"/>
  <c r="AV10" i="7"/>
  <c r="U120" i="7"/>
  <c r="U3" i="7" s="1"/>
  <c r="AD3" i="9" s="1"/>
  <c r="DG10" i="7"/>
  <c r="Y120" i="7"/>
  <c r="Y3" i="7" s="1"/>
  <c r="AH3" i="9" s="1"/>
  <c r="G120" i="7"/>
  <c r="G3" i="7" s="1"/>
  <c r="P3" i="9" s="1"/>
  <c r="CF120" i="7"/>
  <c r="CF3" i="7" s="1"/>
  <c r="DG120" i="7"/>
  <c r="DG3" i="7" s="1"/>
  <c r="CX120" i="7"/>
  <c r="CX3" i="7" s="1"/>
  <c r="BW120" i="7"/>
  <c r="BW3" i="7" s="1"/>
  <c r="CP120" i="7"/>
  <c r="CP3" i="7" s="1"/>
  <c r="CP10" i="7"/>
  <c r="AA120" i="7"/>
  <c r="AA3" i="7" s="1"/>
  <c r="AA10" i="7"/>
  <c r="AJ10" i="9" s="1"/>
  <c r="H120" i="7"/>
  <c r="H3" i="7" s="1"/>
  <c r="H10" i="7"/>
  <c r="Q10" i="9" s="1"/>
  <c r="Q120" i="7"/>
  <c r="Q3" i="7" s="1"/>
  <c r="Q10" i="7"/>
  <c r="Z10" i="9" s="1"/>
  <c r="Z120" i="7"/>
  <c r="Z3" i="7" s="1"/>
  <c r="Z10" i="7"/>
  <c r="AI10" i="9" s="1"/>
  <c r="AI120" i="7"/>
  <c r="AI3" i="7" s="1"/>
  <c r="AI10" i="7"/>
  <c r="AR10" i="9" s="1"/>
  <c r="AR120" i="7"/>
  <c r="AR3" i="7" s="1"/>
  <c r="AR10" i="7"/>
  <c r="BA10" i="9" s="1"/>
  <c r="BA120" i="7"/>
  <c r="BA3" i="7" s="1"/>
  <c r="BA10" i="7"/>
  <c r="BJ120" i="7"/>
  <c r="BJ3" i="7" s="1"/>
  <c r="BJ10" i="7"/>
  <c r="BS120" i="7"/>
  <c r="BS3" i="7" s="1"/>
  <c r="BS10" i="7"/>
  <c r="CB120" i="7"/>
  <c r="CB3" i="7" s="1"/>
  <c r="CB10" i="7"/>
  <c r="CK120" i="7"/>
  <c r="CK3" i="7" s="1"/>
  <c r="CK10" i="7"/>
  <c r="CT120" i="7"/>
  <c r="CT3" i="7" s="1"/>
  <c r="CT10" i="7"/>
  <c r="DC120" i="7"/>
  <c r="DC3" i="7" s="1"/>
  <c r="DC10" i="7"/>
  <c r="DB120" i="7"/>
  <c r="DB3" i="7" s="1"/>
  <c r="CJ120" i="7"/>
  <c r="CJ3" i="7" s="1"/>
  <c r="BR120" i="7"/>
  <c r="BR3" i="7" s="1"/>
  <c r="BE120" i="7"/>
  <c r="BE3" i="7" s="1"/>
  <c r="AH10" i="7"/>
  <c r="AQ10" i="9" s="1"/>
  <c r="P10" i="7"/>
  <c r="Y10" i="9" s="1"/>
  <c r="CI120" i="7"/>
  <c r="CI3" i="7" s="1"/>
  <c r="CI10" i="7"/>
  <c r="AT120" i="7"/>
  <c r="AT3" i="7" s="1"/>
  <c r="AT10" i="7"/>
  <c r="BC10" i="9" s="1"/>
  <c r="AM120" i="7"/>
  <c r="AM3" i="7" s="1"/>
  <c r="CY120" i="7"/>
  <c r="CY3" i="7" s="1"/>
  <c r="CY10" i="7"/>
  <c r="AW120" i="7"/>
  <c r="AW3" i="7" s="1"/>
  <c r="AW10" i="7"/>
  <c r="I120" i="7"/>
  <c r="I3" i="7" s="1"/>
  <c r="I10" i="7"/>
  <c r="R10" i="9" s="1"/>
  <c r="K120" i="7"/>
  <c r="K3" i="7" s="1"/>
  <c r="K10" i="7"/>
  <c r="T10" i="9" s="1"/>
  <c r="T120" i="7"/>
  <c r="T3" i="7" s="1"/>
  <c r="T10" i="7"/>
  <c r="AC10" i="9" s="1"/>
  <c r="AC120" i="7"/>
  <c r="AC3" i="7" s="1"/>
  <c r="AC10" i="7"/>
  <c r="AL10" i="9" s="1"/>
  <c r="AL120" i="7"/>
  <c r="AL3" i="7" s="1"/>
  <c r="AL10" i="7"/>
  <c r="AU10" i="9" s="1"/>
  <c r="AU120" i="7"/>
  <c r="AU3" i="7" s="1"/>
  <c r="AU10" i="7"/>
  <c r="BD120" i="7"/>
  <c r="BD3" i="7" s="1"/>
  <c r="BD10" i="7"/>
  <c r="BM120" i="7"/>
  <c r="BM3" i="7" s="1"/>
  <c r="BM10" i="7"/>
  <c r="BV120" i="7"/>
  <c r="BV3" i="7" s="1"/>
  <c r="BV10" i="7"/>
  <c r="CE120" i="7"/>
  <c r="CE3" i="7" s="1"/>
  <c r="CE10" i="7"/>
  <c r="CN120" i="7"/>
  <c r="CN3" i="7" s="1"/>
  <c r="CN10" i="7"/>
  <c r="CW120" i="7"/>
  <c r="CW3" i="7" s="1"/>
  <c r="CW10" i="7"/>
  <c r="DF120" i="7"/>
  <c r="DF3" i="7" s="1"/>
  <c r="DF10" i="7"/>
  <c r="BI10" i="7"/>
  <c r="AQ10" i="7"/>
  <c r="AZ10" i="9" s="1"/>
  <c r="DA120" i="7"/>
  <c r="DA3" i="7" s="1"/>
  <c r="DA10" i="7"/>
  <c r="CM120" i="7"/>
  <c r="CM3" i="7" s="1"/>
  <c r="CM10" i="7"/>
  <c r="BZ120" i="7"/>
  <c r="BZ3" i="7" s="1"/>
  <c r="BZ10" i="7"/>
  <c r="BL120" i="7"/>
  <c r="BL3" i="7" s="1"/>
  <c r="BL10" i="7"/>
  <c r="AY120" i="7"/>
  <c r="AY3" i="7" s="1"/>
  <c r="AY10" i="7"/>
  <c r="AK120" i="7"/>
  <c r="AK3" i="7" s="1"/>
  <c r="AK10" i="7"/>
  <c r="AT10" i="9" s="1"/>
  <c r="X120" i="7"/>
  <c r="X3" i="7" s="1"/>
  <c r="X10" i="7"/>
  <c r="AG10" i="9" s="1"/>
  <c r="J120" i="7"/>
  <c r="J3" i="7" s="1"/>
  <c r="J10" i="7"/>
  <c r="S10" i="9" s="1"/>
  <c r="AV120" i="7"/>
  <c r="AV3" i="7" s="1"/>
  <c r="DD120" i="7"/>
  <c r="DD3" i="7" s="1"/>
  <c r="DD10" i="7"/>
  <c r="CC120" i="7"/>
  <c r="CC3" i="7" s="1"/>
  <c r="CC10" i="7"/>
  <c r="BO120" i="7"/>
  <c r="BO3" i="7" s="1"/>
  <c r="BO10" i="7"/>
  <c r="BB120" i="7"/>
  <c r="BB3" i="7" s="1"/>
  <c r="BB10" i="7"/>
  <c r="AN120" i="7"/>
  <c r="AN3" i="7" s="1"/>
  <c r="AN10" i="7"/>
  <c r="AW10" i="9" s="1"/>
  <c r="M120" i="7"/>
  <c r="M3" i="7" s="1"/>
  <c r="M10" i="7"/>
  <c r="V10" i="9" s="1"/>
  <c r="CV120" i="7"/>
  <c r="CV3" i="7" s="1"/>
  <c r="CV10" i="7"/>
  <c r="BU120" i="7"/>
  <c r="BU3" i="7" s="1"/>
  <c r="BU10" i="7"/>
  <c r="BH120" i="7"/>
  <c r="BH3" i="7" s="1"/>
  <c r="BH10" i="7"/>
  <c r="AG120" i="7"/>
  <c r="AG3" i="7" s="1"/>
  <c r="AG10" i="7"/>
  <c r="AP10" i="9" s="1"/>
  <c r="S120" i="7"/>
  <c r="S3" i="7" s="1"/>
  <c r="S10" i="7"/>
  <c r="AB10" i="9" s="1"/>
  <c r="F120" i="7"/>
  <c r="F3" i="7" s="1"/>
  <c r="F10" i="7"/>
  <c r="O10" i="9" s="1"/>
  <c r="U10" i="7"/>
  <c r="AD10" i="9" s="1"/>
  <c r="AZ10" i="7"/>
  <c r="CL120" i="7"/>
  <c r="CL3" i="7" s="1"/>
  <c r="CL10" i="7"/>
  <c r="BX120" i="7"/>
  <c r="BX3" i="7" s="1"/>
  <c r="BX10" i="7"/>
  <c r="BK120" i="7"/>
  <c r="BK3" i="7" s="1"/>
  <c r="BK10" i="7"/>
  <c r="AJ120" i="7"/>
  <c r="AJ3" i="7" s="1"/>
  <c r="AJ10" i="7"/>
  <c r="AS10" i="9" s="1"/>
  <c r="V120" i="7"/>
  <c r="V3" i="7" s="1"/>
  <c r="V10" i="7"/>
  <c r="AE10" i="9" s="1"/>
  <c r="DE120" i="7"/>
  <c r="DE3" i="7" s="1"/>
  <c r="DE10" i="7"/>
  <c r="CR120" i="7"/>
  <c r="CR3" i="7" s="1"/>
  <c r="CR10" i="7"/>
  <c r="CD120" i="7"/>
  <c r="CD3" i="7" s="1"/>
  <c r="CD10" i="7"/>
  <c r="BQ120" i="7"/>
  <c r="BQ3" i="7" s="1"/>
  <c r="BQ10" i="7"/>
  <c r="BC120" i="7"/>
  <c r="BC3" i="7" s="1"/>
  <c r="BC10" i="7"/>
  <c r="AP120" i="7"/>
  <c r="AP3" i="7" s="1"/>
  <c r="AP10" i="7"/>
  <c r="AY10" i="9" s="1"/>
  <c r="AB120" i="7"/>
  <c r="AB3" i="7" s="1"/>
  <c r="AB10" i="7"/>
  <c r="AK10" i="9" s="1"/>
  <c r="O120" i="7"/>
  <c r="O3" i="7" s="1"/>
  <c r="O10" i="7"/>
  <c r="X10" i="9" s="1"/>
  <c r="CO10" i="7"/>
  <c r="L10" i="7"/>
  <c r="U10" i="9" s="1"/>
  <c r="DH120" i="7"/>
  <c r="DH3" i="7" s="1"/>
  <c r="DH10" i="7"/>
  <c r="CU120" i="7"/>
  <c r="CU3" i="7" s="1"/>
  <c r="CU10" i="7"/>
  <c r="CG120" i="7"/>
  <c r="CG3" i="7" s="1"/>
  <c r="CG10" i="7"/>
  <c r="BT120" i="7"/>
  <c r="BT3" i="7" s="1"/>
  <c r="BT10" i="7"/>
  <c r="BF120" i="7"/>
  <c r="BF3" i="7" s="1"/>
  <c r="BF10" i="7"/>
  <c r="AS120" i="7"/>
  <c r="AS3" i="7" s="1"/>
  <c r="AS10" i="7"/>
  <c r="BB10" i="9" s="1"/>
  <c r="AE120" i="7"/>
  <c r="AE3" i="7" s="1"/>
  <c r="AE10" i="7"/>
  <c r="AN10" i="9" s="1"/>
  <c r="R120" i="7"/>
  <c r="R3" i="7" s="1"/>
  <c r="R10" i="7"/>
  <c r="AA10" i="9" s="1"/>
  <c r="E120" i="7"/>
  <c r="E3" i="7" s="1"/>
  <c r="E10" i="7"/>
  <c r="N10" i="9" s="1"/>
  <c r="N120" i="7"/>
  <c r="N3" i="7" s="1"/>
  <c r="N10" i="7"/>
  <c r="W10" i="9" s="1"/>
  <c r="W120" i="7"/>
  <c r="W3" i="7" s="1"/>
  <c r="W10" i="7"/>
  <c r="AF10" i="9" s="1"/>
  <c r="AF120" i="7"/>
  <c r="AF3" i="7" s="1"/>
  <c r="AF10" i="7"/>
  <c r="AO10" i="9" s="1"/>
  <c r="AO120" i="7"/>
  <c r="AO3" i="7" s="1"/>
  <c r="AO10" i="7"/>
  <c r="AX10" i="9" s="1"/>
  <c r="AX120" i="7"/>
  <c r="AX3" i="7" s="1"/>
  <c r="AX10" i="7"/>
  <c r="BG120" i="7"/>
  <c r="BG3" i="7" s="1"/>
  <c r="BG10" i="7"/>
  <c r="BP120" i="7"/>
  <c r="BP3" i="7" s="1"/>
  <c r="BP10" i="7"/>
  <c r="BY120" i="7"/>
  <c r="BY3" i="7" s="1"/>
  <c r="BY10" i="7"/>
  <c r="CH120" i="7"/>
  <c r="CH3" i="7" s="1"/>
  <c r="CH10" i="7"/>
  <c r="CQ120" i="7"/>
  <c r="CQ3" i="7" s="1"/>
  <c r="CQ10" i="7"/>
  <c r="CZ120" i="7"/>
  <c r="CZ3" i="7" s="1"/>
  <c r="CZ10" i="7"/>
  <c r="DI120" i="7"/>
  <c r="DI3" i="7" s="1"/>
  <c r="DI10" i="7"/>
  <c r="FN31" i="4"/>
  <c r="FG27" i="4"/>
  <c r="EZ9" i="4"/>
  <c r="EZ25" i="4"/>
  <c r="I45" i="4"/>
  <c r="I31" i="4"/>
  <c r="I43" i="4"/>
  <c r="I18" i="4"/>
  <c r="I38" i="4"/>
  <c r="I19" i="4"/>
  <c r="I40" i="4"/>
  <c r="I16" i="4"/>
  <c r="I36" i="4"/>
  <c r="I13" i="4"/>
  <c r="I34" i="4"/>
  <c r="B38" i="2"/>
  <c r="B35" i="2"/>
  <c r="B32" i="2"/>
  <c r="B29" i="2"/>
  <c r="B26" i="2"/>
  <c r="B23" i="2"/>
  <c r="B20" i="2"/>
  <c r="B17" i="2"/>
  <c r="BD41" i="4"/>
  <c r="BD38" i="4"/>
  <c r="BD32" i="4"/>
  <c r="BD23" i="4"/>
  <c r="BD28" i="4"/>
  <c r="BD21" i="4"/>
  <c r="BD11" i="4"/>
  <c r="BY11" i="4" s="1"/>
  <c r="BD15" i="4"/>
  <c r="FN15" i="4"/>
  <c r="FG11" i="4"/>
  <c r="EZ37" i="4"/>
  <c r="EZ13" i="4"/>
  <c r="EZ17" i="4"/>
  <c r="I44" i="4"/>
  <c r="I21" i="4"/>
  <c r="I42" i="4"/>
  <c r="I17" i="4"/>
  <c r="I30" i="4"/>
  <c r="I14" i="4"/>
  <c r="I26" i="4"/>
  <c r="I15" i="4"/>
  <c r="I27" i="4"/>
  <c r="I12" i="4"/>
  <c r="I24" i="4"/>
  <c r="B37" i="2"/>
  <c r="B34" i="2"/>
  <c r="B31" i="2"/>
  <c r="B28" i="2"/>
  <c r="B25" i="2"/>
  <c r="B22" i="2"/>
  <c r="B19" i="2"/>
  <c r="B16" i="2"/>
  <c r="BD39" i="4"/>
  <c r="BD34" i="4"/>
  <c r="BD29" i="4"/>
  <c r="BD22" i="4"/>
  <c r="BD17" i="4"/>
  <c r="BD16" i="4"/>
  <c r="BD9" i="4"/>
  <c r="BD8" i="4"/>
  <c r="FG35" i="4"/>
  <c r="FG19" i="4"/>
  <c r="EZ33" i="4"/>
  <c r="EZ21" i="4"/>
  <c r="EZ29" i="4"/>
  <c r="I32" i="4"/>
  <c r="I20" i="4"/>
  <c r="I33" i="4"/>
  <c r="I39" i="4"/>
  <c r="I29" i="4"/>
  <c r="I41" i="4"/>
  <c r="I25" i="4"/>
  <c r="I37" i="4"/>
  <c r="I22" i="4"/>
  <c r="I35" i="4"/>
  <c r="I23" i="4"/>
  <c r="B36" i="2"/>
  <c r="B33" i="2"/>
  <c r="B30" i="2"/>
  <c r="B27" i="2"/>
  <c r="B24" i="2"/>
  <c r="B21" i="2"/>
  <c r="BD40" i="4"/>
  <c r="BD20" i="4"/>
  <c r="BD10" i="4"/>
  <c r="B18" i="2"/>
  <c r="BD33" i="4"/>
  <c r="BD27" i="4"/>
  <c r="B15" i="2"/>
  <c r="BD26" i="4"/>
  <c r="BD14" i="4"/>
  <c r="AW50" i="4"/>
  <c r="H23" i="4"/>
  <c r="D12" i="4"/>
  <c r="C12" i="4"/>
  <c r="B12" i="4"/>
  <c r="T8" i="4"/>
  <c r="T44" i="4"/>
  <c r="AW77" i="4"/>
  <c r="S44" i="4"/>
  <c r="FI41" i="4"/>
  <c r="R44" i="4"/>
  <c r="AW76" i="4"/>
  <c r="Q44" i="4"/>
  <c r="P44" i="4"/>
  <c r="O44" i="4"/>
  <c r="U44" i="4"/>
  <c r="S38" i="4"/>
  <c r="BD35" i="4"/>
  <c r="R38" i="4"/>
  <c r="O38" i="4"/>
  <c r="T38" i="4"/>
  <c r="U32" i="4"/>
  <c r="U38" i="4"/>
  <c r="T32" i="4"/>
  <c r="Q38" i="4"/>
  <c r="S32" i="4"/>
  <c r="P38" i="4"/>
  <c r="R32" i="4"/>
  <c r="Q32" i="4"/>
  <c r="T26" i="4"/>
  <c r="S26" i="4"/>
  <c r="P32" i="4"/>
  <c r="U26" i="4"/>
  <c r="O32" i="4"/>
  <c r="O26" i="4"/>
  <c r="P20" i="4"/>
  <c r="O20" i="4"/>
  <c r="I28" i="4"/>
  <c r="U20" i="4"/>
  <c r="T20" i="4"/>
  <c r="P26" i="4"/>
  <c r="FU22" i="4"/>
  <c r="R20" i="4"/>
  <c r="O14" i="4"/>
  <c r="Q20" i="4"/>
  <c r="R26" i="4"/>
  <c r="U14" i="4"/>
  <c r="Q26" i="4"/>
  <c r="T14" i="4"/>
  <c r="S14" i="4"/>
  <c r="S20" i="4"/>
  <c r="P14" i="4"/>
  <c r="EV6" i="4"/>
  <c r="O8" i="4"/>
  <c r="FJ31" i="4"/>
  <c r="FJ15" i="4"/>
  <c r="FC11" i="4"/>
  <c r="AA48" i="4"/>
  <c r="EV25" i="4" s="1"/>
  <c r="FC19" i="4"/>
  <c r="FC27" i="4"/>
  <c r="AA50" i="4"/>
  <c r="EV13" i="4" s="1"/>
  <c r="FC35" i="4"/>
  <c r="AA51" i="4"/>
  <c r="EV9" i="4" s="1"/>
  <c r="AA47" i="4"/>
  <c r="EV17" i="4" s="1"/>
  <c r="AA52" i="4"/>
  <c r="EV37" i="4" s="1"/>
  <c r="AA49" i="4"/>
  <c r="EV21" i="4" s="1"/>
  <c r="FQ22" i="4"/>
  <c r="AA53" i="4"/>
  <c r="EV33" i="4" s="1"/>
  <c r="AA46" i="4"/>
  <c r="EV29" i="4" s="1"/>
  <c r="FC6" i="4"/>
  <c r="P8" i="4"/>
  <c r="I10" i="4"/>
  <c r="I11" i="4"/>
  <c r="A1" i="4"/>
  <c r="Q14" i="4"/>
  <c r="U8" i="4"/>
  <c r="Q8" i="4"/>
  <c r="FQ6" i="4"/>
  <c r="R8" i="4"/>
  <c r="R14" i="4"/>
  <c r="A8" i="4"/>
  <c r="FJ6" i="4"/>
  <c r="S8" i="4"/>
  <c r="N3" i="9" l="1"/>
  <c r="BB3" i="9"/>
  <c r="AP3" i="9"/>
  <c r="AW3" i="9"/>
  <c r="AC3" i="9"/>
  <c r="BC3" i="9"/>
  <c r="AR3" i="9"/>
  <c r="Q3" i="9"/>
  <c r="AX3" i="9"/>
  <c r="W3" i="9"/>
  <c r="AN3" i="9"/>
  <c r="AS3" i="9"/>
  <c r="AB3" i="9"/>
  <c r="V3" i="9"/>
  <c r="AG3" i="9"/>
  <c r="AL3" i="9"/>
  <c r="AV3" i="9"/>
  <c r="BA3" i="9"/>
  <c r="Z3" i="9"/>
  <c r="AJ3" i="9"/>
  <c r="AO3" i="9"/>
  <c r="AY3" i="9"/>
  <c r="AT3" i="9"/>
  <c r="AK3" i="9"/>
  <c r="AF3" i="9"/>
  <c r="AA3" i="9"/>
  <c r="X3" i="9"/>
  <c r="AE3" i="9"/>
  <c r="O3" i="9"/>
  <c r="S3" i="9"/>
  <c r="AU3" i="9"/>
  <c r="T3" i="9"/>
  <c r="R3" i="9"/>
  <c r="AI3" i="9"/>
  <c r="E11" i="4"/>
  <c r="X8" i="4" s="1"/>
  <c r="H36" i="4"/>
  <c r="E12" i="4"/>
  <c r="BP14" i="4"/>
  <c r="E27" i="4"/>
  <c r="E30" i="4"/>
  <c r="E38" i="4"/>
  <c r="BP27" i="4"/>
  <c r="H24" i="4"/>
  <c r="H11" i="4"/>
  <c r="BP10" i="4"/>
  <c r="H12" i="4"/>
  <c r="BP16" i="4"/>
  <c r="E22" i="4"/>
  <c r="E37" i="4"/>
  <c r="H39" i="4"/>
  <c r="BP29" i="4"/>
  <c r="E29" i="4"/>
  <c r="H37" i="4"/>
  <c r="BP15" i="4"/>
  <c r="H27" i="4"/>
  <c r="H29" i="4"/>
  <c r="E19" i="4"/>
  <c r="X16" i="4" s="1"/>
  <c r="Y16" i="4" s="1"/>
  <c r="H38" i="4"/>
  <c r="BP28" i="4"/>
  <c r="H44" i="4"/>
  <c r="BP38" i="4"/>
  <c r="E21" i="4"/>
  <c r="H30" i="4"/>
  <c r="H19" i="4"/>
  <c r="E39" i="4"/>
  <c r="BP26" i="4"/>
  <c r="E43" i="4"/>
  <c r="BP33" i="4"/>
  <c r="H17" i="4"/>
  <c r="H28" i="4"/>
  <c r="H16" i="4"/>
  <c r="BP20" i="4"/>
  <c r="H26" i="4"/>
  <c r="E40" i="4"/>
  <c r="H34" i="4"/>
  <c r="BP8" i="4"/>
  <c r="E36" i="4"/>
  <c r="BP17" i="4"/>
  <c r="H22" i="4"/>
  <c r="H13" i="4"/>
  <c r="H42" i="4"/>
  <c r="H33" i="4"/>
  <c r="BP34" i="4"/>
  <c r="E17" i="4"/>
  <c r="X14" i="4" s="1"/>
  <c r="H35" i="4"/>
  <c r="BP11" i="4"/>
  <c r="H40" i="4"/>
  <c r="BP23" i="4"/>
  <c r="E15" i="4"/>
  <c r="E31" i="4"/>
  <c r="X28" i="4" s="1"/>
  <c r="BP41" i="4"/>
  <c r="H20" i="4"/>
  <c r="E44" i="4"/>
  <c r="X41" i="4" s="1"/>
  <c r="Y41" i="4" s="1"/>
  <c r="BP35" i="4"/>
  <c r="DZ11" i="4"/>
  <c r="H21" i="4"/>
  <c r="BP40" i="4"/>
  <c r="H31" i="4"/>
  <c r="H10" i="4"/>
  <c r="E24" i="4"/>
  <c r="BP9" i="4"/>
  <c r="E16" i="4"/>
  <c r="X13" i="4" s="1"/>
  <c r="BP22" i="4"/>
  <c r="H41" i="4"/>
  <c r="E20" i="4"/>
  <c r="BP39" i="4"/>
  <c r="E32" i="4"/>
  <c r="E26" i="4"/>
  <c r="X23" i="4" s="1"/>
  <c r="BP21" i="4"/>
  <c r="E41" i="4"/>
  <c r="H15" i="4"/>
  <c r="H43" i="4"/>
  <c r="E18" i="4"/>
  <c r="E33" i="4"/>
  <c r="BP32" i="4"/>
  <c r="E42" i="4"/>
  <c r="E28" i="4"/>
  <c r="D23" i="4"/>
  <c r="B23" i="4"/>
  <c r="C23" i="4"/>
  <c r="E23" i="4"/>
  <c r="X20" i="4" s="1"/>
  <c r="Y20" i="4" s="1"/>
  <c r="DZ8" i="4"/>
  <c r="BY8" i="4"/>
  <c r="E10" i="4"/>
  <c r="X7" i="4" s="1"/>
  <c r="BY13" i="4"/>
  <c r="E13" i="4"/>
  <c r="X10" i="4" s="1"/>
  <c r="DZ15" i="4"/>
  <c r="D20" i="4"/>
  <c r="C20" i="4"/>
  <c r="B20" i="4"/>
  <c r="D26" i="4"/>
  <c r="C26" i="4"/>
  <c r="B26" i="4"/>
  <c r="D35" i="4"/>
  <c r="C35" i="4"/>
  <c r="B35" i="4"/>
  <c r="D42" i="4"/>
  <c r="C42" i="4"/>
  <c r="B42" i="4"/>
  <c r="X39" i="4"/>
  <c r="X25" i="4"/>
  <c r="DZ32" i="4"/>
  <c r="BY24" i="4"/>
  <c r="X27" i="4"/>
  <c r="DZ29" i="4"/>
  <c r="BY23" i="4"/>
  <c r="E14" i="4"/>
  <c r="DZ16" i="4"/>
  <c r="BY14" i="4"/>
  <c r="X9" i="4"/>
  <c r="B15" i="4"/>
  <c r="C15" i="4"/>
  <c r="D15" i="4"/>
  <c r="C31" i="4"/>
  <c r="B31" i="4"/>
  <c r="D31" i="4"/>
  <c r="D40" i="4"/>
  <c r="C40" i="4"/>
  <c r="B40" i="4"/>
  <c r="B45" i="4"/>
  <c r="D45" i="4"/>
  <c r="C45" i="4"/>
  <c r="X37" i="4"/>
  <c r="DZ26" i="4"/>
  <c r="BY20" i="4"/>
  <c r="X36" i="4"/>
  <c r="BY12" i="4"/>
  <c r="DZ14" i="4"/>
  <c r="B17" i="4"/>
  <c r="C17" i="4"/>
  <c r="D17" i="4"/>
  <c r="C33" i="4"/>
  <c r="B33" i="4"/>
  <c r="D33" i="4"/>
  <c r="D41" i="4"/>
  <c r="C41" i="4"/>
  <c r="B41" i="4"/>
  <c r="X35" i="4"/>
  <c r="Y35" i="4" s="1"/>
  <c r="X19" i="4"/>
  <c r="DZ17" i="4"/>
  <c r="BY15" i="4"/>
  <c r="X38" i="4"/>
  <c r="DZ27" i="4"/>
  <c r="X26" i="4"/>
  <c r="BY21" i="4"/>
  <c r="H14" i="4"/>
  <c r="DZ34" i="4"/>
  <c r="BY26" i="4"/>
  <c r="D14" i="4"/>
  <c r="C14" i="4"/>
  <c r="B14" i="4"/>
  <c r="D19" i="4"/>
  <c r="C19" i="4"/>
  <c r="B19" i="4"/>
  <c r="B22" i="4"/>
  <c r="D22" i="4"/>
  <c r="C22" i="4"/>
  <c r="C37" i="4"/>
  <c r="D37" i="4"/>
  <c r="B37" i="4"/>
  <c r="DZ20" i="4"/>
  <c r="BY16" i="4"/>
  <c r="X12" i="4"/>
  <c r="X15" i="4"/>
  <c r="DZ33" i="4"/>
  <c r="BY25" i="4"/>
  <c r="E34" i="4"/>
  <c r="X31" i="4" s="1"/>
  <c r="X21" i="4"/>
  <c r="DZ10" i="4"/>
  <c r="BY10" i="4"/>
  <c r="D16" i="4"/>
  <c r="C16" i="4"/>
  <c r="B16" i="4"/>
  <c r="B29" i="4"/>
  <c r="D29" i="4"/>
  <c r="C29" i="4"/>
  <c r="D30" i="4"/>
  <c r="C30" i="4"/>
  <c r="B30" i="4"/>
  <c r="D44" i="4"/>
  <c r="C44" i="4"/>
  <c r="B44" i="4"/>
  <c r="DZ28" i="4"/>
  <c r="BY22" i="4"/>
  <c r="X40" i="4"/>
  <c r="DZ35" i="4"/>
  <c r="BY27" i="4"/>
  <c r="H18" i="4"/>
  <c r="E35" i="4"/>
  <c r="X32" i="4" s="1"/>
  <c r="Y8" i="4"/>
  <c r="DZ9" i="4"/>
  <c r="BY9" i="4"/>
  <c r="D13" i="4"/>
  <c r="C13" i="4"/>
  <c r="B13" i="4"/>
  <c r="D27" i="4"/>
  <c r="C27" i="4"/>
  <c r="B27" i="4"/>
  <c r="D24" i="4"/>
  <c r="C24" i="4"/>
  <c r="B24" i="4"/>
  <c r="D32" i="4"/>
  <c r="C32" i="4"/>
  <c r="B32" i="4"/>
  <c r="D43" i="4"/>
  <c r="C43" i="4"/>
  <c r="B43" i="4"/>
  <c r="X34" i="4"/>
  <c r="DZ22" i="4"/>
  <c r="H25" i="4"/>
  <c r="BY18" i="4"/>
  <c r="X24" i="4"/>
  <c r="DZ21" i="4"/>
  <c r="BY17" i="4"/>
  <c r="DZ41" i="4"/>
  <c r="BY31" i="4"/>
  <c r="X17" i="4"/>
  <c r="B21" i="4"/>
  <c r="C21" i="4"/>
  <c r="D21" i="4"/>
  <c r="C25" i="4"/>
  <c r="B25" i="4"/>
  <c r="D25" i="4"/>
  <c r="C34" i="4"/>
  <c r="B34" i="4"/>
  <c r="D34" i="4"/>
  <c r="D36" i="4"/>
  <c r="C36" i="4"/>
  <c r="B36" i="4"/>
  <c r="H32" i="4"/>
  <c r="BY28" i="4"/>
  <c r="DZ38" i="4"/>
  <c r="B10" i="4"/>
  <c r="D10" i="4"/>
  <c r="C10" i="4"/>
  <c r="B11" i="4"/>
  <c r="D11" i="4"/>
  <c r="C11" i="4"/>
  <c r="D18" i="4"/>
  <c r="C18" i="4"/>
  <c r="B18" i="4"/>
  <c r="D28" i="4"/>
  <c r="C28" i="4"/>
  <c r="B28" i="4"/>
  <c r="D39" i="4"/>
  <c r="C39" i="4"/>
  <c r="B39" i="4"/>
  <c r="D38" i="4"/>
  <c r="C38" i="4"/>
  <c r="B38" i="4"/>
  <c r="X33" i="4"/>
  <c r="DZ23" i="4"/>
  <c r="BY19" i="4"/>
  <c r="E25" i="4"/>
  <c r="X22" i="4" s="1"/>
  <c r="H45" i="4"/>
  <c r="DZ39" i="4"/>
  <c r="BY29" i="4"/>
  <c r="X18" i="4"/>
  <c r="E45" i="4"/>
  <c r="DZ40" i="4"/>
  <c r="X29" i="4"/>
  <c r="BY30" i="4"/>
  <c r="Y31" i="4" l="1"/>
  <c r="Y18" i="4"/>
  <c r="BP45" i="4"/>
  <c r="BP44" i="4"/>
  <c r="Y23" i="4"/>
  <c r="Y34" i="4"/>
  <c r="Y29" i="4"/>
  <c r="Y22" i="4"/>
  <c r="AE32" i="4"/>
  <c r="Y14" i="4"/>
  <c r="Y38" i="4"/>
  <c r="Y24" i="4"/>
  <c r="Y32" i="4"/>
  <c r="AE15" i="4"/>
  <c r="Y26" i="4"/>
  <c r="AE42" i="4"/>
  <c r="Y28" i="4"/>
  <c r="Y36" i="4"/>
  <c r="Y37" i="4"/>
  <c r="AE29" i="4"/>
  <c r="Y17" i="4"/>
  <c r="AE12" i="4"/>
  <c r="AE20" i="4"/>
  <c r="BH26" i="4"/>
  <c r="X30" i="4"/>
  <c r="Y30" i="4" s="1"/>
  <c r="Y25" i="4"/>
  <c r="Y13" i="4"/>
  <c r="Y21" i="4"/>
  <c r="Y7" i="4"/>
  <c r="Y33" i="4"/>
  <c r="AE31" i="4"/>
  <c r="Y27" i="4"/>
  <c r="BH20" i="4"/>
  <c r="X42" i="4"/>
  <c r="Y42" i="4" s="1"/>
  <c r="Y12" i="4"/>
  <c r="Y39" i="4"/>
  <c r="BH23" i="4"/>
  <c r="BH14" i="4"/>
  <c r="X11" i="4"/>
  <c r="Y11" i="4" s="1"/>
  <c r="Y10" i="4"/>
  <c r="Y40" i="4"/>
  <c r="Y15" i="4"/>
  <c r="Y19" i="4"/>
  <c r="Y9" i="4"/>
  <c r="AE41" i="4"/>
  <c r="BH38" i="4"/>
  <c r="AC28" i="4"/>
  <c r="AD28" i="4"/>
  <c r="AD13" i="4"/>
  <c r="AC13" i="4"/>
  <c r="AC24" i="4"/>
  <c r="AD24" i="4"/>
  <c r="BH9" i="4"/>
  <c r="BI35" i="4"/>
  <c r="AD14" i="4"/>
  <c r="AC14" i="4"/>
  <c r="AD21" i="4"/>
  <c r="AC21" i="4"/>
  <c r="AE30" i="4"/>
  <c r="AC12" i="4"/>
  <c r="AD12" i="4"/>
  <c r="BI34" i="4"/>
  <c r="BI27" i="4"/>
  <c r="AD35" i="4"/>
  <c r="AC35" i="4"/>
  <c r="AE26" i="4"/>
  <c r="AE36" i="4"/>
  <c r="AE16" i="4"/>
  <c r="BH32" i="4"/>
  <c r="AD7" i="4"/>
  <c r="AC7" i="4"/>
  <c r="BI11" i="4"/>
  <c r="BH11" i="4"/>
  <c r="AE18" i="4"/>
  <c r="BI21" i="4"/>
  <c r="BH21" i="4"/>
  <c r="BI40" i="4"/>
  <c r="AD18" i="4"/>
  <c r="AC18" i="4"/>
  <c r="AE13" i="4"/>
  <c r="AD41" i="4"/>
  <c r="AC41" i="4"/>
  <c r="AD17" i="4"/>
  <c r="AC17" i="4"/>
  <c r="AE34" i="4"/>
  <c r="AE21" i="4"/>
  <c r="BH28" i="4"/>
  <c r="BH10" i="4"/>
  <c r="AD31" i="4"/>
  <c r="AC31" i="4"/>
  <c r="BI20" i="4"/>
  <c r="AE10" i="4"/>
  <c r="AC8" i="4"/>
  <c r="BI32" i="4"/>
  <c r="BH15" i="4"/>
  <c r="BI8" i="4"/>
  <c r="AD20" i="4"/>
  <c r="AC20" i="4"/>
  <c r="AD42" i="4"/>
  <c r="AC42" i="4"/>
  <c r="AE24" i="4"/>
  <c r="AC30" i="4"/>
  <c r="AD30" i="4"/>
  <c r="AC38" i="4"/>
  <c r="AD38" i="4"/>
  <c r="AE28" i="4"/>
  <c r="BH39" i="4"/>
  <c r="AD22" i="4"/>
  <c r="AC22" i="4"/>
  <c r="AD33" i="4"/>
  <c r="AC33" i="4"/>
  <c r="AD32" i="4"/>
  <c r="AC32" i="4"/>
  <c r="AD16" i="4"/>
  <c r="AC16" i="4"/>
  <c r="BH17" i="4"/>
  <c r="AD8" i="4"/>
  <c r="BI15" i="4"/>
  <c r="AC11" i="4"/>
  <c r="AD11" i="4"/>
  <c r="BI38" i="4"/>
  <c r="BH41" i="4"/>
  <c r="BI22" i="4"/>
  <c r="AE8" i="4"/>
  <c r="AE38" i="4"/>
  <c r="AE33" i="4"/>
  <c r="AC26" i="4"/>
  <c r="AD26" i="4"/>
  <c r="BI14" i="4"/>
  <c r="BI26" i="4"/>
  <c r="AC25" i="4"/>
  <c r="AD25" i="4"/>
  <c r="AD39" i="4"/>
  <c r="AC39" i="4"/>
  <c r="AE23" i="4"/>
  <c r="BI17" i="4"/>
  <c r="AE17" i="4"/>
  <c r="BI39" i="4"/>
  <c r="BI9" i="4"/>
  <c r="AE25" i="4"/>
  <c r="AD15" i="4"/>
  <c r="AC15" i="4"/>
  <c r="AE9" i="4"/>
  <c r="AE19" i="4"/>
  <c r="AE14" i="4"/>
  <c r="BH16" i="4"/>
  <c r="BI29" i="4"/>
  <c r="AE35" i="4"/>
  <c r="BI41" i="4"/>
  <c r="BH27" i="4"/>
  <c r="BI10" i="4"/>
  <c r="BI33" i="4"/>
  <c r="AE39" i="4"/>
  <c r="AE40" i="4"/>
  <c r="AC36" i="4"/>
  <c r="AD36" i="4"/>
  <c r="BI16" i="4"/>
  <c r="AD27" i="4"/>
  <c r="AC27" i="4"/>
  <c r="BH22" i="4"/>
  <c r="BI28" i="4"/>
  <c r="AC29" i="4"/>
  <c r="AD29" i="4"/>
  <c r="BH40" i="4"/>
  <c r="BI23" i="4"/>
  <c r="AD34" i="4"/>
  <c r="AC34" i="4"/>
  <c r="BH35" i="4"/>
  <c r="AE22" i="4"/>
  <c r="AC40" i="4"/>
  <c r="AD40" i="4"/>
  <c r="AE27" i="4"/>
  <c r="AE7" i="4"/>
  <c r="BH33" i="4"/>
  <c r="BH34" i="4"/>
  <c r="AE11" i="4"/>
  <c r="AD19" i="4"/>
  <c r="AC19" i="4"/>
  <c r="AD37" i="4"/>
  <c r="AC37" i="4"/>
  <c r="AC9" i="4"/>
  <c r="AD9" i="4"/>
  <c r="AD23" i="4"/>
  <c r="AC23" i="4"/>
  <c r="BH29" i="4"/>
  <c r="AE37" i="4"/>
  <c r="AD10" i="4"/>
  <c r="AC10" i="4"/>
  <c r="BH8" i="4"/>
  <c r="BP46" i="4" l="1"/>
  <c r="BQ16" i="4" s="1"/>
  <c r="BK23" i="4"/>
  <c r="BQ21" i="4"/>
  <c r="BQ11" i="4"/>
  <c r="BK20" i="4"/>
  <c r="BE32" i="4"/>
  <c r="BE11" i="4"/>
  <c r="BE8" i="4"/>
  <c r="BE26" i="4"/>
  <c r="BG34" i="4"/>
  <c r="BG10" i="4"/>
  <c r="BF41" i="4"/>
  <c r="BE39" i="4"/>
  <c r="BF11" i="4"/>
  <c r="BE16" i="4"/>
  <c r="BG27" i="4"/>
  <c r="BE20" i="4"/>
  <c r="BF28" i="4"/>
  <c r="BG22" i="4"/>
  <c r="BF40" i="4"/>
  <c r="BG11" i="4"/>
  <c r="BG8" i="4"/>
  <c r="BG26" i="4"/>
  <c r="BG17" i="4"/>
  <c r="BF27" i="4"/>
  <c r="BF34" i="4"/>
  <c r="BF10" i="4"/>
  <c r="BE28" i="4"/>
  <c r="BE35" i="4"/>
  <c r="BF9" i="4"/>
  <c r="BG21" i="4"/>
  <c r="BE41" i="4"/>
  <c r="BE40" i="4"/>
  <c r="BG15" i="4"/>
  <c r="BG32" i="4"/>
  <c r="BG14" i="4"/>
  <c r="BE27" i="4"/>
  <c r="BE34" i="4"/>
  <c r="BF22" i="4"/>
  <c r="BE21" i="4"/>
  <c r="BF39" i="4"/>
  <c r="BF26" i="4"/>
  <c r="BG9" i="4"/>
  <c r="BG41" i="4"/>
  <c r="BF15" i="4"/>
  <c r="BF32" i="4"/>
  <c r="BF14" i="4"/>
  <c r="BF17" i="4"/>
  <c r="BG33" i="4"/>
  <c r="BF35" i="4"/>
  <c r="BE22" i="4"/>
  <c r="BG38" i="4"/>
  <c r="BF23" i="4"/>
  <c r="BG23" i="4"/>
  <c r="BE38" i="4"/>
  <c r="BF8" i="4"/>
  <c r="BE15" i="4"/>
  <c r="BF29" i="4"/>
  <c r="BG16" i="4"/>
  <c r="BE14" i="4"/>
  <c r="BG20" i="4"/>
  <c r="BF33" i="4"/>
  <c r="BE10" i="4"/>
  <c r="BG28" i="4"/>
  <c r="BF16" i="4"/>
  <c r="BE29" i="4"/>
  <c r="BE17" i="4"/>
  <c r="BF20" i="4"/>
  <c r="BE33" i="4"/>
  <c r="BG35" i="4"/>
  <c r="BE9" i="4"/>
  <c r="BF21" i="4"/>
  <c r="BF38" i="4"/>
  <c r="BE23" i="4"/>
  <c r="BG40" i="4"/>
  <c r="BG29" i="4"/>
  <c r="BG39" i="4"/>
  <c r="BK27" i="4"/>
  <c r="BK34" i="4"/>
  <c r="BK35" i="4"/>
  <c r="BI30" i="4"/>
  <c r="BH18" i="4"/>
  <c r="BK40" i="4"/>
  <c r="BK21" i="4"/>
  <c r="BK11" i="4"/>
  <c r="BK39" i="4"/>
  <c r="BI18" i="4"/>
  <c r="BK17" i="4"/>
  <c r="AJ32" i="4"/>
  <c r="AF32" i="4"/>
  <c r="BI36" i="4"/>
  <c r="BH12" i="4"/>
  <c r="BK8" i="4"/>
  <c r="AF9" i="4"/>
  <c r="AJ9" i="4"/>
  <c r="AJ27" i="4"/>
  <c r="AF27" i="4"/>
  <c r="AJ36" i="4"/>
  <c r="AF36" i="4"/>
  <c r="BK16" i="4"/>
  <c r="AJ26" i="4"/>
  <c r="AF26" i="4"/>
  <c r="BK41" i="4"/>
  <c r="AF42" i="4"/>
  <c r="AJ42" i="4"/>
  <c r="AJ8" i="4"/>
  <c r="AF8" i="4"/>
  <c r="AJ7" i="4"/>
  <c r="AF7" i="4"/>
  <c r="BK32" i="4"/>
  <c r="BH36" i="4"/>
  <c r="AF14" i="4"/>
  <c r="AJ14" i="4"/>
  <c r="AJ10" i="4"/>
  <c r="AF10" i="4"/>
  <c r="AJ29" i="4"/>
  <c r="AF29" i="4"/>
  <c r="AF39" i="4"/>
  <c r="AJ39" i="4"/>
  <c r="AF16" i="4"/>
  <c r="AJ16" i="4"/>
  <c r="AF31" i="4"/>
  <c r="AJ31" i="4"/>
  <c r="AF17" i="4"/>
  <c r="AJ17" i="4"/>
  <c r="AJ28" i="4"/>
  <c r="AF28" i="4"/>
  <c r="BH24" i="4"/>
  <c r="BI42" i="4"/>
  <c r="AF20" i="4"/>
  <c r="AJ20" i="4"/>
  <c r="BI24" i="4"/>
  <c r="BH42" i="4"/>
  <c r="BK38" i="4"/>
  <c r="BK14" i="4"/>
  <c r="BK33" i="4"/>
  <c r="AF34" i="4"/>
  <c r="AJ34" i="4"/>
  <c r="AF33" i="4"/>
  <c r="AJ33" i="4"/>
  <c r="AJ38" i="4"/>
  <c r="AF38" i="4"/>
  <c r="AJ41" i="4"/>
  <c r="AF41" i="4"/>
  <c r="AF12" i="4"/>
  <c r="AJ12" i="4"/>
  <c r="BK9" i="4"/>
  <c r="BK22" i="4"/>
  <c r="BI12" i="4"/>
  <c r="BK10" i="4"/>
  <c r="BK26" i="4"/>
  <c r="AJ19" i="4"/>
  <c r="AF19" i="4"/>
  <c r="AF11" i="4"/>
  <c r="AJ11" i="4"/>
  <c r="AJ18" i="4"/>
  <c r="AF18" i="4"/>
  <c r="AJ13" i="4"/>
  <c r="AF13" i="4"/>
  <c r="AJ40" i="4"/>
  <c r="AF40" i="4"/>
  <c r="AJ37" i="4"/>
  <c r="AF37" i="4"/>
  <c r="BK29" i="4"/>
  <c r="AJ23" i="4"/>
  <c r="AF23" i="4"/>
  <c r="AF15" i="4"/>
  <c r="AJ15" i="4"/>
  <c r="AJ25" i="4"/>
  <c r="AF25" i="4"/>
  <c r="AF22" i="4"/>
  <c r="AJ22" i="4"/>
  <c r="AJ30" i="4"/>
  <c r="AF30" i="4"/>
  <c r="BK15" i="4"/>
  <c r="BK28" i="4"/>
  <c r="AF35" i="4"/>
  <c r="AJ35" i="4"/>
  <c r="AJ21" i="4"/>
  <c r="AF21" i="4"/>
  <c r="AJ24" i="4"/>
  <c r="AF24" i="4"/>
  <c r="BH30" i="4"/>
  <c r="BQ8" i="4" l="1"/>
  <c r="BQ29" i="4"/>
  <c r="BQ23" i="4"/>
  <c r="BQ28" i="4"/>
  <c r="BQ26" i="4"/>
  <c r="BQ32" i="4"/>
  <c r="BQ35" i="4"/>
  <c r="BQ17" i="4"/>
  <c r="BQ40" i="4"/>
  <c r="BQ38" i="4"/>
  <c r="BQ33" i="4"/>
  <c r="BQ22" i="4"/>
  <c r="BQ39" i="4"/>
  <c r="BQ10" i="4"/>
  <c r="BQ14" i="4"/>
  <c r="BQ20" i="4"/>
  <c r="BQ41" i="4"/>
  <c r="BQ27" i="4"/>
  <c r="BQ15" i="4"/>
  <c r="BQ34" i="4"/>
  <c r="BQ9" i="4"/>
  <c r="BM9" i="4"/>
  <c r="BJ9" i="4" s="1"/>
  <c r="BM28" i="4"/>
  <c r="BJ28" i="4" s="1"/>
  <c r="BM27" i="4"/>
  <c r="BJ27" i="4" s="1"/>
  <c r="BM17" i="4"/>
  <c r="BJ17" i="4" s="1"/>
  <c r="BM23" i="4"/>
  <c r="BJ23" i="4" s="1"/>
  <c r="BM15" i="4"/>
  <c r="BJ15" i="4" s="1"/>
  <c r="BF24" i="4"/>
  <c r="BF12" i="4"/>
  <c r="BM29" i="4"/>
  <c r="BJ29" i="4" s="1"/>
  <c r="BM10" i="4"/>
  <c r="BJ10" i="4" s="1"/>
  <c r="BM33" i="4"/>
  <c r="BJ33" i="4" s="1"/>
  <c r="BG18" i="4"/>
  <c r="BF18" i="4"/>
  <c r="BM11" i="4"/>
  <c r="BJ11" i="4" s="1"/>
  <c r="BG42" i="4"/>
  <c r="BG24" i="4"/>
  <c r="BM35" i="4"/>
  <c r="BJ35" i="4" s="1"/>
  <c r="BM39" i="4"/>
  <c r="BJ39" i="4" s="1"/>
  <c r="BM14" i="4"/>
  <c r="BE18" i="4"/>
  <c r="BM22" i="4"/>
  <c r="BJ22" i="4" s="1"/>
  <c r="BG36" i="4"/>
  <c r="BF30" i="4"/>
  <c r="BF42" i="4"/>
  <c r="BM40" i="4"/>
  <c r="BJ40" i="4" s="1"/>
  <c r="BE24" i="4"/>
  <c r="BM20" i="4"/>
  <c r="BE30" i="4"/>
  <c r="BM26" i="4"/>
  <c r="BM21" i="4"/>
  <c r="BJ21" i="4" s="1"/>
  <c r="BM41" i="4"/>
  <c r="BJ41" i="4" s="1"/>
  <c r="BM8" i="4"/>
  <c r="BE12" i="4"/>
  <c r="BG30" i="4"/>
  <c r="BM16" i="4"/>
  <c r="BJ16" i="4" s="1"/>
  <c r="BE42" i="4"/>
  <c r="BM38" i="4"/>
  <c r="BF36" i="4"/>
  <c r="BM34" i="4"/>
  <c r="BJ34" i="4" s="1"/>
  <c r="BG12" i="4"/>
  <c r="BE36" i="4"/>
  <c r="BM32" i="4"/>
  <c r="AX18" i="4"/>
  <c r="AO18" i="4"/>
  <c r="AO23" i="4"/>
  <c r="AX23" i="4"/>
  <c r="AO35" i="4"/>
  <c r="AX35" i="4"/>
  <c r="AS23" i="4"/>
  <c r="AZ23" i="4"/>
  <c r="BK31" i="4"/>
  <c r="AZ22" i="4"/>
  <c r="AS22" i="4"/>
  <c r="AS13" i="4"/>
  <c r="AZ13" i="4"/>
  <c r="AS12" i="4"/>
  <c r="AZ12" i="4"/>
  <c r="AS41" i="4"/>
  <c r="AZ41" i="4"/>
  <c r="AS28" i="4"/>
  <c r="AZ28" i="4"/>
  <c r="AS16" i="4"/>
  <c r="AZ16" i="4"/>
  <c r="BK37" i="4"/>
  <c r="AZ36" i="4"/>
  <c r="AS36" i="4"/>
  <c r="AX29" i="4"/>
  <c r="AO29" i="4"/>
  <c r="AO24" i="4"/>
  <c r="AX24" i="4"/>
  <c r="AZ37" i="4"/>
  <c r="AS37" i="4"/>
  <c r="AS29" i="4"/>
  <c r="AZ29" i="4"/>
  <c r="AS27" i="4"/>
  <c r="AZ27" i="4"/>
  <c r="AS24" i="4"/>
  <c r="AZ24" i="4"/>
  <c r="AZ25" i="4"/>
  <c r="AS25" i="4"/>
  <c r="AS11" i="4"/>
  <c r="AZ11" i="4"/>
  <c r="AX10" i="4"/>
  <c r="AO10" i="4"/>
  <c r="AX8" i="4"/>
  <c r="AO8" i="4"/>
  <c r="AZ9" i="4"/>
  <c r="AS9" i="4"/>
  <c r="AZ32" i="4"/>
  <c r="AS32" i="4"/>
  <c r="AX37" i="4"/>
  <c r="AO37" i="4"/>
  <c r="AX32" i="4"/>
  <c r="AO32" i="4"/>
  <c r="AZ15" i="4"/>
  <c r="AS15" i="4"/>
  <c r="AX11" i="4"/>
  <c r="AO11" i="4"/>
  <c r="AX38" i="4"/>
  <c r="AO38" i="4"/>
  <c r="AZ17" i="4"/>
  <c r="AS17" i="4"/>
  <c r="AZ10" i="4"/>
  <c r="AS10" i="4"/>
  <c r="AS8" i="4"/>
  <c r="AZ8" i="4"/>
  <c r="AX26" i="4"/>
  <c r="AO26" i="4"/>
  <c r="AX9" i="4"/>
  <c r="AO9" i="4"/>
  <c r="AX22" i="4"/>
  <c r="AO22" i="4"/>
  <c r="AX27" i="4"/>
  <c r="AO27" i="4"/>
  <c r="AO25" i="4"/>
  <c r="AX25" i="4"/>
  <c r="AZ18" i="4"/>
  <c r="AS18" i="4"/>
  <c r="AX21" i="4"/>
  <c r="AO21" i="4"/>
  <c r="AZ21" i="4"/>
  <c r="AS21" i="4"/>
  <c r="AX15" i="4"/>
  <c r="AO15" i="4"/>
  <c r="AX40" i="4"/>
  <c r="AO40" i="4"/>
  <c r="AX19" i="4"/>
  <c r="AO19" i="4"/>
  <c r="AZ38" i="4"/>
  <c r="AS38" i="4"/>
  <c r="BK19" i="4"/>
  <c r="BK18" i="4" s="1"/>
  <c r="AZ20" i="4"/>
  <c r="AS20" i="4"/>
  <c r="AX17" i="4"/>
  <c r="AO17" i="4"/>
  <c r="AS14" i="4"/>
  <c r="AZ14" i="4"/>
  <c r="CO41" i="4"/>
  <c r="CE41" i="4"/>
  <c r="CQ40" i="4"/>
  <c r="CN41" i="4"/>
  <c r="CD41" i="4"/>
  <c r="CO40" i="4"/>
  <c r="CF40" i="4"/>
  <c r="CJ39" i="4"/>
  <c r="CC41" i="4"/>
  <c r="CN40" i="4"/>
  <c r="CD40" i="4"/>
  <c r="CH39" i="4"/>
  <c r="CC40" i="4"/>
  <c r="CQ39" i="4"/>
  <c r="CJ41" i="4"/>
  <c r="CI41" i="4"/>
  <c r="CH41" i="4"/>
  <c r="CP41" i="4"/>
  <c r="CN39" i="4"/>
  <c r="CO38" i="4"/>
  <c r="CE38" i="4"/>
  <c r="CJ35" i="4"/>
  <c r="CC34" i="4"/>
  <c r="CJ33" i="4"/>
  <c r="CD38" i="4"/>
  <c r="CI35" i="4"/>
  <c r="CH33" i="4"/>
  <c r="CK40" i="4"/>
  <c r="CI40" i="4"/>
  <c r="CK39" i="4"/>
  <c r="CH40" i="4"/>
  <c r="CF39" i="4"/>
  <c r="CJ38" i="4"/>
  <c r="CO35" i="4"/>
  <c r="CE35" i="4"/>
  <c r="CH34" i="4"/>
  <c r="CE39" i="4"/>
  <c r="CI38" i="4"/>
  <c r="CP39" i="4"/>
  <c r="CP38" i="4"/>
  <c r="CF38" i="4"/>
  <c r="CF34" i="4"/>
  <c r="CK33" i="4"/>
  <c r="CI32" i="4"/>
  <c r="CQ38" i="4"/>
  <c r="CP35" i="4"/>
  <c r="CD34" i="4"/>
  <c r="CQ32" i="4"/>
  <c r="CJ29" i="4"/>
  <c r="CN35" i="4"/>
  <c r="CQ34" i="4"/>
  <c r="CF33" i="4"/>
  <c r="CP32" i="4"/>
  <c r="CF32" i="4"/>
  <c r="CI29" i="4"/>
  <c r="CK38" i="4"/>
  <c r="CO34" i="4"/>
  <c r="CQ33" i="4"/>
  <c r="CE33" i="4"/>
  <c r="CO32" i="4"/>
  <c r="CE32" i="4"/>
  <c r="CH29" i="4"/>
  <c r="CH35" i="4"/>
  <c r="CN34" i="4"/>
  <c r="CP33" i="4"/>
  <c r="CC33" i="4"/>
  <c r="CD32" i="4"/>
  <c r="CP29" i="4"/>
  <c r="CN28" i="4"/>
  <c r="CD28" i="4"/>
  <c r="CK34" i="4"/>
  <c r="CN33" i="4"/>
  <c r="CE29" i="4"/>
  <c r="CO28" i="4"/>
  <c r="CC28" i="4"/>
  <c r="CK26" i="4"/>
  <c r="CI23" i="4"/>
  <c r="CI34" i="4"/>
  <c r="CK32" i="4"/>
  <c r="CD29" i="4"/>
  <c r="CK27" i="4"/>
  <c r="CJ26" i="4"/>
  <c r="CC39" i="4"/>
  <c r="CJ32" i="4"/>
  <c r="CC29" i="4"/>
  <c r="CJ27" i="4"/>
  <c r="CK28" i="4"/>
  <c r="CH27" i="4"/>
  <c r="CD35" i="4"/>
  <c r="CI28" i="4"/>
  <c r="CQ27" i="4"/>
  <c r="CQ28" i="4"/>
  <c r="CF28" i="4"/>
  <c r="CC27" i="4"/>
  <c r="CJ23" i="4"/>
  <c r="CP27" i="4"/>
  <c r="CI26" i="4"/>
  <c r="CO23" i="4"/>
  <c r="CC23" i="4"/>
  <c r="CO22" i="4"/>
  <c r="CF22" i="4"/>
  <c r="CQ21" i="4"/>
  <c r="CP20" i="4"/>
  <c r="CF20" i="4"/>
  <c r="CN27" i="4"/>
  <c r="CN23" i="4"/>
  <c r="CN22" i="4"/>
  <c r="CD22" i="4"/>
  <c r="CP21" i="4"/>
  <c r="CF21" i="4"/>
  <c r="CO20" i="4"/>
  <c r="CE20" i="4"/>
  <c r="CF27" i="4"/>
  <c r="CF26" i="4"/>
  <c r="CC22" i="4"/>
  <c r="CE27" i="4"/>
  <c r="CE26" i="4"/>
  <c r="CC21" i="4"/>
  <c r="CQ26" i="4"/>
  <c r="CD26" i="4"/>
  <c r="CH23" i="4"/>
  <c r="CK22" i="4"/>
  <c r="CK20" i="4"/>
  <c r="CC35" i="4"/>
  <c r="CN29" i="4"/>
  <c r="CH28" i="4"/>
  <c r="CP23" i="4"/>
  <c r="CD23" i="4"/>
  <c r="CQ22" i="4"/>
  <c r="CH21" i="4"/>
  <c r="CQ20" i="4"/>
  <c r="CP26" i="4"/>
  <c r="CE21" i="4"/>
  <c r="CJ20" i="4"/>
  <c r="CN16" i="4"/>
  <c r="CD16" i="4"/>
  <c r="CP15" i="4"/>
  <c r="CF15" i="4"/>
  <c r="CO14" i="4"/>
  <c r="CE14" i="4"/>
  <c r="CO11" i="4"/>
  <c r="CE11" i="4"/>
  <c r="CO26" i="4"/>
  <c r="CI20" i="4"/>
  <c r="CE17" i="4"/>
  <c r="CC16" i="4"/>
  <c r="CN15" i="4"/>
  <c r="CE15" i="4"/>
  <c r="CD14" i="4"/>
  <c r="CN11" i="4"/>
  <c r="CD20" i="4"/>
  <c r="CP17" i="4"/>
  <c r="CD17" i="4"/>
  <c r="CC15" i="4"/>
  <c r="CE23" i="4"/>
  <c r="CO17" i="4"/>
  <c r="CC17" i="4"/>
  <c r="CK16" i="4"/>
  <c r="CK14" i="4"/>
  <c r="CI22" i="4"/>
  <c r="CN17" i="4"/>
  <c r="CI16" i="4"/>
  <c r="CK15" i="4"/>
  <c r="CJ14" i="4"/>
  <c r="CJ21" i="4"/>
  <c r="CH17" i="4"/>
  <c r="CO16" i="4"/>
  <c r="CF16" i="4"/>
  <c r="CQ15" i="4"/>
  <c r="CP14" i="4"/>
  <c r="CF14" i="4"/>
  <c r="CP11" i="4"/>
  <c r="CK21" i="4"/>
  <c r="CH15" i="4"/>
  <c r="CI11" i="4"/>
  <c r="CO10" i="4"/>
  <c r="CF10" i="4"/>
  <c r="CQ9" i="4"/>
  <c r="CI8" i="4"/>
  <c r="CH10" i="4"/>
  <c r="CJ9" i="4"/>
  <c r="CH11" i="4"/>
  <c r="CN10" i="4"/>
  <c r="CD10" i="4"/>
  <c r="CP9" i="4"/>
  <c r="CF9" i="4"/>
  <c r="CQ8" i="4"/>
  <c r="CK9" i="4"/>
  <c r="CQ16" i="4"/>
  <c r="CD11" i="4"/>
  <c r="CC10" i="4"/>
  <c r="CN9" i="4"/>
  <c r="CE9" i="4"/>
  <c r="CP8" i="4"/>
  <c r="CF8" i="4"/>
  <c r="CH16" i="4"/>
  <c r="CC11" i="4"/>
  <c r="CC9" i="4"/>
  <c r="CO8" i="4"/>
  <c r="CE8" i="4"/>
  <c r="CI10" i="4"/>
  <c r="CO29" i="4"/>
  <c r="CQ14" i="4"/>
  <c r="CK10" i="4"/>
  <c r="CD8" i="4"/>
  <c r="CJ17" i="4"/>
  <c r="CH22" i="4"/>
  <c r="CN21" i="4"/>
  <c r="CJ15" i="4"/>
  <c r="CJ11" i="4"/>
  <c r="CQ10" i="4"/>
  <c r="CH9" i="4"/>
  <c r="CJ8" i="4"/>
  <c r="AX7" i="4"/>
  <c r="AO7" i="4"/>
  <c r="CI14" i="4"/>
  <c r="CI17" i="4"/>
  <c r="CK8" i="4"/>
  <c r="AS42" i="4"/>
  <c r="AZ42" i="4"/>
  <c r="AS26" i="4"/>
  <c r="AZ26" i="4"/>
  <c r="BK13" i="4"/>
  <c r="AX12" i="4"/>
  <c r="AO12" i="4"/>
  <c r="AX30" i="4"/>
  <c r="AO30" i="4"/>
  <c r="AZ40" i="4"/>
  <c r="AS40" i="4"/>
  <c r="AS19" i="4"/>
  <c r="AZ19" i="4"/>
  <c r="AS33" i="4"/>
  <c r="AZ33" i="4"/>
  <c r="AS34" i="4"/>
  <c r="AZ34" i="4"/>
  <c r="BK43" i="4"/>
  <c r="AX20" i="4"/>
  <c r="AO20" i="4"/>
  <c r="AS31" i="4"/>
  <c r="AZ31" i="4"/>
  <c r="AS39" i="4"/>
  <c r="AZ39" i="4"/>
  <c r="AX14" i="4"/>
  <c r="AO14" i="4"/>
  <c r="AZ7" i="4"/>
  <c r="AS7" i="4"/>
  <c r="AO42" i="4"/>
  <c r="AX42" i="4"/>
  <c r="BK25" i="4"/>
  <c r="AX16" i="4"/>
  <c r="AO16" i="4"/>
  <c r="AS35" i="4"/>
  <c r="AZ35" i="4"/>
  <c r="AS30" i="4"/>
  <c r="AZ30" i="4"/>
  <c r="AO13" i="4"/>
  <c r="AX13" i="4"/>
  <c r="AX41" i="4"/>
  <c r="AO41" i="4"/>
  <c r="AO33" i="4"/>
  <c r="AX33" i="4"/>
  <c r="AX34" i="4"/>
  <c r="AO34" i="4"/>
  <c r="AO28" i="4"/>
  <c r="AX28" i="4"/>
  <c r="AO31" i="4"/>
  <c r="AX31" i="4"/>
  <c r="AX39" i="4"/>
  <c r="AO39" i="4"/>
  <c r="AX36" i="4"/>
  <c r="AO36" i="4"/>
  <c r="Z8" i="4" l="1"/>
  <c r="AA8" i="4" s="1"/>
  <c r="Z35" i="4"/>
  <c r="AA35" i="4" s="1"/>
  <c r="Z34" i="4"/>
  <c r="AB34" i="4" s="1"/>
  <c r="Z21" i="4"/>
  <c r="AA21" i="4" s="1"/>
  <c r="Z22" i="4"/>
  <c r="AB22" i="4" s="1"/>
  <c r="BM42" i="4"/>
  <c r="BJ38" i="4"/>
  <c r="BM30" i="4"/>
  <c r="BJ26" i="4"/>
  <c r="BJ20" i="4"/>
  <c r="BM24" i="4"/>
  <c r="BM18" i="4"/>
  <c r="BJ14" i="4"/>
  <c r="BM36" i="4"/>
  <c r="BJ32" i="4"/>
  <c r="Z15" i="4" s="1"/>
  <c r="AA15" i="4" s="1"/>
  <c r="BJ8" i="4"/>
  <c r="Z31" i="4" s="1"/>
  <c r="AA31" i="4" s="1"/>
  <c r="BM12" i="4"/>
  <c r="BL16" i="4"/>
  <c r="CR21" i="4"/>
  <c r="CL9" i="4"/>
  <c r="CG32" i="4"/>
  <c r="CC36" i="4" s="1"/>
  <c r="CG16" i="4"/>
  <c r="CE18" i="4" s="1"/>
  <c r="CL8" i="4"/>
  <c r="CR15" i="4"/>
  <c r="CG39" i="4"/>
  <c r="CD42" i="4" s="1"/>
  <c r="CG28" i="4"/>
  <c r="CE30" i="4" s="1"/>
  <c r="CR39" i="4"/>
  <c r="CL41" i="4"/>
  <c r="CG41" i="4"/>
  <c r="CF42" i="4" s="1"/>
  <c r="BL14" i="4"/>
  <c r="BL17" i="4"/>
  <c r="CG20" i="4"/>
  <c r="CC24" i="4" s="1"/>
  <c r="CL35" i="4"/>
  <c r="CG10" i="4"/>
  <c r="CE12" i="4" s="1"/>
  <c r="CG9" i="4"/>
  <c r="CD12" i="4" s="1"/>
  <c r="CL28" i="4"/>
  <c r="CG21" i="4"/>
  <c r="CD24" i="4" s="1"/>
  <c r="CL29" i="4"/>
  <c r="CL38" i="4"/>
  <c r="BL15" i="4"/>
  <c r="CG29" i="4"/>
  <c r="CF30" i="4" s="1"/>
  <c r="CL22" i="4"/>
  <c r="CL16" i="4"/>
  <c r="CG35" i="4"/>
  <c r="CF36" i="4" s="1"/>
  <c r="CR32" i="4"/>
  <c r="CL32" i="4"/>
  <c r="CL34" i="4"/>
  <c r="CR38" i="4"/>
  <c r="CL39" i="4"/>
  <c r="CR41" i="4"/>
  <c r="CR8" i="4"/>
  <c r="DS40" i="4"/>
  <c r="DV39" i="4"/>
  <c r="DU41" i="4"/>
  <c r="DT41" i="4"/>
  <c r="DS39" i="4"/>
  <c r="DV33" i="4"/>
  <c r="DV40" i="4"/>
  <c r="DT38" i="4"/>
  <c r="DU38" i="4"/>
  <c r="DU32" i="4"/>
  <c r="DU29" i="4"/>
  <c r="DS34" i="4"/>
  <c r="DT29" i="4"/>
  <c r="DT35" i="4"/>
  <c r="DV28" i="4"/>
  <c r="DV27" i="4"/>
  <c r="DT26" i="4"/>
  <c r="DS22" i="4"/>
  <c r="DT20" i="4"/>
  <c r="DS21" i="4"/>
  <c r="DS27" i="4"/>
  <c r="DU23" i="4"/>
  <c r="DV21" i="4"/>
  <c r="DU20" i="4"/>
  <c r="DS15" i="4"/>
  <c r="DS11" i="4"/>
  <c r="DT23" i="4"/>
  <c r="DT14" i="4"/>
  <c r="DU9" i="4"/>
  <c r="DV8" i="4"/>
  <c r="DV22" i="4"/>
  <c r="DT10" i="4"/>
  <c r="CG8" i="4"/>
  <c r="CG11" i="4"/>
  <c r="CG17" i="4"/>
  <c r="CG14" i="4"/>
  <c r="CR29" i="4"/>
  <c r="CR28" i="4"/>
  <c r="CG40" i="4"/>
  <c r="BK36" i="4"/>
  <c r="BL33" i="4" s="1"/>
  <c r="CR22" i="4"/>
  <c r="CL33" i="4"/>
  <c r="CG15" i="4"/>
  <c r="CL21" i="4"/>
  <c r="CR23" i="4"/>
  <c r="CG33" i="4"/>
  <c r="CR35" i="4"/>
  <c r="CR40" i="4"/>
  <c r="CL10" i="4"/>
  <c r="BK42" i="4"/>
  <c r="BL38" i="4" s="1"/>
  <c r="CG22" i="4"/>
  <c r="BK24" i="4"/>
  <c r="BL22" i="4" s="1"/>
  <c r="CR17" i="4"/>
  <c r="CL23" i="4"/>
  <c r="CR27" i="4"/>
  <c r="CL26" i="4"/>
  <c r="CG38" i="4"/>
  <c r="CG23" i="4"/>
  <c r="BK30" i="4"/>
  <c r="CL14" i="4"/>
  <c r="CR9" i="4"/>
  <c r="CL20" i="4"/>
  <c r="CG26" i="4"/>
  <c r="CL27" i="4"/>
  <c r="CR33" i="4"/>
  <c r="CR34" i="4"/>
  <c r="CR14" i="4"/>
  <c r="EL41" i="4"/>
  <c r="EK41" i="4"/>
  <c r="EM40" i="4"/>
  <c r="EP39" i="4"/>
  <c r="EG39" i="4"/>
  <c r="EJ41" i="4"/>
  <c r="EK40" i="4"/>
  <c r="EE39" i="4"/>
  <c r="ES38" i="4"/>
  <c r="ER41" i="4"/>
  <c r="EJ40" i="4"/>
  <c r="ER38" i="4"/>
  <c r="EH38" i="4"/>
  <c r="EQ41" i="4"/>
  <c r="EG41" i="4"/>
  <c r="ES40" i="4"/>
  <c r="EP41" i="4"/>
  <c r="EF41" i="4"/>
  <c r="EE41" i="4"/>
  <c r="EP40" i="4"/>
  <c r="EF40" i="4"/>
  <c r="EE40" i="4"/>
  <c r="EH40" i="4"/>
  <c r="EJ39" i="4"/>
  <c r="EM38" i="4"/>
  <c r="EQ35" i="4"/>
  <c r="EG35" i="4"/>
  <c r="EJ34" i="4"/>
  <c r="EP33" i="4"/>
  <c r="EG33" i="4"/>
  <c r="EK32" i="4"/>
  <c r="EL38" i="4"/>
  <c r="EP35" i="4"/>
  <c r="EF35" i="4"/>
  <c r="ES34" i="4"/>
  <c r="EE33" i="4"/>
  <c r="ES32" i="4"/>
  <c r="ES39" i="4"/>
  <c r="EG38" i="4"/>
  <c r="EL35" i="4"/>
  <c r="EE34" i="4"/>
  <c r="ER39" i="4"/>
  <c r="EQ38" i="4"/>
  <c r="EF38" i="4"/>
  <c r="EQ40" i="4"/>
  <c r="EM39" i="4"/>
  <c r="EL39" i="4"/>
  <c r="ER35" i="4"/>
  <c r="EE35" i="4"/>
  <c r="EP34" i="4"/>
  <c r="EJ33" i="4"/>
  <c r="EL32" i="4"/>
  <c r="ER29" i="4"/>
  <c r="EH32" i="4"/>
  <c r="EQ29" i="4"/>
  <c r="EG29" i="4"/>
  <c r="EH39" i="4"/>
  <c r="EM34" i="4"/>
  <c r="EH33" i="4"/>
  <c r="EG32" i="4"/>
  <c r="EP29" i="4"/>
  <c r="EF29" i="4"/>
  <c r="EK38" i="4"/>
  <c r="EK34" i="4"/>
  <c r="ES33" i="4"/>
  <c r="ER32" i="4"/>
  <c r="EF32" i="4"/>
  <c r="EE29" i="4"/>
  <c r="EM28" i="4"/>
  <c r="EH34" i="4"/>
  <c r="ER33" i="4"/>
  <c r="EQ32" i="4"/>
  <c r="EK28" i="4"/>
  <c r="EF34" i="4"/>
  <c r="EM32" i="4"/>
  <c r="EJ29" i="4"/>
  <c r="EJ28" i="4"/>
  <c r="ES27" i="4"/>
  <c r="ER26" i="4"/>
  <c r="EH26" i="4"/>
  <c r="EP23" i="4"/>
  <c r="EF23" i="4"/>
  <c r="ER27" i="4"/>
  <c r="EH27" i="4"/>
  <c r="EQ26" i="4"/>
  <c r="EG26" i="4"/>
  <c r="EE23" i="4"/>
  <c r="EQ34" i="4"/>
  <c r="EM33" i="4"/>
  <c r="EH28" i="4"/>
  <c r="EP27" i="4"/>
  <c r="EG27" i="4"/>
  <c r="EF26" i="4"/>
  <c r="EL33" i="4"/>
  <c r="ES28" i="4"/>
  <c r="EF28" i="4"/>
  <c r="EE27" i="4"/>
  <c r="EQ28" i="4"/>
  <c r="EE28" i="4"/>
  <c r="EM26" i="4"/>
  <c r="EJ35" i="4"/>
  <c r="EK29" i="4"/>
  <c r="EJ27" i="4"/>
  <c r="ES26" i="4"/>
  <c r="EQ23" i="4"/>
  <c r="EG23" i="4"/>
  <c r="EM22" i="4"/>
  <c r="EM20" i="4"/>
  <c r="ER23" i="4"/>
  <c r="EK22" i="4"/>
  <c r="EM21" i="4"/>
  <c r="EL20" i="4"/>
  <c r="EL26" i="4"/>
  <c r="EJ22" i="4"/>
  <c r="EL21" i="4"/>
  <c r="EL29" i="4"/>
  <c r="EK26" i="4"/>
  <c r="EL23" i="4"/>
  <c r="ES22" i="4"/>
  <c r="EJ21" i="4"/>
  <c r="ES20" i="4"/>
  <c r="EJ17" i="4"/>
  <c r="EK23" i="4"/>
  <c r="EQ22" i="4"/>
  <c r="EH22" i="4"/>
  <c r="ES21" i="4"/>
  <c r="ER20" i="4"/>
  <c r="EH20" i="4"/>
  <c r="ER17" i="4"/>
  <c r="EL27" i="4"/>
  <c r="EE21" i="4"/>
  <c r="EP22" i="4"/>
  <c r="EG21" i="4"/>
  <c r="EK20" i="4"/>
  <c r="EF17" i="4"/>
  <c r="EK16" i="4"/>
  <c r="EM15" i="4"/>
  <c r="EL14" i="4"/>
  <c r="EL11" i="4"/>
  <c r="EK35" i="4"/>
  <c r="EG20" i="4"/>
  <c r="EQ17" i="4"/>
  <c r="EE17" i="4"/>
  <c r="EJ16" i="4"/>
  <c r="EL15" i="4"/>
  <c r="EK14" i="4"/>
  <c r="EK11" i="4"/>
  <c r="EJ23" i="4"/>
  <c r="EF22" i="4"/>
  <c r="EF20" i="4"/>
  <c r="EP17" i="4"/>
  <c r="ES16" i="4"/>
  <c r="EJ15" i="4"/>
  <c r="ES14" i="4"/>
  <c r="EE22" i="4"/>
  <c r="EQ16" i="4"/>
  <c r="EH16" i="4"/>
  <c r="ES15" i="4"/>
  <c r="ER14" i="4"/>
  <c r="EH14" i="4"/>
  <c r="ER11" i="4"/>
  <c r="EM27" i="4"/>
  <c r="EP16" i="4"/>
  <c r="EF16" i="4"/>
  <c r="ER15" i="4"/>
  <c r="EH15" i="4"/>
  <c r="EQ14" i="4"/>
  <c r="EG14" i="4"/>
  <c r="EQ11" i="4"/>
  <c r="EG11" i="4"/>
  <c r="EH21" i="4"/>
  <c r="EG17" i="4"/>
  <c r="EM16" i="4"/>
  <c r="EM14" i="4"/>
  <c r="EF11" i="4"/>
  <c r="EM10" i="4"/>
  <c r="EF8" i="4"/>
  <c r="EQ20" i="4"/>
  <c r="EK17" i="4"/>
  <c r="EE10" i="4"/>
  <c r="EH8" i="4"/>
  <c r="EE16" i="4"/>
  <c r="EE11" i="4"/>
  <c r="EK10" i="4"/>
  <c r="EM9" i="4"/>
  <c r="EF10" i="4"/>
  <c r="EJ10" i="4"/>
  <c r="EL9" i="4"/>
  <c r="EM8" i="4"/>
  <c r="EG9" i="4"/>
  <c r="ER8" i="4"/>
  <c r="ER21" i="4"/>
  <c r="EP15" i="4"/>
  <c r="EF14" i="4"/>
  <c r="ES10" i="4"/>
  <c r="EJ9" i="4"/>
  <c r="EL8" i="4"/>
  <c r="EL17" i="4"/>
  <c r="EP11" i="4"/>
  <c r="EP10" i="4"/>
  <c r="EH9" i="4"/>
  <c r="ES8" i="4"/>
  <c r="EP28" i="4"/>
  <c r="EP21" i="4"/>
  <c r="EQ10" i="4"/>
  <c r="EH10" i="4"/>
  <c r="ES9" i="4"/>
  <c r="EK8" i="4"/>
  <c r="EG15" i="4"/>
  <c r="EJ11" i="4"/>
  <c r="EE9" i="4"/>
  <c r="EQ8" i="4"/>
  <c r="EG8" i="4"/>
  <c r="ER9" i="4"/>
  <c r="EE15" i="4"/>
  <c r="EP9" i="4"/>
  <c r="CR26" i="4"/>
  <c r="CR16" i="4"/>
  <c r="CR20" i="4"/>
  <c r="CL40" i="4"/>
  <c r="CG34" i="4"/>
  <c r="BK12" i="4"/>
  <c r="BL10" i="4" s="1"/>
  <c r="CR10" i="4"/>
  <c r="CL11" i="4"/>
  <c r="CL15" i="4"/>
  <c r="CL17" i="4"/>
  <c r="CR11" i="4"/>
  <c r="CG27" i="4"/>
  <c r="Z40" i="4" l="1"/>
  <c r="AA40" i="4" s="1"/>
  <c r="Z27" i="4"/>
  <c r="AB27" i="4" s="1"/>
  <c r="Z23" i="4"/>
  <c r="AB23" i="4" s="1"/>
  <c r="Z13" i="4"/>
  <c r="AB13" i="4" s="1"/>
  <c r="Z9" i="4"/>
  <c r="AA9" i="4" s="1"/>
  <c r="AB8" i="4"/>
  <c r="AA34" i="4"/>
  <c r="Z30" i="4"/>
  <c r="AA30" i="4" s="1"/>
  <c r="AB35" i="4"/>
  <c r="AB21" i="4"/>
  <c r="AB15" i="4"/>
  <c r="AB31" i="4"/>
  <c r="BJ25" i="4"/>
  <c r="BJ24" i="4" s="1"/>
  <c r="Z20" i="4"/>
  <c r="BJ13" i="4"/>
  <c r="BJ12" i="4" s="1"/>
  <c r="Z7" i="4"/>
  <c r="Z32" i="4"/>
  <c r="Z14" i="4"/>
  <c r="Z37" i="4"/>
  <c r="BJ31" i="4"/>
  <c r="BJ30" i="4" s="1"/>
  <c r="AA22" i="4"/>
  <c r="Z16" i="4"/>
  <c r="BJ37" i="4"/>
  <c r="BJ36" i="4" s="1"/>
  <c r="Z25" i="4"/>
  <c r="Z39" i="4"/>
  <c r="BJ43" i="4"/>
  <c r="BJ42" i="4" s="1"/>
  <c r="Z41" i="4"/>
  <c r="Z19" i="4"/>
  <c r="BJ19" i="4"/>
  <c r="BJ18" i="4" s="1"/>
  <c r="Z36" i="4"/>
  <c r="Z10" i="4"/>
  <c r="BL41" i="4"/>
  <c r="EC20" i="4"/>
  <c r="EN15" i="4"/>
  <c r="EC21" i="4"/>
  <c r="ET28" i="4"/>
  <c r="EC16" i="4"/>
  <c r="EC10" i="4"/>
  <c r="EC9" i="4"/>
  <c r="BL32" i="4"/>
  <c r="CM28" i="4"/>
  <c r="CM20" i="4"/>
  <c r="BL11" i="4"/>
  <c r="EC35" i="4"/>
  <c r="EI27" i="4"/>
  <c r="EF30" i="4" s="1"/>
  <c r="EC41" i="4"/>
  <c r="CM34" i="4"/>
  <c r="CM40" i="4"/>
  <c r="CM32" i="4"/>
  <c r="CM33" i="4"/>
  <c r="CM11" i="4"/>
  <c r="EC32" i="4"/>
  <c r="EI35" i="4"/>
  <c r="EH36" i="4" s="1"/>
  <c r="EN21" i="4"/>
  <c r="CM35" i="4"/>
  <c r="EI11" i="4"/>
  <c r="EH12" i="4" s="1"/>
  <c r="ET14" i="4"/>
  <c r="EI23" i="4"/>
  <c r="EH24" i="4" s="1"/>
  <c r="CM29" i="4"/>
  <c r="BL40" i="4"/>
  <c r="EI34" i="4"/>
  <c r="EG36" i="4" s="1"/>
  <c r="ET35" i="4"/>
  <c r="ET41" i="4"/>
  <c r="BL21" i="4"/>
  <c r="CM27" i="4"/>
  <c r="BL20" i="4"/>
  <c r="CM9" i="4"/>
  <c r="ET9" i="4"/>
  <c r="EI17" i="4"/>
  <c r="EH18" i="4" s="1"/>
  <c r="EN27" i="4"/>
  <c r="BL23" i="4"/>
  <c r="EN26" i="4"/>
  <c r="EN35" i="4"/>
  <c r="EI26" i="4"/>
  <c r="ET26" i="4"/>
  <c r="EN28" i="4"/>
  <c r="ET29" i="4"/>
  <c r="CM22" i="4"/>
  <c r="CM38" i="4"/>
  <c r="CM15" i="4"/>
  <c r="EN10" i="4"/>
  <c r="ET16" i="4"/>
  <c r="ET27" i="4"/>
  <c r="EI32" i="4"/>
  <c r="EE36" i="4" s="1"/>
  <c r="BL39" i="4"/>
  <c r="BL35" i="4"/>
  <c r="CD30" i="4"/>
  <c r="EC27" i="4"/>
  <c r="EI8" i="4"/>
  <c r="BL28" i="4"/>
  <c r="BL26" i="4"/>
  <c r="CE24" i="4"/>
  <c r="EC22" i="4"/>
  <c r="CD36" i="4"/>
  <c r="EC33" i="4"/>
  <c r="CF18" i="4"/>
  <c r="EC17" i="4"/>
  <c r="EN8" i="4"/>
  <c r="ET10" i="4"/>
  <c r="EN16" i="4"/>
  <c r="ET32" i="4"/>
  <c r="EN39" i="4"/>
  <c r="EI39" i="4"/>
  <c r="CF24" i="4"/>
  <c r="EC23" i="4"/>
  <c r="CM41" i="4"/>
  <c r="EC40" i="4"/>
  <c r="CE42" i="4"/>
  <c r="EC11" i="4"/>
  <c r="CF12" i="4"/>
  <c r="DG34" i="4"/>
  <c r="DG32" i="4"/>
  <c r="CV34" i="4"/>
  <c r="CV33" i="4"/>
  <c r="DA32" i="4"/>
  <c r="DG33" i="4"/>
  <c r="DA34" i="4"/>
  <c r="DA33" i="4"/>
  <c r="CV32" i="4"/>
  <c r="ET17" i="4"/>
  <c r="EN38" i="4"/>
  <c r="EN32" i="4"/>
  <c r="CM8" i="4"/>
  <c r="CC42" i="4"/>
  <c r="EC38" i="4"/>
  <c r="CM21" i="4"/>
  <c r="CC12" i="4"/>
  <c r="EC8" i="4"/>
  <c r="BL9" i="4"/>
  <c r="BL8" i="4"/>
  <c r="CU11" i="4"/>
  <c r="CZ11" i="4"/>
  <c r="DF11" i="4"/>
  <c r="CU8" i="4"/>
  <c r="CZ9" i="4"/>
  <c r="CZ8" i="4"/>
  <c r="DF9" i="4"/>
  <c r="DF8" i="4"/>
  <c r="CU9" i="4"/>
  <c r="ET15" i="4"/>
  <c r="ET23" i="4"/>
  <c r="EI15" i="4"/>
  <c r="ET11" i="4"/>
  <c r="CT23" i="4"/>
  <c r="CY22" i="4"/>
  <c r="CY20" i="4"/>
  <c r="CY23" i="4"/>
  <c r="DE22" i="4"/>
  <c r="CT22" i="4"/>
  <c r="DE20" i="4"/>
  <c r="DE23" i="4"/>
  <c r="CT20" i="4"/>
  <c r="CY11" i="4"/>
  <c r="DE11" i="4"/>
  <c r="CT11" i="4"/>
  <c r="CY10" i="4"/>
  <c r="DE10" i="4"/>
  <c r="CY8" i="4"/>
  <c r="CT10" i="4"/>
  <c r="DE8" i="4"/>
  <c r="CT8" i="4"/>
  <c r="CS23" i="4"/>
  <c r="DD23" i="4"/>
  <c r="CX22" i="4"/>
  <c r="CX23" i="4"/>
  <c r="DD22" i="4"/>
  <c r="DD21" i="4"/>
  <c r="CS22" i="4"/>
  <c r="CX21" i="4"/>
  <c r="CS21" i="4"/>
  <c r="EI16" i="4"/>
  <c r="EI20" i="4"/>
  <c r="EN20" i="4"/>
  <c r="EI40" i="4"/>
  <c r="EN41" i="4"/>
  <c r="CC30" i="4"/>
  <c r="EC26" i="4"/>
  <c r="CM39" i="4"/>
  <c r="CM26" i="4"/>
  <c r="BL34" i="4"/>
  <c r="DD35" i="4"/>
  <c r="CS33" i="4"/>
  <c r="CS35" i="4"/>
  <c r="CS34" i="4"/>
  <c r="DD34" i="4"/>
  <c r="DD33" i="4"/>
  <c r="CX34" i="4"/>
  <c r="CX33" i="4"/>
  <c r="CX35" i="4"/>
  <c r="EC29" i="4"/>
  <c r="ET8" i="4"/>
  <c r="ET21" i="4"/>
  <c r="EN9" i="4"/>
  <c r="EI10" i="4"/>
  <c r="EN23" i="4"/>
  <c r="ET22" i="4"/>
  <c r="EN29" i="4"/>
  <c r="EI29" i="4"/>
  <c r="EI38" i="4"/>
  <c r="EI33" i="4"/>
  <c r="EN34" i="4"/>
  <c r="ET40" i="4"/>
  <c r="ET39" i="4"/>
  <c r="CM23" i="4"/>
  <c r="DF17" i="4"/>
  <c r="CU17" i="4"/>
  <c r="CZ15" i="4"/>
  <c r="DF14" i="4"/>
  <c r="DF15" i="4"/>
  <c r="CU14" i="4"/>
  <c r="CZ17" i="4"/>
  <c r="CU15" i="4"/>
  <c r="CZ14" i="4"/>
  <c r="DA28" i="4"/>
  <c r="CV27" i="4"/>
  <c r="DG28" i="4"/>
  <c r="CV28" i="4"/>
  <c r="DA27" i="4"/>
  <c r="DG27" i="4"/>
  <c r="CV26" i="4"/>
  <c r="DA26" i="4"/>
  <c r="DG26" i="4"/>
  <c r="EC28" i="4"/>
  <c r="ET33" i="4"/>
  <c r="CM10" i="4"/>
  <c r="CM16" i="4"/>
  <c r="CE36" i="4"/>
  <c r="EC34" i="4"/>
  <c r="CM17" i="4"/>
  <c r="BL29" i="4"/>
  <c r="EI9" i="4"/>
  <c r="EI22" i="4"/>
  <c r="EI21" i="4"/>
  <c r="EI28" i="4"/>
  <c r="EN33" i="4"/>
  <c r="ET38" i="4"/>
  <c r="EI41" i="4"/>
  <c r="EN40" i="4"/>
  <c r="CM14" i="4"/>
  <c r="DA40" i="4"/>
  <c r="DG40" i="4"/>
  <c r="DA39" i="4"/>
  <c r="DG38" i="4"/>
  <c r="CV40" i="4"/>
  <c r="CV39" i="4"/>
  <c r="DG39" i="4"/>
  <c r="DA38" i="4"/>
  <c r="CV38" i="4"/>
  <c r="EC39" i="4"/>
  <c r="EC15" i="4"/>
  <c r="CD18" i="4"/>
  <c r="CU29" i="4"/>
  <c r="CZ29" i="4"/>
  <c r="DF27" i="4"/>
  <c r="CU26" i="4"/>
  <c r="DF29" i="4"/>
  <c r="CU27" i="4"/>
  <c r="DF26" i="4"/>
  <c r="CZ26" i="4"/>
  <c r="CZ27" i="4"/>
  <c r="EN11" i="4"/>
  <c r="EI14" i="4"/>
  <c r="ET20" i="4"/>
  <c r="EN14" i="4"/>
  <c r="EN17" i="4"/>
  <c r="EN22" i="4"/>
  <c r="ET34" i="4"/>
  <c r="BL27" i="4"/>
  <c r="CY41" i="4"/>
  <c r="CY40" i="4"/>
  <c r="DE41" i="4"/>
  <c r="CT41" i="4"/>
  <c r="CY38" i="4"/>
  <c r="DE40" i="4"/>
  <c r="CT38" i="4"/>
  <c r="CT40" i="4"/>
  <c r="DE38" i="4"/>
  <c r="CC18" i="4"/>
  <c r="EC14" i="4"/>
  <c r="AB40" i="4" l="1"/>
  <c r="AA27" i="4"/>
  <c r="AA23" i="4"/>
  <c r="AA13" i="4"/>
  <c r="AB9" i="4"/>
  <c r="AB30" i="4"/>
  <c r="AB25" i="4"/>
  <c r="AA25" i="4"/>
  <c r="AB36" i="4"/>
  <c r="AA36" i="4"/>
  <c r="AA7" i="4"/>
  <c r="AB7" i="4"/>
  <c r="AA16" i="4"/>
  <c r="AB16" i="4"/>
  <c r="AB19" i="4"/>
  <c r="AA19" i="4"/>
  <c r="AA20" i="4"/>
  <c r="AB20" i="4"/>
  <c r="AB41" i="4"/>
  <c r="AA41" i="4"/>
  <c r="AB37" i="4"/>
  <c r="AA37" i="4"/>
  <c r="AB39" i="4"/>
  <c r="AA39" i="4"/>
  <c r="AB14" i="4"/>
  <c r="AA14" i="4"/>
  <c r="AB10" i="4"/>
  <c r="AA10" i="4"/>
  <c r="AB32" i="4"/>
  <c r="AA32" i="4"/>
  <c r="EO27" i="4"/>
  <c r="EA27" i="4" s="1"/>
  <c r="EO35" i="4"/>
  <c r="EA35" i="4" s="1"/>
  <c r="EO29" i="4"/>
  <c r="EA29" i="4" s="1"/>
  <c r="EO14" i="4"/>
  <c r="EA14" i="4" s="1"/>
  <c r="EO40" i="4"/>
  <c r="EA40" i="4" s="1"/>
  <c r="EO11" i="4"/>
  <c r="EA11" i="4" s="1"/>
  <c r="EO33" i="4"/>
  <c r="EA33" i="4" s="1"/>
  <c r="EO22" i="4"/>
  <c r="EA22" i="4" s="1"/>
  <c r="EE30" i="4"/>
  <c r="EO26" i="4"/>
  <c r="EA26" i="4" s="1"/>
  <c r="EO20" i="4"/>
  <c r="EA20" i="4" s="1"/>
  <c r="EF18" i="4"/>
  <c r="EO16" i="4"/>
  <c r="EA16" i="4" s="1"/>
  <c r="CZ20" i="4"/>
  <c r="CZ23" i="4"/>
  <c r="DB23" i="4" s="1"/>
  <c r="CZ21" i="4"/>
  <c r="DF20" i="4"/>
  <c r="DF21" i="4"/>
  <c r="CU20" i="4"/>
  <c r="CU23" i="4"/>
  <c r="CW23" i="4" s="1"/>
  <c r="CU21" i="4"/>
  <c r="DF23" i="4"/>
  <c r="DH23" i="4" s="1"/>
  <c r="CS17" i="4"/>
  <c r="CX16" i="4"/>
  <c r="DD17" i="4"/>
  <c r="CX15" i="4"/>
  <c r="DD16" i="4"/>
  <c r="CS16" i="4"/>
  <c r="DD15" i="4"/>
  <c r="CX17" i="4"/>
  <c r="CS15" i="4"/>
  <c r="EE18" i="4"/>
  <c r="EO23" i="4"/>
  <c r="EA23" i="4" s="1"/>
  <c r="EO28" i="4"/>
  <c r="EA28" i="4" s="1"/>
  <c r="EG18" i="4"/>
  <c r="DA9" i="4"/>
  <c r="DA8" i="4"/>
  <c r="DB8" i="4" s="1"/>
  <c r="DG10" i="4"/>
  <c r="CV8" i="4"/>
  <c r="CW8" i="4" s="1"/>
  <c r="CV10" i="4"/>
  <c r="DG9" i="4"/>
  <c r="CV9" i="4"/>
  <c r="DG8" i="4"/>
  <c r="DH8" i="4" s="1"/>
  <c r="DA10" i="4"/>
  <c r="EO8" i="4"/>
  <c r="EA8" i="4" s="1"/>
  <c r="DG16" i="4"/>
  <c r="DG14" i="4"/>
  <c r="CV16" i="4"/>
  <c r="DG15" i="4"/>
  <c r="CV14" i="4"/>
  <c r="CV15" i="4"/>
  <c r="DA15" i="4"/>
  <c r="DA16" i="4"/>
  <c r="DA14" i="4"/>
  <c r="DE29" i="4"/>
  <c r="CT29" i="4"/>
  <c r="DE26" i="4"/>
  <c r="DH26" i="4" s="1"/>
  <c r="CY28" i="4"/>
  <c r="CT26" i="4"/>
  <c r="CW26" i="4" s="1"/>
  <c r="CY29" i="4"/>
  <c r="DE28" i="4"/>
  <c r="CT28" i="4"/>
  <c r="CY26" i="4"/>
  <c r="DB26" i="4" s="1"/>
  <c r="EG30" i="4"/>
  <c r="CU35" i="4"/>
  <c r="CU33" i="4"/>
  <c r="CW33" i="4" s="1"/>
  <c r="CZ32" i="4"/>
  <c r="DF35" i="4"/>
  <c r="DF33" i="4"/>
  <c r="DH33" i="4" s="1"/>
  <c r="CZ35" i="4"/>
  <c r="DF32" i="4"/>
  <c r="CZ33" i="4"/>
  <c r="DB33" i="4" s="1"/>
  <c r="CU32" i="4"/>
  <c r="EG12" i="4"/>
  <c r="CX41" i="4"/>
  <c r="CS39" i="4"/>
  <c r="CX40" i="4"/>
  <c r="DB40" i="4" s="1"/>
  <c r="DD41" i="4"/>
  <c r="CS41" i="4"/>
  <c r="DD39" i="4"/>
  <c r="DD40" i="4"/>
  <c r="DH40" i="4" s="1"/>
  <c r="CX39" i="4"/>
  <c r="CS40" i="4"/>
  <c r="CW40" i="4" s="1"/>
  <c r="DA21" i="4"/>
  <c r="DG22" i="4"/>
  <c r="DH22" i="4" s="1"/>
  <c r="CV22" i="4"/>
  <c r="CW22" i="4" s="1"/>
  <c r="DG21" i="4"/>
  <c r="CV20" i="4"/>
  <c r="CV21" i="4"/>
  <c r="DA22" i="4"/>
  <c r="DB22" i="4" s="1"/>
  <c r="DA20" i="4"/>
  <c r="DG20" i="4"/>
  <c r="EO15" i="4"/>
  <c r="EA15" i="4" s="1"/>
  <c r="DE17" i="4"/>
  <c r="CY14" i="4"/>
  <c r="DE16" i="4"/>
  <c r="CT16" i="4"/>
  <c r="DE14" i="4"/>
  <c r="CT14" i="4"/>
  <c r="CT17" i="4"/>
  <c r="CY16" i="4"/>
  <c r="CY17" i="4"/>
  <c r="EF24" i="4"/>
  <c r="EO34" i="4"/>
  <c r="EA34" i="4" s="1"/>
  <c r="EO9" i="4"/>
  <c r="EA9" i="4" s="1"/>
  <c r="DD29" i="4"/>
  <c r="CS29" i="4"/>
  <c r="CX28" i="4"/>
  <c r="DD27" i="4"/>
  <c r="DH27" i="4" s="1"/>
  <c r="CS27" i="4"/>
  <c r="CW27" i="4" s="1"/>
  <c r="CX29" i="4"/>
  <c r="DD28" i="4"/>
  <c r="CX27" i="4"/>
  <c r="DB27" i="4" s="1"/>
  <c r="CS28" i="4"/>
  <c r="EF42" i="4"/>
  <c r="CT35" i="4"/>
  <c r="DE34" i="4"/>
  <c r="DH34" i="4" s="1"/>
  <c r="CY35" i="4"/>
  <c r="DE35" i="4"/>
  <c r="CT34" i="4"/>
  <c r="CW34" i="4" s="1"/>
  <c r="CY32" i="4"/>
  <c r="CT32" i="4"/>
  <c r="CY34" i="4"/>
  <c r="DB34" i="4" s="1"/>
  <c r="DE32" i="4"/>
  <c r="EG24" i="4"/>
  <c r="EF36" i="4"/>
  <c r="EO32" i="4"/>
  <c r="EA32" i="4" s="1"/>
  <c r="DF41" i="4"/>
  <c r="CU41" i="4"/>
  <c r="CZ41" i="4"/>
  <c r="DF39" i="4"/>
  <c r="CU39" i="4"/>
  <c r="CZ38" i="4"/>
  <c r="DB38" i="4" s="1"/>
  <c r="CU38" i="4"/>
  <c r="CW38" i="4" s="1"/>
  <c r="CZ39" i="4"/>
  <c r="DF38" i="4"/>
  <c r="DH38" i="4" s="1"/>
  <c r="EO39" i="4"/>
  <c r="EA39" i="4" s="1"/>
  <c r="EH42" i="4"/>
  <c r="EO10" i="4"/>
  <c r="EA10" i="4" s="1"/>
  <c r="EE42" i="4"/>
  <c r="EO41" i="4"/>
  <c r="EA41" i="4" s="1"/>
  <c r="EO38" i="4"/>
  <c r="EA38" i="4" s="1"/>
  <c r="EE24" i="4"/>
  <c r="EO17" i="4"/>
  <c r="EA17" i="4" s="1"/>
  <c r="EF12" i="4"/>
  <c r="EH30" i="4"/>
  <c r="EG42" i="4"/>
  <c r="CX11" i="4"/>
  <c r="DB11" i="4" s="1"/>
  <c r="DD11" i="4"/>
  <c r="DH11" i="4" s="1"/>
  <c r="CX10" i="4"/>
  <c r="CX9" i="4"/>
  <c r="CS11" i="4"/>
  <c r="CW11" i="4" s="1"/>
  <c r="DD10" i="4"/>
  <c r="DD9" i="4"/>
  <c r="CS10" i="4"/>
  <c r="CS9" i="4"/>
  <c r="EO21" i="4"/>
  <c r="EA21" i="4" s="1"/>
  <c r="EE12" i="4"/>
  <c r="DB32" i="4" l="1"/>
  <c r="CW14" i="4"/>
  <c r="CW9" i="4"/>
  <c r="DB9" i="4"/>
  <c r="DB10" i="4"/>
  <c r="CW35" i="4"/>
  <c r="DB28" i="4"/>
  <c r="CW21" i="4"/>
  <c r="DB20" i="4"/>
  <c r="DH28" i="4"/>
  <c r="CW29" i="4"/>
  <c r="CW32" i="4"/>
  <c r="DB29" i="4"/>
  <c r="DH21" i="4"/>
  <c r="CW10" i="4"/>
  <c r="DH9" i="4"/>
  <c r="DB35" i="4"/>
  <c r="CW20" i="4"/>
  <c r="DH20" i="4"/>
  <c r="DB39" i="4"/>
  <c r="DH35" i="4"/>
  <c r="EB35" i="4"/>
  <c r="ED35" i="4" s="1"/>
  <c r="DB14" i="4"/>
  <c r="DB21" i="4"/>
  <c r="EB39" i="4"/>
  <c r="ED39" i="4" s="1"/>
  <c r="DH10" i="4"/>
  <c r="CW17" i="4"/>
  <c r="EB10" i="4"/>
  <c r="ED10" i="4" s="1"/>
  <c r="EB15" i="4"/>
  <c r="ED15" i="4" s="1"/>
  <c r="EB29" i="4"/>
  <c r="ED29" i="4" s="1"/>
  <c r="EB33" i="4"/>
  <c r="ED33" i="4" s="1"/>
  <c r="CW28" i="4"/>
  <c r="DH29" i="4"/>
  <c r="EB21" i="4"/>
  <c r="ED21" i="4" s="1"/>
  <c r="DH14" i="4"/>
  <c r="EB40" i="4"/>
  <c r="ED40" i="4" s="1"/>
  <c r="EB8" i="4"/>
  <c r="ED8" i="4" s="1"/>
  <c r="EB9" i="4"/>
  <c r="ED9" i="4" s="1"/>
  <c r="DB41" i="4"/>
  <c r="EB28" i="4"/>
  <c r="ED28" i="4" s="1"/>
  <c r="DB16" i="4"/>
  <c r="EB16" i="4"/>
  <c r="ED16" i="4" s="1"/>
  <c r="DB17" i="4"/>
  <c r="DH39" i="4"/>
  <c r="DH15" i="4"/>
  <c r="CW41" i="4"/>
  <c r="CW16" i="4"/>
  <c r="EB41" i="4"/>
  <c r="ED41" i="4" s="1"/>
  <c r="EB38" i="4"/>
  <c r="ED38" i="4" s="1"/>
  <c r="EB32" i="4"/>
  <c r="ED32" i="4" s="1"/>
  <c r="EB26" i="4"/>
  <c r="ED26" i="4" s="1"/>
  <c r="DH41" i="4"/>
  <c r="DH16" i="4"/>
  <c r="EB27" i="4"/>
  <c r="ED27" i="4" s="1"/>
  <c r="CW15" i="4"/>
  <c r="EB22" i="4"/>
  <c r="ED22" i="4" s="1"/>
  <c r="EB23" i="4"/>
  <c r="ED23" i="4" s="1"/>
  <c r="DB15" i="4"/>
  <c r="EB17" i="4"/>
  <c r="ED17" i="4" s="1"/>
  <c r="EB20" i="4"/>
  <c r="ED20" i="4" s="1"/>
  <c r="DH32" i="4"/>
  <c r="EB34" i="4"/>
  <c r="ED34" i="4" s="1"/>
  <c r="CW39" i="4"/>
  <c r="EB14" i="4"/>
  <c r="ED14" i="4" s="1"/>
  <c r="DH17" i="4"/>
  <c r="EB11" i="4"/>
  <c r="ED11" i="4" s="1"/>
  <c r="AW31" i="4" l="1"/>
  <c r="AY31" i="4" s="1"/>
  <c r="DS10" i="4" s="1"/>
  <c r="DC35" i="4"/>
  <c r="DI35" i="4" s="1"/>
  <c r="AW37" i="4"/>
  <c r="AY37" i="4" s="1"/>
  <c r="BA37" i="4" s="1"/>
  <c r="DC21" i="4"/>
  <c r="DI21" i="4" s="1"/>
  <c r="DC41" i="4"/>
  <c r="DI41" i="4" s="1"/>
  <c r="DC28" i="4"/>
  <c r="DI28" i="4" s="1"/>
  <c r="DC10" i="4"/>
  <c r="DI10" i="4" s="1"/>
  <c r="DC8" i="4"/>
  <c r="DI8" i="4" s="1"/>
  <c r="DC9" i="4"/>
  <c r="DI9" i="4" s="1"/>
  <c r="DC11" i="4"/>
  <c r="DI11" i="4" s="1"/>
  <c r="AW38" i="4"/>
  <c r="AY38" i="4" s="1"/>
  <c r="BA38" i="4" s="1"/>
  <c r="DC29" i="4"/>
  <c r="DI29" i="4" s="1"/>
  <c r="DC27" i="4"/>
  <c r="DI27" i="4" s="1"/>
  <c r="AW34" i="4"/>
  <c r="AY34" i="4" s="1"/>
  <c r="DC26" i="4"/>
  <c r="DI26" i="4" s="1"/>
  <c r="DC33" i="4"/>
  <c r="DI33" i="4" s="1"/>
  <c r="DC40" i="4"/>
  <c r="DI40" i="4" s="1"/>
  <c r="DC38" i="4"/>
  <c r="DI38" i="4" s="1"/>
  <c r="AW36" i="4"/>
  <c r="AY36" i="4" s="1"/>
  <c r="AW40" i="4"/>
  <c r="AY40" i="4" s="1"/>
  <c r="DU33" i="4" s="1"/>
  <c r="DC34" i="4"/>
  <c r="DI34" i="4" s="1"/>
  <c r="DC32" i="4"/>
  <c r="DI32" i="4" s="1"/>
  <c r="AW35" i="4"/>
  <c r="AY35" i="4" s="1"/>
  <c r="AW39" i="4"/>
  <c r="AY39" i="4" s="1"/>
  <c r="BA39" i="4" s="1"/>
  <c r="DC23" i="4"/>
  <c r="DI23" i="4" s="1"/>
  <c r="AW32" i="4"/>
  <c r="AY32" i="4" s="1"/>
  <c r="DS9" i="4" s="1"/>
  <c r="AW33" i="4"/>
  <c r="AY33" i="4" s="1"/>
  <c r="DC15" i="4"/>
  <c r="DI15" i="4" s="1"/>
  <c r="DC20" i="4"/>
  <c r="DI20" i="4" s="1"/>
  <c r="AW42" i="4"/>
  <c r="AY42" i="4" s="1"/>
  <c r="DT40" i="4" s="1"/>
  <c r="DW40" i="4" s="1"/>
  <c r="DC22" i="4"/>
  <c r="DI22" i="4" s="1"/>
  <c r="DC39" i="4"/>
  <c r="DI39" i="4" s="1"/>
  <c r="DC17" i="4"/>
  <c r="DI17" i="4" s="1"/>
  <c r="DC16" i="4"/>
  <c r="DI16" i="4" s="1"/>
  <c r="DC14" i="4"/>
  <c r="DI14" i="4" s="1"/>
  <c r="AW41" i="4"/>
  <c r="AY41" i="4" s="1"/>
  <c r="DS33" i="4" l="1"/>
  <c r="DW33" i="4" s="1"/>
  <c r="DT36" i="4" s="1"/>
  <c r="BA36" i="4"/>
  <c r="DS29" i="4" s="1"/>
  <c r="DW29" i="4" s="1"/>
  <c r="DV30" i="4" s="1"/>
  <c r="DU26" i="4"/>
  <c r="BA34" i="4"/>
  <c r="DT16" i="4"/>
  <c r="BA33" i="4"/>
  <c r="DS17" i="4"/>
  <c r="BA40" i="4"/>
  <c r="DT34" i="4" s="1"/>
  <c r="DS35" i="4"/>
  <c r="BA31" i="4"/>
  <c r="DU8" i="4" s="1"/>
  <c r="DV9" i="4"/>
  <c r="DW9" i="4" s="1"/>
  <c r="DT12" i="4" s="1"/>
  <c r="BA35" i="4"/>
  <c r="DT28" i="4" s="1"/>
  <c r="DU17" i="4"/>
  <c r="DV10" i="4"/>
  <c r="DW10" i="4" s="1"/>
  <c r="DU12" i="4" s="1"/>
  <c r="DV26" i="4"/>
  <c r="DU27" i="4"/>
  <c r="DW27" i="4" s="1"/>
  <c r="DT30" i="4" s="1"/>
  <c r="DJ10" i="4"/>
  <c r="DM12" i="4" s="1"/>
  <c r="DJ11" i="4"/>
  <c r="DN12" i="4" s="1"/>
  <c r="DJ29" i="4"/>
  <c r="DN30" i="4" s="1"/>
  <c r="DT22" i="4"/>
  <c r="DW22" i="4" s="1"/>
  <c r="DU24" i="4" s="1"/>
  <c r="BA32" i="4"/>
  <c r="DT8" i="4" s="1"/>
  <c r="DJ8" i="4"/>
  <c r="DK12" i="4" s="1"/>
  <c r="DU14" i="4"/>
  <c r="DS23" i="4"/>
  <c r="DW23" i="4" s="1"/>
  <c r="DJ34" i="4"/>
  <c r="DM36" i="4" s="1"/>
  <c r="DJ28" i="4"/>
  <c r="DM30" i="4" s="1"/>
  <c r="DJ9" i="4"/>
  <c r="DL12" i="4" s="1"/>
  <c r="DT17" i="4"/>
  <c r="DJ26" i="4"/>
  <c r="DK30" i="4" s="1"/>
  <c r="DJ27" i="4"/>
  <c r="DJ23" i="4"/>
  <c r="DN24" i="4" s="1"/>
  <c r="DU35" i="4"/>
  <c r="DJ22" i="4"/>
  <c r="DM24" i="4" s="1"/>
  <c r="DJ21" i="4"/>
  <c r="DL24" i="4" s="1"/>
  <c r="BA42" i="4"/>
  <c r="DU39" i="4" s="1"/>
  <c r="DW39" i="4" s="1"/>
  <c r="DT42" i="4" s="1"/>
  <c r="DJ35" i="4"/>
  <c r="DN36" i="4" s="1"/>
  <c r="DJ33" i="4"/>
  <c r="DL36" i="4" s="1"/>
  <c r="DJ32" i="4"/>
  <c r="DK36" i="4" s="1"/>
  <c r="DJ20" i="4"/>
  <c r="DK24" i="4" s="1"/>
  <c r="DJ16" i="4"/>
  <c r="DM18" i="4" s="1"/>
  <c r="DJ39" i="4"/>
  <c r="DJ38" i="4"/>
  <c r="DJ40" i="4"/>
  <c r="DJ15" i="4"/>
  <c r="DJ17" i="4"/>
  <c r="BA41" i="4"/>
  <c r="DS41" i="4" s="1"/>
  <c r="DW41" i="4" s="1"/>
  <c r="DJ41" i="4"/>
  <c r="DJ14" i="4"/>
  <c r="DU42" i="4"/>
  <c r="DV38" i="4" l="1"/>
  <c r="DW38" i="4" s="1"/>
  <c r="DX38" i="4" s="1"/>
  <c r="DW26" i="4"/>
  <c r="DS30" i="4" s="1"/>
  <c r="DT32" i="4"/>
  <c r="DS16" i="4"/>
  <c r="DS28" i="4"/>
  <c r="DW28" i="4" s="1"/>
  <c r="DU21" i="4"/>
  <c r="DW21" i="4" s="1"/>
  <c r="DT24" i="4" s="1"/>
  <c r="DU15" i="4"/>
  <c r="DW8" i="4"/>
  <c r="DS12" i="4" s="1"/>
  <c r="DV20" i="4"/>
  <c r="DW20" i="4" s="1"/>
  <c r="DS24" i="4" s="1"/>
  <c r="DV14" i="4"/>
  <c r="DW14" i="4" s="1"/>
  <c r="DS18" i="4" s="1"/>
  <c r="DW35" i="4"/>
  <c r="DV36" i="4" s="1"/>
  <c r="DV34" i="4"/>
  <c r="DW34" i="4" s="1"/>
  <c r="DU36" i="4" s="1"/>
  <c r="DV32" i="4"/>
  <c r="DW17" i="4"/>
  <c r="DV18" i="4" s="1"/>
  <c r="DU11" i="4"/>
  <c r="DT11" i="4"/>
  <c r="DV15" i="4"/>
  <c r="DV16" i="4"/>
  <c r="DL10" i="4"/>
  <c r="DM29" i="4"/>
  <c r="DV24" i="4"/>
  <c r="DM26" i="4"/>
  <c r="DL8" i="4"/>
  <c r="DM27" i="4"/>
  <c r="DL11" i="4"/>
  <c r="DL30" i="4"/>
  <c r="DL29" i="4" s="1"/>
  <c r="DK21" i="4"/>
  <c r="DK22" i="4"/>
  <c r="DL35" i="4"/>
  <c r="DL34" i="4"/>
  <c r="DL32" i="4"/>
  <c r="DO24" i="4"/>
  <c r="DK23" i="4"/>
  <c r="DN42" i="4"/>
  <c r="DK18" i="4"/>
  <c r="DN18" i="4"/>
  <c r="DL18" i="4"/>
  <c r="DK29" i="4"/>
  <c r="DK28" i="4"/>
  <c r="DK27" i="4"/>
  <c r="DN22" i="4"/>
  <c r="DN20" i="4"/>
  <c r="DN21" i="4"/>
  <c r="DN26" i="4"/>
  <c r="DN27" i="4"/>
  <c r="DN28" i="4"/>
  <c r="DL23" i="4"/>
  <c r="DL20" i="4"/>
  <c r="DL22" i="4"/>
  <c r="DM42" i="4"/>
  <c r="DM11" i="4"/>
  <c r="DM9" i="4"/>
  <c r="DM8" i="4"/>
  <c r="DK42" i="4"/>
  <c r="DL42" i="4"/>
  <c r="DN32" i="4"/>
  <c r="DN34" i="4"/>
  <c r="DN33" i="4"/>
  <c r="DM23" i="4"/>
  <c r="DM20" i="4"/>
  <c r="DM21" i="4"/>
  <c r="DM35" i="4"/>
  <c r="DM33" i="4"/>
  <c r="DM32" i="4"/>
  <c r="DK33" i="4"/>
  <c r="DK34" i="4"/>
  <c r="DO36" i="4"/>
  <c r="DK35" i="4"/>
  <c r="DN8" i="4"/>
  <c r="DN10" i="4"/>
  <c r="DN9" i="4"/>
  <c r="DM17" i="4"/>
  <c r="DM14" i="4"/>
  <c r="DM15" i="4"/>
  <c r="DV42" i="4"/>
  <c r="DO12" i="4"/>
  <c r="DK10" i="4"/>
  <c r="DK11" i="4"/>
  <c r="DK9" i="4"/>
  <c r="DX41" i="4" l="1"/>
  <c r="DS42" i="4"/>
  <c r="DX40" i="4"/>
  <c r="DX39" i="4"/>
  <c r="DW16" i="4"/>
  <c r="DU18" i="4" s="1"/>
  <c r="DW32" i="4"/>
  <c r="DX35" i="4" s="1"/>
  <c r="DU30" i="4"/>
  <c r="DX26" i="4"/>
  <c r="DX27" i="4"/>
  <c r="DX29" i="4"/>
  <c r="DX28" i="4"/>
  <c r="DW15" i="4"/>
  <c r="DT18" i="4" s="1"/>
  <c r="DX23" i="4"/>
  <c r="DX21" i="4"/>
  <c r="DX22" i="4"/>
  <c r="DX20" i="4"/>
  <c r="DW11" i="4"/>
  <c r="DV12" i="4" s="1"/>
  <c r="DO30" i="4"/>
  <c r="DL28" i="4"/>
  <c r="DO28" i="4" s="1"/>
  <c r="DL26" i="4"/>
  <c r="DO26" i="4" s="1"/>
  <c r="DP26" i="4" s="1"/>
  <c r="DO22" i="4"/>
  <c r="DO32" i="4"/>
  <c r="DO35" i="4"/>
  <c r="DO11" i="4"/>
  <c r="DO23" i="4"/>
  <c r="DO8" i="4"/>
  <c r="DO21" i="4"/>
  <c r="DO27" i="4"/>
  <c r="DO20" i="4"/>
  <c r="DN16" i="4"/>
  <c r="DN14" i="4"/>
  <c r="DN15" i="4"/>
  <c r="DK39" i="4"/>
  <c r="DO42" i="4"/>
  <c r="DK41" i="4"/>
  <c r="DK40" i="4"/>
  <c r="DO29" i="4"/>
  <c r="DO9" i="4"/>
  <c r="DO18" i="4"/>
  <c r="DK17" i="4"/>
  <c r="DK15" i="4"/>
  <c r="DK16" i="4"/>
  <c r="DO34" i="4"/>
  <c r="DL41" i="4"/>
  <c r="DL38" i="4"/>
  <c r="DL40" i="4"/>
  <c r="DN39" i="4"/>
  <c r="DN40" i="4"/>
  <c r="DN38" i="4"/>
  <c r="DL17" i="4"/>
  <c r="DL16" i="4"/>
  <c r="DL14" i="4"/>
  <c r="DO10" i="4"/>
  <c r="DO33" i="4"/>
  <c r="DM39" i="4"/>
  <c r="DM41" i="4"/>
  <c r="DM38" i="4"/>
  <c r="DP29" i="4" l="1"/>
  <c r="DP20" i="4"/>
  <c r="DX32" i="4"/>
  <c r="DP32" i="4" s="1"/>
  <c r="DX34" i="4"/>
  <c r="DP34" i="4" s="1"/>
  <c r="DX33" i="4"/>
  <c r="DP33" i="4" s="1"/>
  <c r="DS36" i="4"/>
  <c r="DP22" i="4"/>
  <c r="DP23" i="4"/>
  <c r="DP27" i="4"/>
  <c r="DX15" i="4"/>
  <c r="DX16" i="4"/>
  <c r="DP21" i="4"/>
  <c r="DP28" i="4"/>
  <c r="DX14" i="4"/>
  <c r="DX17" i="4"/>
  <c r="DP35" i="4"/>
  <c r="DX11" i="4"/>
  <c r="DP11" i="4" s="1"/>
  <c r="DX9" i="4"/>
  <c r="DP9" i="4" s="1"/>
  <c r="DX8" i="4"/>
  <c r="DP8" i="4" s="1"/>
  <c r="DX10" i="4"/>
  <c r="DP10" i="4" s="1"/>
  <c r="DO14" i="4"/>
  <c r="DO16" i="4"/>
  <c r="DO15" i="4"/>
  <c r="DO41" i="4"/>
  <c r="DP41" i="4" s="1"/>
  <c r="DO40" i="4"/>
  <c r="DP40" i="4" s="1"/>
  <c r="DO17" i="4"/>
  <c r="DO38" i="4"/>
  <c r="DP38" i="4" s="1"/>
  <c r="DO39" i="4"/>
  <c r="DP39" i="4" s="1"/>
  <c r="DQ21" i="4" l="1"/>
  <c r="BC21" i="4" s="1"/>
  <c r="DQ28" i="4"/>
  <c r="BC28" i="4" s="1"/>
  <c r="DQ22" i="4"/>
  <c r="BC22" i="4" s="1"/>
  <c r="DP15" i="4"/>
  <c r="DP16" i="4"/>
  <c r="DP14" i="4"/>
  <c r="DQ20" i="4"/>
  <c r="BC20" i="4" s="1"/>
  <c r="DP17" i="4"/>
  <c r="DQ23" i="4"/>
  <c r="BC23" i="4" s="1"/>
  <c r="DQ29" i="4"/>
  <c r="BC29" i="4" s="1"/>
  <c r="DQ27" i="4"/>
  <c r="BC27" i="4" s="1"/>
  <c r="DQ26" i="4"/>
  <c r="BC26" i="4" s="1"/>
  <c r="DQ35" i="4"/>
  <c r="BC35" i="4" s="1"/>
  <c r="DQ33" i="4"/>
  <c r="BC33" i="4" s="1"/>
  <c r="DQ11" i="4"/>
  <c r="BC11" i="4" s="1"/>
  <c r="DQ9" i="4"/>
  <c r="BC9" i="4" s="1"/>
  <c r="DQ8" i="4"/>
  <c r="BC8" i="4" s="1"/>
  <c r="DQ10" i="4"/>
  <c r="BC10" i="4" s="1"/>
  <c r="DQ34" i="4"/>
  <c r="BC34" i="4" s="1"/>
  <c r="DQ32" i="4"/>
  <c r="BC32" i="4" s="1"/>
  <c r="DQ39" i="4"/>
  <c r="BC39" i="4" s="1"/>
  <c r="DQ40" i="4"/>
  <c r="BC40" i="4" s="1"/>
  <c r="DQ38" i="4"/>
  <c r="BC38" i="4" s="1"/>
  <c r="DQ41" i="4"/>
  <c r="BC41" i="4" s="1"/>
  <c r="S12" i="4" l="1"/>
  <c r="Q29" i="4"/>
  <c r="O23" i="4"/>
  <c r="BS22" i="4" s="1"/>
  <c r="BD46" i="4" s="1"/>
  <c r="BI46" i="4" s="1"/>
  <c r="DQ17" i="4"/>
  <c r="BC17" i="4" s="1"/>
  <c r="R22" i="4"/>
  <c r="S23" i="4"/>
  <c r="O21" i="4"/>
  <c r="BS20" i="4" s="1"/>
  <c r="AB48" i="4" s="1"/>
  <c r="EW26" i="4" s="1"/>
  <c r="B59" i="7" s="1"/>
  <c r="S24" i="4"/>
  <c r="R23" i="4"/>
  <c r="O24" i="4"/>
  <c r="DQ16" i="4"/>
  <c r="BC16" i="4" s="1"/>
  <c r="DQ14" i="4"/>
  <c r="BC14" i="4" s="1"/>
  <c r="R24" i="4"/>
  <c r="Q24" i="4"/>
  <c r="DQ15" i="4"/>
  <c r="BC15" i="4" s="1"/>
  <c r="Q22" i="4"/>
  <c r="R28" i="4"/>
  <c r="Q21" i="4"/>
  <c r="T23" i="4"/>
  <c r="O22" i="4"/>
  <c r="BS21" i="4" s="1"/>
  <c r="AC47" i="4" s="1"/>
  <c r="EW19" i="4" s="1"/>
  <c r="Q23" i="4"/>
  <c r="T22" i="4"/>
  <c r="S22" i="4"/>
  <c r="R21" i="4"/>
  <c r="T24" i="4"/>
  <c r="T21" i="4"/>
  <c r="S21" i="4"/>
  <c r="R30" i="4"/>
  <c r="Q27" i="4"/>
  <c r="T27" i="4"/>
  <c r="Q30" i="4"/>
  <c r="T29" i="4"/>
  <c r="O27" i="4"/>
  <c r="BS26" i="4" s="1"/>
  <c r="AB52" i="4" s="1"/>
  <c r="EW38" i="4" s="1"/>
  <c r="B65" i="7" s="1"/>
  <c r="S27" i="4"/>
  <c r="O28" i="4"/>
  <c r="BS27" i="4" s="1"/>
  <c r="AB50" i="4" s="1"/>
  <c r="EW14" i="4" s="1"/>
  <c r="B53" i="7" s="1"/>
  <c r="S29" i="4"/>
  <c r="S30" i="4"/>
  <c r="O29" i="4"/>
  <c r="BS28" i="4" s="1"/>
  <c r="BD47" i="4" s="1"/>
  <c r="BG66" i="4" s="1"/>
  <c r="J19" i="3" s="1"/>
  <c r="S28" i="4"/>
  <c r="T30" i="4"/>
  <c r="R27" i="4"/>
  <c r="T28" i="4"/>
  <c r="Q28" i="4"/>
  <c r="O30" i="4"/>
  <c r="R29" i="4"/>
  <c r="T9" i="4"/>
  <c r="Q33" i="4"/>
  <c r="T36" i="4"/>
  <c r="O11" i="4"/>
  <c r="BS10" i="4" s="1"/>
  <c r="BD44" i="4" s="1"/>
  <c r="BH62" i="4" s="1"/>
  <c r="K15" i="3" s="1"/>
  <c r="S11" i="4"/>
  <c r="T35" i="4"/>
  <c r="S10" i="4"/>
  <c r="Q36" i="4"/>
  <c r="T11" i="4"/>
  <c r="Q11" i="4"/>
  <c r="R9" i="4"/>
  <c r="R11" i="4"/>
  <c r="R33" i="4"/>
  <c r="S34" i="4"/>
  <c r="S36" i="4"/>
  <c r="R10" i="4"/>
  <c r="O10" i="4"/>
  <c r="BS9" i="4" s="1"/>
  <c r="AB46" i="4" s="1"/>
  <c r="EW30" i="4" s="1"/>
  <c r="B61" i="7" s="1"/>
  <c r="O9" i="4"/>
  <c r="BS8" i="4" s="1"/>
  <c r="AB47" i="4" s="1"/>
  <c r="EW18" i="4" s="1"/>
  <c r="B55" i="7" s="1"/>
  <c r="S35" i="4"/>
  <c r="T10" i="4"/>
  <c r="Q10" i="4"/>
  <c r="S9" i="4"/>
  <c r="Q12" i="4"/>
  <c r="R34" i="4"/>
  <c r="T12" i="4"/>
  <c r="R12" i="4"/>
  <c r="Q9" i="4"/>
  <c r="O12" i="4"/>
  <c r="O35" i="4"/>
  <c r="BS34" i="4" s="1"/>
  <c r="BD48" i="4" s="1"/>
  <c r="BF67" i="4" s="1"/>
  <c r="I20" i="3" s="1"/>
  <c r="Q35" i="4"/>
  <c r="O36" i="4"/>
  <c r="S33" i="4"/>
  <c r="Q34" i="4"/>
  <c r="R36" i="4"/>
  <c r="T34" i="4"/>
  <c r="O34" i="4"/>
  <c r="BS33" i="4" s="1"/>
  <c r="AC50" i="4" s="1"/>
  <c r="EW15" i="4" s="1"/>
  <c r="R35" i="4"/>
  <c r="O33" i="4"/>
  <c r="BS32" i="4" s="1"/>
  <c r="AB53" i="4" s="1"/>
  <c r="EW34" i="4" s="1"/>
  <c r="T33" i="4"/>
  <c r="S41" i="4"/>
  <c r="O42" i="4"/>
  <c r="R41" i="4"/>
  <c r="T40" i="4"/>
  <c r="Q41" i="4"/>
  <c r="S40" i="4"/>
  <c r="R40" i="4"/>
  <c r="T42" i="4"/>
  <c r="O41" i="4"/>
  <c r="BS40" i="4" s="1"/>
  <c r="BD49" i="4" s="1"/>
  <c r="S42" i="4"/>
  <c r="R42" i="4"/>
  <c r="Q42" i="4"/>
  <c r="T41" i="4"/>
  <c r="T39" i="4"/>
  <c r="R39" i="4"/>
  <c r="Q40" i="4"/>
  <c r="Q39" i="4"/>
  <c r="O40" i="4"/>
  <c r="BS39" i="4" s="1"/>
  <c r="AC52" i="4" s="1"/>
  <c r="EW39" i="4" s="1"/>
  <c r="O39" i="4"/>
  <c r="BS38" i="4" s="1"/>
  <c r="AB51" i="4" s="1"/>
  <c r="EW10" i="4" s="1"/>
  <c r="B51" i="7" s="1"/>
  <c r="S39" i="4"/>
  <c r="C54" i="5" l="1"/>
  <c r="B66" i="7"/>
  <c r="C42" i="5"/>
  <c r="B54" i="7"/>
  <c r="C51" i="5"/>
  <c r="B63" i="7"/>
  <c r="C44" i="5"/>
  <c r="B56" i="7"/>
  <c r="C53" i="5"/>
  <c r="X53" i="4"/>
  <c r="Y53" i="4" s="1"/>
  <c r="FD37" i="4" s="1"/>
  <c r="C49" i="5"/>
  <c r="X49" i="4"/>
  <c r="Y49" i="4" s="1"/>
  <c r="FD29" i="4" s="1"/>
  <c r="C43" i="5"/>
  <c r="X50" i="4"/>
  <c r="Y50" i="4" s="1"/>
  <c r="FD20" i="4" s="1"/>
  <c r="B69" i="7" s="1"/>
  <c r="C39" i="5"/>
  <c r="C47" i="5"/>
  <c r="X48" i="4"/>
  <c r="Y48" i="4" s="1"/>
  <c r="FD28" i="4" s="1"/>
  <c r="B71" i="7" s="1"/>
  <c r="C41" i="5"/>
  <c r="X47" i="4"/>
  <c r="Y47" i="4" s="1"/>
  <c r="FD13" i="4" s="1"/>
  <c r="B68" i="7" s="1"/>
  <c r="Q15" i="4"/>
  <c r="BG60" i="4"/>
  <c r="J13" i="3" s="1"/>
  <c r="BH54" i="4"/>
  <c r="K7" i="3" s="1"/>
  <c r="BG61" i="4"/>
  <c r="J14" i="3" s="1"/>
  <c r="BQ46" i="4"/>
  <c r="BH55" i="4"/>
  <c r="K8" i="3" s="1"/>
  <c r="BF46" i="4"/>
  <c r="BG65" i="4"/>
  <c r="J18" i="3" s="1"/>
  <c r="BE46" i="4"/>
  <c r="BG59" i="4"/>
  <c r="J12" i="3" s="1"/>
  <c r="BG64" i="4"/>
  <c r="J17" i="3" s="1"/>
  <c r="BH46" i="4"/>
  <c r="BK46" i="4" s="1"/>
  <c r="U9" i="4"/>
  <c r="BH63" i="4"/>
  <c r="K16" i="3" s="1"/>
  <c r="BH67" i="4"/>
  <c r="K20" i="3" s="1"/>
  <c r="BG46" i="4"/>
  <c r="BH53" i="4"/>
  <c r="K6" i="3" s="1"/>
  <c r="P23" i="4"/>
  <c r="U23" i="4"/>
  <c r="U22" i="4"/>
  <c r="U24" i="4"/>
  <c r="O15" i="4"/>
  <c r="BS14" i="4" s="1"/>
  <c r="AB49" i="4" s="1"/>
  <c r="EW22" i="4" s="1"/>
  <c r="B57" i="7" s="1"/>
  <c r="R15" i="4"/>
  <c r="T15" i="4"/>
  <c r="S15" i="4"/>
  <c r="S16" i="4"/>
  <c r="R16" i="4"/>
  <c r="R17" i="4"/>
  <c r="O16" i="4"/>
  <c r="BS15" i="4" s="1"/>
  <c r="AC46" i="4" s="1"/>
  <c r="EW31" i="4" s="1"/>
  <c r="O18" i="4"/>
  <c r="S18" i="4"/>
  <c r="Q17" i="4"/>
  <c r="S17" i="4"/>
  <c r="Q18" i="4"/>
  <c r="T18" i="4"/>
  <c r="P24" i="4"/>
  <c r="O17" i="4"/>
  <c r="BS16" i="4" s="1"/>
  <c r="BD45" i="4" s="1"/>
  <c r="Z38" i="4" s="1"/>
  <c r="AA38" i="4" s="1"/>
  <c r="R18" i="4"/>
  <c r="Q16" i="4"/>
  <c r="T16" i="4"/>
  <c r="T17" i="4"/>
  <c r="BG47" i="4"/>
  <c r="U28" i="4"/>
  <c r="U27" i="4"/>
  <c r="P22" i="4"/>
  <c r="BF53" i="4"/>
  <c r="I6" i="3" s="1"/>
  <c r="BE56" i="4"/>
  <c r="H9" i="3" s="1"/>
  <c r="BI47" i="4"/>
  <c r="P28" i="4"/>
  <c r="U30" i="4"/>
  <c r="BH47" i="4"/>
  <c r="BG67" i="4"/>
  <c r="J20" i="3" s="1"/>
  <c r="BF60" i="4"/>
  <c r="I13" i="3" s="1"/>
  <c r="P27" i="4"/>
  <c r="P21" i="4"/>
  <c r="BF64" i="4"/>
  <c r="I17" i="3" s="1"/>
  <c r="BF59" i="4"/>
  <c r="I12" i="3" s="1"/>
  <c r="BQ47" i="4"/>
  <c r="BF47" i="4"/>
  <c r="BG62" i="4"/>
  <c r="J15" i="3" s="1"/>
  <c r="P30" i="4"/>
  <c r="BE57" i="4"/>
  <c r="H10" i="3" s="1"/>
  <c r="BE47" i="4"/>
  <c r="U21" i="4"/>
  <c r="BF63" i="4"/>
  <c r="I16" i="3" s="1"/>
  <c r="P29" i="4"/>
  <c r="U29" i="4"/>
  <c r="BH60" i="4"/>
  <c r="K13" i="3" s="1"/>
  <c r="BF44" i="4"/>
  <c r="BE44" i="4"/>
  <c r="BH58" i="4"/>
  <c r="K11" i="3" s="1"/>
  <c r="BE54" i="4"/>
  <c r="H7" i="3" s="1"/>
  <c r="BG44" i="4"/>
  <c r="BI44" i="4"/>
  <c r="BH61" i="4"/>
  <c r="K14" i="3" s="1"/>
  <c r="BQ44" i="4"/>
  <c r="BH59" i="4"/>
  <c r="K12" i="3" s="1"/>
  <c r="BG56" i="4"/>
  <c r="J9" i="3" s="1"/>
  <c r="BG57" i="4"/>
  <c r="J10" i="3" s="1"/>
  <c r="BE55" i="4"/>
  <c r="H8" i="3" s="1"/>
  <c r="BE53" i="4"/>
  <c r="H6" i="3" s="1"/>
  <c r="BH44" i="4"/>
  <c r="U34" i="4"/>
  <c r="U36" i="4"/>
  <c r="Z17" i="4"/>
  <c r="Z29" i="4"/>
  <c r="P12" i="4"/>
  <c r="P10" i="4"/>
  <c r="Z18" i="4"/>
  <c r="Z42" i="4"/>
  <c r="Z28" i="4"/>
  <c r="U10" i="4"/>
  <c r="P11" i="4"/>
  <c r="P9" i="4"/>
  <c r="U12" i="4"/>
  <c r="P36" i="4"/>
  <c r="P34" i="4"/>
  <c r="Z33" i="4"/>
  <c r="U11" i="4"/>
  <c r="P33" i="4"/>
  <c r="Z12" i="4"/>
  <c r="Z24" i="4"/>
  <c r="U33" i="4"/>
  <c r="Z11" i="4"/>
  <c r="AB11" i="4" s="1"/>
  <c r="P35" i="4"/>
  <c r="BI48" i="4"/>
  <c r="BF48" i="4"/>
  <c r="Z26" i="4"/>
  <c r="BE62" i="4"/>
  <c r="H15" i="3" s="1"/>
  <c r="BE58" i="4"/>
  <c r="H11" i="3" s="1"/>
  <c r="BF66" i="4"/>
  <c r="I19" i="3" s="1"/>
  <c r="U35" i="4"/>
  <c r="BE48" i="4"/>
  <c r="BF54" i="4"/>
  <c r="I7" i="3" s="1"/>
  <c r="BE61" i="4"/>
  <c r="H14" i="3" s="1"/>
  <c r="BH48" i="4"/>
  <c r="BE59" i="4"/>
  <c r="H12" i="3" s="1"/>
  <c r="BQ48" i="4"/>
  <c r="BE63" i="4"/>
  <c r="H16" i="3" s="1"/>
  <c r="BF56" i="4"/>
  <c r="I9" i="3" s="1"/>
  <c r="BF65" i="4"/>
  <c r="I18" i="3" s="1"/>
  <c r="BG48" i="4"/>
  <c r="BG49" i="4"/>
  <c r="BF57" i="4"/>
  <c r="I10" i="3" s="1"/>
  <c r="BF49" i="4"/>
  <c r="BF58" i="4"/>
  <c r="I11" i="3" s="1"/>
  <c r="BF62" i="4"/>
  <c r="I15" i="3" s="1"/>
  <c r="BF61" i="4"/>
  <c r="I14" i="3" s="1"/>
  <c r="BQ49" i="4"/>
  <c r="BF55" i="4"/>
  <c r="I8" i="3" s="1"/>
  <c r="BE49" i="4"/>
  <c r="BE60" i="4"/>
  <c r="H13" i="3" s="1"/>
  <c r="BI49" i="4"/>
  <c r="BE65" i="4"/>
  <c r="H18" i="3" s="1"/>
  <c r="BE66" i="4"/>
  <c r="H19" i="3" s="1"/>
  <c r="BE67" i="4"/>
  <c r="H20" i="3" s="1"/>
  <c r="BH49" i="4"/>
  <c r="BE64" i="4"/>
  <c r="H17" i="3" s="1"/>
  <c r="P42" i="4"/>
  <c r="U42" i="4"/>
  <c r="U39" i="4"/>
  <c r="P39" i="4"/>
  <c r="U40" i="4"/>
  <c r="P40" i="4"/>
  <c r="P41" i="4"/>
  <c r="U41" i="4"/>
  <c r="B74" i="7" l="1"/>
  <c r="C62" i="5"/>
  <c r="C50" i="5"/>
  <c r="B62" i="7"/>
  <c r="X59" i="4"/>
  <c r="Y59" i="4" s="1"/>
  <c r="FK32" i="4" s="1"/>
  <c r="B77" i="7" s="1"/>
  <c r="B72" i="7"/>
  <c r="C56" i="5"/>
  <c r="C57" i="5"/>
  <c r="X58" i="4"/>
  <c r="Y58" i="4" s="1"/>
  <c r="FK17" i="4" s="1"/>
  <c r="B76" i="7" s="1"/>
  <c r="C60" i="5"/>
  <c r="C45" i="5"/>
  <c r="X51" i="4"/>
  <c r="Y51" i="4" s="1"/>
  <c r="FD21" i="4" s="1"/>
  <c r="C59" i="5"/>
  <c r="U15" i="4"/>
  <c r="BM46" i="4"/>
  <c r="BG63" i="4"/>
  <c r="J16" i="3" s="1"/>
  <c r="BK44" i="4"/>
  <c r="U17" i="4"/>
  <c r="BG53" i="4"/>
  <c r="J6" i="3" s="1"/>
  <c r="BM44" i="4"/>
  <c r="U18" i="4"/>
  <c r="P18" i="4"/>
  <c r="U16" i="4"/>
  <c r="P15" i="4"/>
  <c r="P16" i="4"/>
  <c r="BH57" i="4"/>
  <c r="K10" i="3" s="1"/>
  <c r="BG58" i="4"/>
  <c r="J11" i="3" s="1"/>
  <c r="BH65" i="4"/>
  <c r="K18" i="3" s="1"/>
  <c r="BF45" i="4"/>
  <c r="BF50" i="4" s="1"/>
  <c r="BG55" i="4"/>
  <c r="J8" i="3" s="1"/>
  <c r="BG54" i="4"/>
  <c r="J7" i="3" s="1"/>
  <c r="BH66" i="4"/>
  <c r="K19" i="3" s="1"/>
  <c r="BH56" i="4"/>
  <c r="K9" i="3" s="1"/>
  <c r="AB38" i="4"/>
  <c r="BG45" i="4"/>
  <c r="BG50" i="4" s="1"/>
  <c r="BQ45" i="4"/>
  <c r="P17" i="4"/>
  <c r="BH45" i="4"/>
  <c r="BH50" i="4" s="1"/>
  <c r="BI45" i="4"/>
  <c r="BI50" i="4" s="1"/>
  <c r="BH64" i="4"/>
  <c r="K17" i="3" s="1"/>
  <c r="BE45" i="4"/>
  <c r="BE50" i="4" s="1"/>
  <c r="BK47" i="4"/>
  <c r="BM47" i="4"/>
  <c r="AB29" i="4"/>
  <c r="AA29" i="4"/>
  <c r="AA17" i="4"/>
  <c r="AB17" i="4"/>
  <c r="AA28" i="4"/>
  <c r="AB28" i="4"/>
  <c r="AA42" i="4"/>
  <c r="AB42" i="4"/>
  <c r="AA18" i="4"/>
  <c r="AB18" i="4"/>
  <c r="BV23" i="4"/>
  <c r="AA24" i="4"/>
  <c r="AB24" i="4"/>
  <c r="AA12" i="4"/>
  <c r="AB12" i="4"/>
  <c r="AA33" i="4"/>
  <c r="AB33" i="4"/>
  <c r="BU10" i="4"/>
  <c r="BK48" i="4"/>
  <c r="BV38" i="4"/>
  <c r="BT27" i="4"/>
  <c r="BU41" i="4"/>
  <c r="BW38" i="4"/>
  <c r="BW11" i="4"/>
  <c r="BW40" i="4"/>
  <c r="BU32" i="4"/>
  <c r="BM48" i="4"/>
  <c r="BT23" i="4"/>
  <c r="BW29" i="4"/>
  <c r="BV29" i="4"/>
  <c r="BU22" i="4"/>
  <c r="BV8" i="4"/>
  <c r="BW20" i="4"/>
  <c r="BU33" i="4"/>
  <c r="BW33" i="4"/>
  <c r="BT26" i="4"/>
  <c r="BW32" i="4"/>
  <c r="BT29" i="4"/>
  <c r="BW34" i="4"/>
  <c r="BT39" i="4"/>
  <c r="BV40" i="4"/>
  <c r="BV9" i="4"/>
  <c r="BV32" i="4"/>
  <c r="BU20" i="4"/>
  <c r="BU28" i="4"/>
  <c r="BT32" i="4"/>
  <c r="BW23" i="4"/>
  <c r="BW17" i="4"/>
  <c r="BU11" i="4"/>
  <c r="BT20" i="4"/>
  <c r="BV27" i="4"/>
  <c r="BU21" i="4"/>
  <c r="BU14" i="4"/>
  <c r="BV26" i="4"/>
  <c r="BT16" i="4"/>
  <c r="BV22" i="4"/>
  <c r="BT21" i="4"/>
  <c r="BW14" i="4"/>
  <c r="BW9" i="4"/>
  <c r="BT14" i="4"/>
  <c r="BU23" i="4"/>
  <c r="BV28" i="4"/>
  <c r="BV11" i="4"/>
  <c r="BT15" i="4"/>
  <c r="BU27" i="4"/>
  <c r="BW21" i="4"/>
  <c r="BW8" i="4"/>
  <c r="BV20" i="4"/>
  <c r="BU40" i="4"/>
  <c r="BT40" i="4"/>
  <c r="BW35" i="4"/>
  <c r="BU38" i="4"/>
  <c r="BW10" i="4"/>
  <c r="BT9" i="4"/>
  <c r="BU34" i="4"/>
  <c r="BT10" i="4"/>
  <c r="BU9" i="4"/>
  <c r="BT11" i="4"/>
  <c r="BV34" i="4"/>
  <c r="BV17" i="4"/>
  <c r="BU26" i="4"/>
  <c r="BV15" i="4"/>
  <c r="BV39" i="4"/>
  <c r="BV10" i="4"/>
  <c r="BU39" i="4"/>
  <c r="BW16" i="4"/>
  <c r="BT34" i="4"/>
  <c r="BW28" i="4"/>
  <c r="BU15" i="4"/>
  <c r="BU29" i="4"/>
  <c r="BV16" i="4"/>
  <c r="BT35" i="4"/>
  <c r="BW41" i="4"/>
  <c r="BT8" i="4"/>
  <c r="BU8" i="4"/>
  <c r="BV33" i="4"/>
  <c r="BT22" i="4"/>
  <c r="BW39" i="4"/>
  <c r="BW26" i="4"/>
  <c r="BV41" i="4"/>
  <c r="BU16" i="4"/>
  <c r="BV21" i="4"/>
  <c r="BW27" i="4"/>
  <c r="BT33" i="4"/>
  <c r="BV35" i="4"/>
  <c r="BV14" i="4"/>
  <c r="BW22" i="4"/>
  <c r="BT38" i="4"/>
  <c r="BT41" i="4"/>
  <c r="BT17" i="4"/>
  <c r="BU35" i="4"/>
  <c r="BW15" i="4"/>
  <c r="BU17" i="4"/>
  <c r="BT28" i="4"/>
  <c r="AA11" i="4"/>
  <c r="AA26" i="4"/>
  <c r="AB26" i="4"/>
  <c r="BK49" i="4"/>
  <c r="BM49" i="4"/>
  <c r="X65" i="4" l="1"/>
  <c r="Y65" i="4" s="1"/>
  <c r="FR24" i="4" s="1"/>
  <c r="B80" i="7" s="1"/>
  <c r="C65" i="5"/>
  <c r="C58" i="5"/>
  <c r="B70" i="7"/>
  <c r="Z64" i="4"/>
  <c r="BB76" i="4" s="1"/>
  <c r="C64" i="5"/>
  <c r="BX34" i="4"/>
  <c r="BX17" i="4"/>
  <c r="BX40" i="4"/>
  <c r="BK45" i="4"/>
  <c r="BK51" i="4" s="1"/>
  <c r="BK50" i="4" s="1"/>
  <c r="BL44" i="4" s="1"/>
  <c r="BM45" i="4"/>
  <c r="BM50" i="4" s="1"/>
  <c r="BX22" i="4"/>
  <c r="BX28" i="4"/>
  <c r="BX23" i="4"/>
  <c r="BX11" i="4"/>
  <c r="BX38" i="4"/>
  <c r="BX29" i="4"/>
  <c r="BX16" i="4"/>
  <c r="BX20" i="4"/>
  <c r="BX33" i="4"/>
  <c r="BX39" i="4"/>
  <c r="BW42" i="4"/>
  <c r="BT24" i="4"/>
  <c r="BX35" i="4"/>
  <c r="BU12" i="4"/>
  <c r="BV42" i="4"/>
  <c r="BT36" i="4"/>
  <c r="BX10" i="4"/>
  <c r="BU18" i="4"/>
  <c r="BU36" i="4"/>
  <c r="BW12" i="4"/>
  <c r="BT18" i="4"/>
  <c r="BU24" i="4"/>
  <c r="BW36" i="4"/>
  <c r="BW30" i="4"/>
  <c r="BV18" i="4"/>
  <c r="BX15" i="4"/>
  <c r="BT12" i="4"/>
  <c r="BX21" i="4"/>
  <c r="BX27" i="4"/>
  <c r="BT30" i="4"/>
  <c r="BX41" i="4"/>
  <c r="BX32" i="4"/>
  <c r="BU30" i="4"/>
  <c r="BW18" i="4"/>
  <c r="BU42" i="4"/>
  <c r="BX9" i="4"/>
  <c r="BV12" i="4"/>
  <c r="BV30" i="4"/>
  <c r="BX14" i="4"/>
  <c r="BW24" i="4"/>
  <c r="BV24" i="4"/>
  <c r="BV36" i="4"/>
  <c r="BX26" i="4"/>
  <c r="BX8" i="4"/>
  <c r="BT42" i="4"/>
  <c r="C68" i="5" l="1"/>
  <c r="BX42" i="4"/>
  <c r="BN38" i="4" s="1"/>
  <c r="BX30" i="4"/>
  <c r="BN27" i="4" s="1"/>
  <c r="BX36" i="4"/>
  <c r="BN35" i="4" s="1"/>
  <c r="BX24" i="4"/>
  <c r="BN20" i="4" s="1"/>
  <c r="BX18" i="4"/>
  <c r="BX12" i="4"/>
  <c r="BN9" i="4" s="1"/>
  <c r="BR44" i="4"/>
  <c r="BL47" i="4"/>
  <c r="BR47" i="4" s="1"/>
  <c r="BL45" i="4"/>
  <c r="BR45" i="4" s="1"/>
  <c r="BL49" i="4"/>
  <c r="BR49" i="4" s="1"/>
  <c r="BL48" i="4"/>
  <c r="BR48" i="4" s="1"/>
  <c r="BL46" i="4"/>
  <c r="BR46" i="4" s="1"/>
  <c r="BN41" i="4" l="1"/>
  <c r="BN40" i="4"/>
  <c r="BN39" i="4"/>
  <c r="BN33" i="4"/>
  <c r="BN32" i="4"/>
  <c r="BN34" i="4"/>
  <c r="BN28" i="4"/>
  <c r="BN26" i="4"/>
  <c r="BN29" i="4"/>
  <c r="BN22" i="4"/>
  <c r="BN23" i="4"/>
  <c r="BN16" i="4"/>
  <c r="BN17" i="4"/>
  <c r="BN15" i="4"/>
  <c r="BN14" i="4"/>
  <c r="BN21" i="4"/>
  <c r="BN11" i="4"/>
  <c r="BN8" i="4"/>
  <c r="BN10" i="4"/>
  <c r="BC48" i="4"/>
  <c r="BB48" i="4" s="1"/>
  <c r="BC46" i="4"/>
  <c r="BB46" i="4" s="1"/>
  <c r="BC44" i="4"/>
  <c r="BB44" i="4" s="1"/>
  <c r="BC49" i="4"/>
  <c r="BB49" i="4" s="1"/>
  <c r="BC45" i="4"/>
  <c r="BB45" i="4" s="1"/>
  <c r="BC47" i="4"/>
  <c r="BB47" i="4" s="1"/>
  <c r="BN42" i="4" l="1"/>
  <c r="BR38" i="4" s="1"/>
  <c r="BN36" i="4"/>
  <c r="BR35" i="4" s="1"/>
  <c r="BN24" i="4"/>
  <c r="BR20" i="4" s="1"/>
  <c r="BN18" i="4"/>
  <c r="BR17" i="4" s="1"/>
  <c r="BN30" i="4"/>
  <c r="BR27" i="4" s="1"/>
  <c r="BO9" i="4"/>
  <c r="BO10" i="4"/>
  <c r="BO8" i="4"/>
  <c r="BN12" i="4"/>
  <c r="BR9" i="4" s="1"/>
  <c r="BO11" i="4"/>
  <c r="R46" i="4"/>
  <c r="O46" i="4"/>
  <c r="T46" i="4"/>
  <c r="S46" i="4"/>
  <c r="Q46" i="4"/>
  <c r="BB50" i="4"/>
  <c r="AC51" i="4" s="1"/>
  <c r="EW11" i="4" s="1"/>
  <c r="B52" i="7" s="1"/>
  <c r="Q47" i="4"/>
  <c r="O48" i="4"/>
  <c r="S48" i="4"/>
  <c r="R49" i="4"/>
  <c r="T45" i="4"/>
  <c r="R50" i="4"/>
  <c r="S50" i="4"/>
  <c r="R45" i="4"/>
  <c r="O47" i="4"/>
  <c r="T47" i="4"/>
  <c r="S47" i="4"/>
  <c r="R48" i="4"/>
  <c r="Q45" i="4"/>
  <c r="T48" i="4"/>
  <c r="O49" i="4"/>
  <c r="T50" i="4"/>
  <c r="O45" i="4"/>
  <c r="Q50" i="4"/>
  <c r="O50" i="4"/>
  <c r="S49" i="4"/>
  <c r="Q49" i="4"/>
  <c r="T49" i="4"/>
  <c r="Q48" i="4"/>
  <c r="S45" i="4"/>
  <c r="R47" i="4"/>
  <c r="C40" i="5" l="1"/>
  <c r="X46" i="4"/>
  <c r="Y46" i="4" s="1"/>
  <c r="FD12" i="4" s="1"/>
  <c r="B67" i="7" s="1"/>
  <c r="BR41" i="4"/>
  <c r="BR33" i="4"/>
  <c r="BR22" i="4"/>
  <c r="BR15" i="4"/>
  <c r="BR21" i="4"/>
  <c r="BR8" i="4"/>
  <c r="BR29" i="4"/>
  <c r="BR28" i="4"/>
  <c r="BR39" i="4"/>
  <c r="BR14" i="4"/>
  <c r="BR23" i="4"/>
  <c r="BR11" i="4"/>
  <c r="BR10" i="4"/>
  <c r="BR16" i="4"/>
  <c r="BR40" i="4"/>
  <c r="BR32" i="4"/>
  <c r="BR34" i="4"/>
  <c r="BR26" i="4"/>
  <c r="U46" i="4"/>
  <c r="P49" i="4"/>
  <c r="P46" i="4"/>
  <c r="U50" i="4"/>
  <c r="P47" i="4"/>
  <c r="P48" i="4"/>
  <c r="U47" i="4"/>
  <c r="P50" i="4"/>
  <c r="P45" i="4"/>
  <c r="U48" i="4"/>
  <c r="AC53" i="4"/>
  <c r="EW35" i="4" s="1"/>
  <c r="B64" i="7" s="1"/>
  <c r="AC49" i="4"/>
  <c r="EW23" i="4" s="1"/>
  <c r="U49" i="4"/>
  <c r="AC48" i="4"/>
  <c r="EW27" i="4" s="1"/>
  <c r="U45" i="4"/>
  <c r="C3" i="3"/>
  <c r="C48" i="5" l="1"/>
  <c r="B60" i="7"/>
  <c r="C46" i="5"/>
  <c r="B58" i="7"/>
  <c r="C55" i="5"/>
  <c r="X57" i="4"/>
  <c r="Y57" i="4" s="1"/>
  <c r="FK16" i="4" s="1"/>
  <c r="B75" i="7" s="1"/>
  <c r="C52" i="5"/>
  <c r="X52" i="4"/>
  <c r="Y52" i="4" s="1"/>
  <c r="FD36" i="4" s="1"/>
  <c r="C61" i="5" s="1"/>
  <c r="DD136" i="7" l="1"/>
  <c r="AA136" i="7"/>
  <c r="BC135" i="7"/>
  <c r="CE134" i="7"/>
  <c r="DG133" i="7"/>
  <c r="AD133" i="7"/>
  <c r="BF132" i="7"/>
  <c r="CH131" i="7"/>
  <c r="E131" i="7"/>
  <c r="AN136" i="7"/>
  <c r="AG136" i="7"/>
  <c r="V135" i="7"/>
  <c r="H134" i="7"/>
  <c r="DB132" i="7"/>
  <c r="CN131" i="7"/>
  <c r="DH136" i="7"/>
  <c r="BG135" i="7"/>
  <c r="AT134" i="7"/>
  <c r="AH133" i="7"/>
  <c r="CF136" i="7"/>
  <c r="M135" i="7"/>
  <c r="AS133" i="7"/>
  <c r="CE131" i="7"/>
  <c r="DI135" i="7"/>
  <c r="AK134" i="7"/>
  <c r="BS132" i="7"/>
  <c r="AW131" i="7"/>
  <c r="AZ130" i="7"/>
  <c r="CB129" i="7"/>
  <c r="DD128" i="7"/>
  <c r="AA128" i="7"/>
  <c r="BC127" i="7"/>
  <c r="CE126" i="7"/>
  <c r="DG125" i="7"/>
  <c r="AD125" i="7"/>
  <c r="BF124" i="7"/>
  <c r="AO136" i="7"/>
  <c r="AC135" i="7"/>
  <c r="AD136" i="7"/>
  <c r="CC133" i="7"/>
  <c r="AC131" i="7"/>
  <c r="BQ134" i="7"/>
  <c r="Z132" i="7"/>
  <c r="BO130" i="7"/>
  <c r="BD129" i="7"/>
  <c r="AP128" i="7"/>
  <c r="AE127" i="7"/>
  <c r="Q126" i="7"/>
  <c r="F125" i="7"/>
  <c r="BL136" i="7"/>
  <c r="CX134" i="7"/>
  <c r="BS133" i="7"/>
  <c r="BG132" i="7"/>
  <c r="AT131" i="7"/>
  <c r="AX130" i="7"/>
  <c r="BZ129" i="7"/>
  <c r="DB128" i="7"/>
  <c r="BO135" i="7"/>
  <c r="CT131" i="7"/>
  <c r="DF133" i="7"/>
  <c r="DE130" i="7"/>
  <c r="W129" i="7"/>
  <c r="BI127" i="7"/>
  <c r="CR125" i="7"/>
  <c r="DI136" i="7"/>
  <c r="AZ134" i="7"/>
  <c r="CL132" i="7"/>
  <c r="O131" i="7"/>
  <c r="CU129" i="7"/>
  <c r="CG128" i="7"/>
  <c r="CZ127" i="7"/>
  <c r="W127" i="7"/>
  <c r="AY126" i="7"/>
  <c r="CA125" i="7"/>
  <c r="CO135" i="7"/>
  <c r="BD132" i="7"/>
  <c r="BX129" i="7"/>
  <c r="AY127" i="7"/>
  <c r="Z125" i="7"/>
  <c r="R124" i="7"/>
  <c r="AT123" i="7"/>
  <c r="BV122" i="7"/>
  <c r="CX121" i="7"/>
  <c r="U121" i="7"/>
  <c r="AS134" i="7"/>
  <c r="G131" i="7"/>
  <c r="CB128" i="7"/>
  <c r="BC126" i="7"/>
  <c r="CE124" i="7"/>
  <c r="CN123" i="7"/>
  <c r="K123" i="7"/>
  <c r="AM122" i="7"/>
  <c r="BO121" i="7"/>
  <c r="BX134" i="7"/>
  <c r="BX126" i="7"/>
  <c r="N134" i="7"/>
  <c r="AB134" i="7"/>
  <c r="V130" i="7"/>
  <c r="BX127" i="7"/>
  <c r="X125" i="7"/>
  <c r="BW134" i="7"/>
  <c r="N132" i="7"/>
  <c r="DD129" i="7"/>
  <c r="AQ128" i="7"/>
  <c r="AC127" i="7"/>
  <c r="R126" i="7"/>
  <c r="K136" i="7"/>
  <c r="P131" i="7"/>
  <c r="BQ127" i="7"/>
  <c r="CH124" i="7"/>
  <c r="AZ123" i="7"/>
  <c r="AO122" i="7"/>
  <c r="AA121" i="7"/>
  <c r="E133" i="7"/>
  <c r="BT136" i="7"/>
  <c r="CV135" i="7"/>
  <c r="S135" i="7"/>
  <c r="AU134" i="7"/>
  <c r="BW133" i="7"/>
  <c r="CY132" i="7"/>
  <c r="V132" i="7"/>
  <c r="AX131" i="7"/>
  <c r="DC136" i="7"/>
  <c r="CX136" i="7"/>
  <c r="CJ135" i="7"/>
  <c r="BY134" i="7"/>
  <c r="BK133" i="7"/>
  <c r="AZ132" i="7"/>
  <c r="AL131" i="7"/>
  <c r="AE136" i="7"/>
  <c r="E135" i="7"/>
  <c r="CW133" i="7"/>
  <c r="CK132" i="7"/>
  <c r="DH135" i="7"/>
  <c r="AO134" i="7"/>
  <c r="BU132" i="7"/>
  <c r="DG130" i="7"/>
  <c r="AA135" i="7"/>
  <c r="BM133" i="7"/>
  <c r="H132" i="7"/>
  <c r="CZ130" i="7"/>
  <c r="P130" i="7"/>
  <c r="AR129" i="7"/>
  <c r="BT128" i="7"/>
  <c r="CV127" i="7"/>
  <c r="S127" i="7"/>
  <c r="AU126" i="7"/>
  <c r="BW125" i="7"/>
  <c r="CY124" i="7"/>
  <c r="DE136" i="7"/>
  <c r="CR135" i="7"/>
  <c r="CF134" i="7"/>
  <c r="P135" i="7"/>
  <c r="BR132" i="7"/>
  <c r="Q136" i="7"/>
  <c r="BD133" i="7"/>
  <c r="BB131" i="7"/>
  <c r="M130" i="7"/>
  <c r="DG128" i="7"/>
  <c r="CS127" i="7"/>
  <c r="CH126" i="7"/>
  <c r="BT125" i="7"/>
  <c r="BI124" i="7"/>
  <c r="CN135" i="7"/>
  <c r="AD134" i="7"/>
  <c r="Q133" i="7"/>
  <c r="E132" i="7"/>
  <c r="CW130" i="7"/>
  <c r="N130" i="7"/>
  <c r="AP129" i="7"/>
  <c r="BR128" i="7"/>
  <c r="CU133" i="7"/>
  <c r="V136" i="7"/>
  <c r="AM132" i="7"/>
  <c r="S130" i="7"/>
  <c r="AY128" i="7"/>
  <c r="CK126" i="7"/>
  <c r="O125" i="7"/>
  <c r="CW135" i="7"/>
  <c r="CB133" i="7"/>
  <c r="I132" i="7"/>
  <c r="BD130" i="7"/>
  <c r="AS129" i="7"/>
  <c r="AN128" i="7"/>
  <c r="BP127" i="7"/>
  <c r="CR126" i="7"/>
  <c r="O126" i="7"/>
  <c r="AQ125" i="7"/>
  <c r="AN134" i="7"/>
  <c r="DH130" i="7"/>
  <c r="BY128" i="7"/>
  <c r="AZ126" i="7"/>
  <c r="CC124" i="7"/>
  <c r="CM123" i="7"/>
  <c r="J123" i="7"/>
  <c r="AL122" i="7"/>
  <c r="BN121" i="7"/>
  <c r="AC136" i="7"/>
  <c r="CW132" i="7"/>
  <c r="DB129" i="7"/>
  <c r="CC127" i="7"/>
  <c r="BD125" i="7"/>
  <c r="AC124" i="7"/>
  <c r="BD123" i="7"/>
  <c r="CF122" i="7"/>
  <c r="DH121" i="7"/>
  <c r="AE121" i="7"/>
  <c r="AS130" i="7"/>
  <c r="BA124" i="7"/>
  <c r="BS131" i="7"/>
  <c r="DD131" i="7"/>
  <c r="K129" i="7"/>
  <c r="BJ126" i="7"/>
  <c r="CM136" i="7"/>
  <c r="BA133" i="7"/>
  <c r="DF130" i="7"/>
  <c r="AA129" i="7"/>
  <c r="CT127" i="7"/>
  <c r="CF126" i="7"/>
  <c r="BU125" i="7"/>
  <c r="CQ133" i="7"/>
  <c r="BF129" i="7"/>
  <c r="P126" i="7"/>
  <c r="L124" i="7"/>
  <c r="DC122" i="7"/>
  <c r="CR121" i="7"/>
  <c r="CF135" i="7"/>
  <c r="CK130" i="7"/>
  <c r="AS127" i="7"/>
  <c r="BV124" i="7"/>
  <c r="AR123" i="7"/>
  <c r="AG122" i="7"/>
  <c r="S121" i="7"/>
  <c r="V126" i="7"/>
  <c r="BU122" i="7"/>
  <c r="V134" i="7"/>
  <c r="AN126" i="7"/>
  <c r="F123" i="7"/>
  <c r="CX135" i="7"/>
  <c r="BE127" i="7"/>
  <c r="AV123" i="7"/>
  <c r="W121" i="7"/>
  <c r="N135" i="7"/>
  <c r="AF129" i="7"/>
  <c r="BK125" i="7"/>
  <c r="BX133" i="7"/>
  <c r="Z130" i="7"/>
  <c r="DC127" i="7"/>
  <c r="AJ126" i="7"/>
  <c r="AA134" i="7"/>
  <c r="N128" i="7"/>
  <c r="U124" i="7"/>
  <c r="BG122" i="7"/>
  <c r="P136" i="7"/>
  <c r="AQ129" i="7"/>
  <c r="CI124" i="7"/>
  <c r="DA122" i="7"/>
  <c r="AB121" i="7"/>
  <c r="DD123" i="7"/>
  <c r="CY134" i="7"/>
  <c r="CL136" i="7"/>
  <c r="I136" i="7"/>
  <c r="AK135" i="7"/>
  <c r="BM134" i="7"/>
  <c r="CO133" i="7"/>
  <c r="L133" i="7"/>
  <c r="AN132" i="7"/>
  <c r="BP131" i="7"/>
  <c r="CR130" i="7"/>
  <c r="M136" i="7"/>
  <c r="F136" i="7"/>
  <c r="CZ134" i="7"/>
  <c r="CL133" i="7"/>
  <c r="CA132" i="7"/>
  <c r="BM131" i="7"/>
  <c r="BS136" i="7"/>
  <c r="AF135" i="7"/>
  <c r="S134" i="7"/>
  <c r="G133" i="7"/>
  <c r="AP136" i="7"/>
  <c r="CB134" i="7"/>
  <c r="F133" i="7"/>
  <c r="AR131" i="7"/>
  <c r="BP135" i="7"/>
  <c r="DB133" i="7"/>
  <c r="AI132" i="7"/>
  <c r="V131" i="7"/>
  <c r="AH130" i="7"/>
  <c r="BJ129" i="7"/>
  <c r="CL128" i="7"/>
  <c r="I128" i="7"/>
  <c r="AK127" i="7"/>
  <c r="BM126" i="7"/>
  <c r="CO125" i="7"/>
  <c r="L125" i="7"/>
  <c r="AN124" i="7"/>
  <c r="N136" i="7"/>
  <c r="DG134" i="7"/>
  <c r="CA135" i="7"/>
  <c r="R133" i="7"/>
  <c r="CY136" i="7"/>
  <c r="J134" i="7"/>
  <c r="CP131" i="7"/>
  <c r="AN130" i="7"/>
  <c r="AC129" i="7"/>
  <c r="O128" i="7"/>
  <c r="DI126" i="7"/>
  <c r="CU125" i="7"/>
  <c r="CJ124" i="7"/>
  <c r="W136" i="7"/>
  <c r="BI134" i="7"/>
  <c r="AR133" i="7"/>
  <c r="AF132" i="7"/>
  <c r="S131" i="7"/>
  <c r="AF130" i="7"/>
  <c r="BH129" i="7"/>
  <c r="CJ128" i="7"/>
  <c r="CH134" i="7"/>
  <c r="H131" i="7"/>
  <c r="P133" i="7"/>
  <c r="BF130" i="7"/>
  <c r="CO128" i="7"/>
  <c r="V127" i="7"/>
  <c r="BB125" i="7"/>
  <c r="AX136" i="7"/>
  <c r="L134" i="7"/>
  <c r="AX132" i="7"/>
  <c r="CE130" i="7"/>
  <c r="BT129" i="7"/>
  <c r="BF128" i="7"/>
  <c r="CH127" i="7"/>
  <c r="E127" i="7"/>
  <c r="AG126" i="7"/>
  <c r="BI125" i="7"/>
  <c r="L135" i="7"/>
  <c r="CF131" i="7"/>
  <c r="V129" i="7"/>
  <c r="DB126" i="7"/>
  <c r="DD124" i="7"/>
  <c r="DE123" i="7"/>
  <c r="AB123" i="7"/>
  <c r="BD122" i="7"/>
  <c r="CF121" i="7"/>
  <c r="DF136" i="7"/>
  <c r="BU133" i="7"/>
  <c r="AY130" i="7"/>
  <c r="Z128" i="7"/>
  <c r="DF125" i="7"/>
  <c r="BD124" i="7"/>
  <c r="BV123" i="7"/>
  <c r="CX122" i="7"/>
  <c r="U122" i="7"/>
  <c r="AW121" i="7"/>
  <c r="CJ132" i="7"/>
  <c r="M127" i="7"/>
  <c r="BL131" i="7"/>
  <c r="DG126" i="7"/>
  <c r="AD130" i="7"/>
  <c r="Y123" i="7"/>
  <c r="CX131" i="7"/>
  <c r="CW125" i="7"/>
  <c r="BG123" i="7"/>
  <c r="CJ121" i="7"/>
  <c r="U127" i="7"/>
  <c r="BV121" i="7"/>
  <c r="L127" i="7"/>
  <c r="G122" i="7"/>
  <c r="AC128" i="7"/>
  <c r="AW122" i="7"/>
  <c r="CZ135" i="7"/>
  <c r="BO127" i="7"/>
  <c r="U134" i="7"/>
  <c r="L129" i="7"/>
  <c r="BB126" i="7"/>
  <c r="CT130" i="7"/>
  <c r="AX124" i="7"/>
  <c r="CI121" i="7"/>
  <c r="CS129" i="7"/>
  <c r="CQ123" i="7"/>
  <c r="AZ121" i="7"/>
  <c r="BC122" i="7"/>
  <c r="CX124" i="7"/>
  <c r="AR121" i="7"/>
  <c r="CH125" i="7"/>
  <c r="CH121" i="7"/>
  <c r="AZ133" i="7"/>
  <c r="BY126" i="7"/>
  <c r="H133" i="7"/>
  <c r="AZ128" i="7"/>
  <c r="DE125" i="7"/>
  <c r="BO129" i="7"/>
  <c r="CS123" i="7"/>
  <c r="AJ121" i="7"/>
  <c r="AR128" i="7"/>
  <c r="AX123" i="7"/>
  <c r="T136" i="7"/>
  <c r="BM121" i="7"/>
  <c r="BZ123" i="7"/>
  <c r="CF127" i="7"/>
  <c r="DG136" i="7"/>
  <c r="CQ130" i="7"/>
  <c r="AA125" i="7"/>
  <c r="AY131" i="7"/>
  <c r="CN127" i="7"/>
  <c r="AK125" i="7"/>
  <c r="CI127" i="7"/>
  <c r="V123" i="7"/>
  <c r="BS135" i="7"/>
  <c r="AT126" i="7"/>
  <c r="CL122" i="7"/>
  <c r="CX127" i="7"/>
  <c r="CM133" i="7"/>
  <c r="AQ122" i="7"/>
  <c r="BS124" i="7"/>
  <c r="CS133" i="7"/>
  <c r="BO128" i="7"/>
  <c r="CY123" i="7"/>
  <c r="BJ123" i="7"/>
  <c r="CR123" i="7"/>
  <c r="DI129" i="7"/>
  <c r="BA127" i="7"/>
  <c r="CK122" i="7"/>
  <c r="AY122" i="7"/>
  <c r="BS121" i="7"/>
  <c r="AZ127" i="7"/>
  <c r="AM126" i="7"/>
  <c r="BZ121" i="7"/>
  <c r="AK121" i="7"/>
  <c r="DE129" i="7"/>
  <c r="BU129" i="7"/>
  <c r="BO131" i="7"/>
  <c r="AK136" i="7"/>
  <c r="I129" i="7"/>
  <c r="BF125" i="7"/>
  <c r="CK125" i="7"/>
  <c r="CC121" i="7"/>
  <c r="CT128" i="7"/>
  <c r="AY124" i="7"/>
  <c r="CI122" i="7"/>
  <c r="G121" i="7"/>
  <c r="BT123" i="7"/>
  <c r="J133" i="7"/>
  <c r="E124" i="7"/>
  <c r="CL134" i="7"/>
  <c r="BE124" i="7"/>
  <c r="BZ136" i="7"/>
  <c r="DI130" i="7"/>
  <c r="I125" i="7"/>
  <c r="BQ131" i="7"/>
  <c r="CK127" i="7"/>
  <c r="AN125" i="7"/>
  <c r="BH127" i="7"/>
  <c r="AE123" i="7"/>
  <c r="AR135" i="7"/>
  <c r="BL126" i="7"/>
  <c r="CC122" i="7"/>
  <c r="BV128" i="7"/>
  <c r="AX133" i="7"/>
  <c r="X123" i="7"/>
  <c r="CO131" i="7"/>
  <c r="BN123" i="7"/>
  <c r="BA134" i="7"/>
  <c r="CN129" i="7"/>
  <c r="CV136" i="7"/>
  <c r="BM130" i="7"/>
  <c r="AL127" i="7"/>
  <c r="AM135" i="7"/>
  <c r="AH126" i="7"/>
  <c r="CH122" i="7"/>
  <c r="AT133" i="7"/>
  <c r="S125" i="7"/>
  <c r="AJ122" i="7"/>
  <c r="CB124" i="7"/>
  <c r="CM129" i="7"/>
  <c r="BA121" i="7"/>
  <c r="BE123" i="7"/>
  <c r="AI131" i="7"/>
  <c r="AM128" i="7"/>
  <c r="CO134" i="7"/>
  <c r="BK129" i="7"/>
  <c r="CC126" i="7"/>
  <c r="AP132" i="7"/>
  <c r="CL124" i="7"/>
  <c r="H122" i="7"/>
  <c r="BQ130" i="7"/>
  <c r="V124" i="7"/>
  <c r="CA121" i="7"/>
  <c r="I123" i="7"/>
  <c r="M126" i="7"/>
  <c r="DA132" i="7"/>
  <c r="AE122" i="7"/>
  <c r="DE124" i="7"/>
  <c r="AB125" i="7"/>
  <c r="DH134" i="7"/>
  <c r="BW127" i="7"/>
  <c r="AD124" i="7"/>
  <c r="AV134" i="7"/>
  <c r="DG131" i="7"/>
  <c r="AG130" i="7"/>
  <c r="DE122" i="7"/>
  <c r="DI121" i="7"/>
  <c r="DA131" i="7"/>
  <c r="AF128" i="7"/>
  <c r="CV126" i="7"/>
  <c r="BW135" i="7"/>
  <c r="CK135" i="7"/>
  <c r="DE134" i="7"/>
  <c r="AY125" i="7"/>
  <c r="T130" i="7"/>
  <c r="AD126" i="7"/>
  <c r="E128" i="7"/>
  <c r="BA122" i="7"/>
  <c r="F130" i="7"/>
  <c r="E125" i="7"/>
  <c r="Q123" i="7"/>
  <c r="AT121" i="7"/>
  <c r="BN124" i="7"/>
  <c r="AU136" i="7"/>
  <c r="G125" i="7"/>
  <c r="AI121" i="7"/>
  <c r="DI125" i="7"/>
  <c r="BY121" i="7"/>
  <c r="AL133" i="7"/>
  <c r="AO126" i="7"/>
  <c r="CQ132" i="7"/>
  <c r="AK128" i="7"/>
  <c r="CY125" i="7"/>
  <c r="AE129" i="7"/>
  <c r="CJ123" i="7"/>
  <c r="X121" i="7"/>
  <c r="AI128" i="7"/>
  <c r="AI123" i="7"/>
  <c r="H135" i="7"/>
  <c r="AL121" i="7"/>
  <c r="DA123" i="7"/>
  <c r="U135" i="7"/>
  <c r="AR124" i="7"/>
  <c r="E121" i="7"/>
  <c r="AN131" i="7"/>
  <c r="AP125" i="7"/>
  <c r="CD131" i="7"/>
  <c r="CW127" i="7"/>
  <c r="AW125" i="7"/>
  <c r="CR127" i="7"/>
  <c r="AH123" i="7"/>
  <c r="DG135" i="7"/>
  <c r="CM126" i="7"/>
  <c r="CR122" i="7"/>
  <c r="S129" i="7"/>
  <c r="BK134" i="7"/>
  <c r="BR122" i="7"/>
  <c r="CF124" i="7"/>
  <c r="Z134" i="7"/>
  <c r="BG129" i="7"/>
  <c r="BU136" i="7"/>
  <c r="AU130" i="7"/>
  <c r="AI127" i="7"/>
  <c r="CP134" i="7"/>
  <c r="G126" i="7"/>
  <c r="BS122" i="7"/>
  <c r="S133" i="7"/>
  <c r="DA124" i="7"/>
  <c r="AA122" i="7"/>
  <c r="Z124" i="7"/>
  <c r="BL129" i="7"/>
  <c r="Z121" i="7"/>
  <c r="AM123" i="7"/>
  <c r="BZ128" i="7"/>
  <c r="CX126" i="7"/>
  <c r="AF122" i="7"/>
  <c r="CS121" i="7"/>
  <c r="AW134" i="7"/>
  <c r="W126" i="7"/>
  <c r="CM125" i="7"/>
  <c r="R121" i="7"/>
  <c r="W133" i="7"/>
  <c r="BF126" i="7"/>
  <c r="AF136" i="7"/>
  <c r="BO134" i="7"/>
  <c r="BV132" i="7"/>
  <c r="H124" i="7"/>
  <c r="L123" i="7"/>
  <c r="DC124" i="7"/>
  <c r="AD135" i="7"/>
  <c r="CT123" i="7"/>
  <c r="BT130" i="7"/>
  <c r="AK129" i="7"/>
  <c r="CJ122" i="7"/>
  <c r="U123" i="7"/>
  <c r="CX128" i="7"/>
  <c r="CI135" i="7"/>
  <c r="H127" i="7"/>
  <c r="BC133" i="7"/>
  <c r="AI122" i="7"/>
  <c r="F132" i="7"/>
  <c r="DE121" i="7"/>
  <c r="BK123" i="7"/>
  <c r="P122" i="7"/>
  <c r="DG127" i="7"/>
  <c r="BX136" i="7"/>
  <c r="CP127" i="7"/>
  <c r="AJ129" i="7"/>
  <c r="BE131" i="7"/>
  <c r="BG124" i="7"/>
  <c r="O130" i="7"/>
  <c r="BC121" i="7"/>
  <c r="CD122" i="7"/>
  <c r="L131" i="7"/>
  <c r="CT132" i="7"/>
  <c r="BA126" i="7"/>
  <c r="AT128" i="7"/>
  <c r="AN129" i="7"/>
  <c r="CG123" i="7"/>
  <c r="H128" i="7"/>
  <c r="AJ134" i="7"/>
  <c r="BD121" i="7"/>
  <c r="AD127" i="7"/>
  <c r="AM136" i="7"/>
  <c r="AP127" i="7"/>
  <c r="BZ132" i="7"/>
  <c r="BB129" i="7"/>
  <c r="BT124" i="7"/>
  <c r="AO125" i="7"/>
  <c r="G128" i="7"/>
  <c r="DD122" i="7"/>
  <c r="AV127" i="7"/>
  <c r="T135" i="7"/>
  <c r="BC128" i="7"/>
  <c r="CZ124" i="7"/>
  <c r="Q128" i="7"/>
  <c r="BH122" i="7"/>
  <c r="R123" i="7"/>
  <c r="BH123" i="7"/>
  <c r="BY133" i="7"/>
  <c r="CG135" i="7"/>
  <c r="CA124" i="7"/>
  <c r="BM127" i="7"/>
  <c r="F127" i="7"/>
  <c r="BF134" i="7"/>
  <c r="BK122" i="7"/>
  <c r="BN131" i="7"/>
  <c r="CS122" i="7"/>
  <c r="AD123" i="7"/>
  <c r="T129" i="7"/>
  <c r="K130" i="7"/>
  <c r="M134" i="7"/>
  <c r="AX122" i="7"/>
  <c r="BZ124" i="7"/>
  <c r="I122" i="7"/>
  <c r="AL128" i="7"/>
  <c r="DH122" i="7"/>
  <c r="CJ127" i="7"/>
  <c r="U129" i="7"/>
  <c r="AD131" i="7"/>
  <c r="AJ124" i="7"/>
  <c r="CJ129" i="7"/>
  <c r="AQ121" i="7"/>
  <c r="CK124" i="7"/>
  <c r="BP121" i="7"/>
  <c r="AU135" i="7"/>
  <c r="BI131" i="7"/>
  <c r="BO122" i="7"/>
  <c r="DI128" i="7"/>
  <c r="AC121" i="7"/>
  <c r="AI130" i="7"/>
  <c r="BS125" i="7"/>
  <c r="CN128" i="7"/>
  <c r="CC136" i="7"/>
  <c r="DE135" i="7"/>
  <c r="AB135" i="7"/>
  <c r="BD134" i="7"/>
  <c r="CF133" i="7"/>
  <c r="DH132" i="7"/>
  <c r="AE132" i="7"/>
  <c r="BG131" i="7"/>
  <c r="CI130" i="7"/>
  <c r="DD135" i="7"/>
  <c r="CY135" i="7"/>
  <c r="CK134" i="7"/>
  <c r="BZ133" i="7"/>
  <c r="BL132" i="7"/>
  <c r="BA131" i="7"/>
  <c r="AW136" i="7"/>
  <c r="R135" i="7"/>
  <c r="F134" i="7"/>
  <c r="CX132" i="7"/>
  <c r="X136" i="7"/>
  <c r="BG134" i="7"/>
  <c r="CS132" i="7"/>
  <c r="T131" i="7"/>
  <c r="AX135" i="7"/>
  <c r="CE133" i="7"/>
  <c r="U132" i="7"/>
  <c r="I131" i="7"/>
  <c r="Y130" i="7"/>
  <c r="BA129" i="7"/>
  <c r="CC128" i="7"/>
  <c r="DE127" i="7"/>
  <c r="AB127" i="7"/>
  <c r="BD126" i="7"/>
  <c r="CF125" i="7"/>
  <c r="DH124" i="7"/>
  <c r="AE124" i="7"/>
  <c r="DF135" i="7"/>
  <c r="CS134" i="7"/>
  <c r="AQ135" i="7"/>
  <c r="CV132" i="7"/>
  <c r="BF136" i="7"/>
  <c r="CN133" i="7"/>
  <c r="BT131" i="7"/>
  <c r="AB130" i="7"/>
  <c r="N129" i="7"/>
  <c r="DH127" i="7"/>
  <c r="CT126" i="7"/>
  <c r="CI125" i="7"/>
  <c r="BU124" i="7"/>
  <c r="E136" i="7"/>
  <c r="AQ134" i="7"/>
  <c r="AE133" i="7"/>
  <c r="R132" i="7"/>
  <c r="F131" i="7"/>
  <c r="W130" i="7"/>
  <c r="AY129" i="7"/>
  <c r="CA128" i="7"/>
  <c r="AR134" i="7"/>
  <c r="CG136" i="7"/>
  <c r="CF132" i="7"/>
  <c r="AK130" i="7"/>
  <c r="BW128" i="7"/>
  <c r="DC126" i="7"/>
  <c r="AJ125" i="7"/>
  <c r="S136" i="7"/>
  <c r="CY133" i="7"/>
  <c r="AA132" i="7"/>
  <c r="BS130" i="7"/>
  <c r="BE129" i="7"/>
  <c r="AW128" i="7"/>
  <c r="BY127" i="7"/>
  <c r="DA126" i="7"/>
  <c r="X126" i="7"/>
  <c r="AZ125" i="7"/>
  <c r="CC134" i="7"/>
  <c r="AQ131" i="7"/>
  <c r="CZ128" i="7"/>
  <c r="CA126" i="7"/>
  <c r="CQ124" i="7"/>
  <c r="CV123" i="7"/>
  <c r="S123" i="7"/>
  <c r="AU122" i="7"/>
  <c r="BW121" i="7"/>
  <c r="BR136" i="7"/>
  <c r="AF133" i="7"/>
  <c r="X130" i="7"/>
  <c r="DD127" i="7"/>
  <c r="CE125" i="7"/>
  <c r="AP124" i="7"/>
  <c r="BM123" i="7"/>
  <c r="CO122" i="7"/>
  <c r="L122" i="7"/>
  <c r="AN121" i="7"/>
  <c r="AM131" i="7"/>
  <c r="CO124" i="7"/>
  <c r="S132" i="7"/>
  <c r="BE132" i="7"/>
  <c r="AL129" i="7"/>
  <c r="CQ126" i="7"/>
  <c r="AK124" i="7"/>
  <c r="CK133" i="7"/>
  <c r="AB131" i="7"/>
  <c r="AV129" i="7"/>
  <c r="DF127" i="7"/>
  <c r="CU126" i="7"/>
  <c r="CG125" i="7"/>
  <c r="BB134" i="7"/>
  <c r="CP129" i="7"/>
  <c r="BI126" i="7"/>
  <c r="X124" i="7"/>
  <c r="M123" i="7"/>
  <c r="DD121" i="7"/>
  <c r="AQ136" i="7"/>
  <c r="AH131" i="7"/>
  <c r="AS136" i="7"/>
  <c r="BU135" i="7"/>
  <c r="CW134" i="7"/>
  <c r="T134" i="7"/>
  <c r="AV133" i="7"/>
  <c r="BX132" i="7"/>
  <c r="CZ131" i="7"/>
  <c r="W131" i="7"/>
  <c r="BO136" i="7"/>
  <c r="BH136" i="7"/>
  <c r="AW135" i="7"/>
  <c r="AI134" i="7"/>
  <c r="X133" i="7"/>
  <c r="J132" i="7"/>
  <c r="DD130" i="7"/>
  <c r="CH135" i="7"/>
  <c r="BU134" i="7"/>
  <c r="BI133" i="7"/>
  <c r="AV132" i="7"/>
  <c r="AZ135" i="7"/>
  <c r="CI133" i="7"/>
  <c r="P132" i="7"/>
  <c r="BJ136" i="7"/>
  <c r="BZ134" i="7"/>
  <c r="DG132" i="7"/>
  <c r="BX131" i="7"/>
  <c r="BR130" i="7"/>
  <c r="CT129" i="7"/>
  <c r="Q129" i="7"/>
  <c r="AS128" i="7"/>
  <c r="BU127" i="7"/>
  <c r="CW126" i="7"/>
  <c r="T126" i="7"/>
  <c r="AV125" i="7"/>
  <c r="BX124" i="7"/>
  <c r="BP136" i="7"/>
  <c r="BD135" i="7"/>
  <c r="CO136" i="7"/>
  <c r="AF134" i="7"/>
  <c r="CK131" i="7"/>
  <c r="W135" i="7"/>
  <c r="CB132" i="7"/>
  <c r="CV130" i="7"/>
  <c r="CE129" i="7"/>
  <c r="BQ128" i="7"/>
  <c r="BF127" i="7"/>
  <c r="AR126" i="7"/>
  <c r="AG125" i="7"/>
  <c r="CZ136" i="7"/>
  <c r="AG135" i="7"/>
  <c r="CT133" i="7"/>
  <c r="CH132" i="7"/>
  <c r="BU131" i="7"/>
  <c r="BP130" i="7"/>
  <c r="CR129" i="7"/>
  <c r="O129" i="7"/>
  <c r="AY136" i="7"/>
  <c r="CD132" i="7"/>
  <c r="CM134" i="7"/>
  <c r="BF131" i="7"/>
  <c r="BM129" i="7"/>
  <c r="CY127" i="7"/>
  <c r="Z126" i="7"/>
  <c r="BL124" i="7"/>
  <c r="F135" i="7"/>
  <c r="V133" i="7"/>
  <c r="BC131" i="7"/>
  <c r="Q130" i="7"/>
  <c r="DH128" i="7"/>
  <c r="M128" i="7"/>
  <c r="AO127" i="7"/>
  <c r="BQ126" i="7"/>
  <c r="CS125" i="7"/>
  <c r="BM136" i="7"/>
  <c r="AB133" i="7"/>
  <c r="U130" i="7"/>
  <c r="DA127" i="7"/>
  <c r="CB125" i="7"/>
  <c r="AO124" i="7"/>
  <c r="BL123" i="7"/>
  <c r="CN122" i="7"/>
  <c r="K122" i="7"/>
  <c r="AM121" i="7"/>
  <c r="Q135" i="7"/>
  <c r="CJ131" i="7"/>
  <c r="Y129" i="7"/>
  <c r="DE126" i="7"/>
  <c r="DF124" i="7"/>
  <c r="DF123" i="7"/>
  <c r="AC123" i="7"/>
  <c r="BE122" i="7"/>
  <c r="CG121" i="7"/>
  <c r="CW136" i="7"/>
  <c r="T128" i="7"/>
  <c r="AN135" i="7"/>
  <c r="BK135" i="7"/>
  <c r="CH130" i="7"/>
  <c r="X128" i="7"/>
  <c r="CC125" i="7"/>
  <c r="BH135" i="7"/>
  <c r="BY132" i="7"/>
  <c r="AL130" i="7"/>
  <c r="BX128" i="7"/>
  <c r="BD127" i="7"/>
  <c r="AS126" i="7"/>
  <c r="AE125" i="7"/>
  <c r="AC132" i="7"/>
  <c r="AO128" i="7"/>
  <c r="Q125" i="7"/>
  <c r="CA123" i="7"/>
  <c r="BP122" i="7"/>
  <c r="BB121" i="7"/>
  <c r="R134" i="7"/>
  <c r="BR129" i="7"/>
  <c r="AK126" i="7"/>
  <c r="P124" i="7"/>
  <c r="E123" i="7"/>
  <c r="CV121" i="7"/>
  <c r="CZ133" i="7"/>
  <c r="Q124" i="7"/>
  <c r="CW121" i="7"/>
  <c r="CP130" i="7"/>
  <c r="BW124" i="7"/>
  <c r="AH122" i="7"/>
  <c r="BM132" i="7"/>
  <c r="AF125" i="7"/>
  <c r="BX122" i="7"/>
  <c r="DC134" i="7"/>
  <c r="AD132" i="7"/>
  <c r="F128" i="7"/>
  <c r="AB124" i="7"/>
  <c r="BB132" i="7"/>
  <c r="AM129" i="7"/>
  <c r="AU127" i="7"/>
  <c r="CD125" i="7"/>
  <c r="CS131" i="7"/>
  <c r="AQ126" i="7"/>
  <c r="BR123" i="7"/>
  <c r="DA121" i="7"/>
  <c r="CH133" i="7"/>
  <c r="BT127" i="7"/>
  <c r="G124" i="7"/>
  <c r="AP122" i="7"/>
  <c r="CN132" i="7"/>
  <c r="CM122" i="7"/>
  <c r="AJ130" i="7"/>
  <c r="BK136" i="7"/>
  <c r="CM135" i="7"/>
  <c r="J135" i="7"/>
  <c r="AL134" i="7"/>
  <c r="BN133" i="7"/>
  <c r="CP132" i="7"/>
  <c r="M132" i="7"/>
  <c r="AO131" i="7"/>
  <c r="CP136" i="7"/>
  <c r="CI136" i="7"/>
  <c r="BX135" i="7"/>
  <c r="BJ134" i="7"/>
  <c r="AY133" i="7"/>
  <c r="AK132" i="7"/>
  <c r="Z131" i="7"/>
  <c r="H136" i="7"/>
  <c r="CV134" i="7"/>
  <c r="CJ133" i="7"/>
  <c r="BW132" i="7"/>
  <c r="CP135" i="7"/>
  <c r="Q134" i="7"/>
  <c r="BC132" i="7"/>
  <c r="CL130" i="7"/>
  <c r="I135" i="7"/>
  <c r="AQ133" i="7"/>
  <c r="CY131" i="7"/>
  <c r="CM130" i="7"/>
  <c r="G130" i="7"/>
  <c r="AI129" i="7"/>
  <c r="BK128" i="7"/>
  <c r="CM127" i="7"/>
  <c r="J127" i="7"/>
  <c r="AL126" i="7"/>
  <c r="BN125" i="7"/>
  <c r="CP124" i="7"/>
  <c r="CQ136" i="7"/>
  <c r="CE135" i="7"/>
  <c r="BR134" i="7"/>
  <c r="CQ134" i="7"/>
  <c r="AQ132" i="7"/>
  <c r="CC135" i="7"/>
  <c r="AC133" i="7"/>
  <c r="AE131" i="7"/>
  <c r="DF129" i="7"/>
  <c r="CR128" i="7"/>
  <c r="CG127" i="7"/>
  <c r="BS126" i="7"/>
  <c r="BH125" i="7"/>
  <c r="AT124" i="7"/>
  <c r="BV135" i="7"/>
  <c r="P134" i="7"/>
  <c r="DI132" i="7"/>
  <c r="CV131" i="7"/>
  <c r="CJ130" i="7"/>
  <c r="E130" i="7"/>
  <c r="AG129" i="7"/>
  <c r="BI128" i="7"/>
  <c r="BH133" i="7"/>
  <c r="BY135" i="7"/>
  <c r="L132" i="7"/>
  <c r="CZ129" i="7"/>
  <c r="AG128" i="7"/>
  <c r="BP126" i="7"/>
  <c r="DB124" i="7"/>
  <c r="BM135" i="7"/>
  <c r="BJ133" i="7"/>
  <c r="CR131" i="7"/>
  <c r="AR130" i="7"/>
  <c r="AD129" i="7"/>
  <c r="AE128" i="7"/>
  <c r="BG127" i="7"/>
  <c r="CI126" i="7"/>
  <c r="F126" i="7"/>
  <c r="AH125" i="7"/>
  <c r="DE133" i="7"/>
  <c r="BW130" i="7"/>
  <c r="AX128" i="7"/>
  <c r="Y126" i="7"/>
  <c r="BP124" i="7"/>
  <c r="CD123" i="7"/>
  <c r="DF122" i="7"/>
  <c r="AC122" i="7"/>
  <c r="BE121" i="7"/>
  <c r="CT135" i="7"/>
  <c r="BH132" i="7"/>
  <c r="CA129" i="7"/>
  <c r="BB127" i="7"/>
  <c r="AC125" i="7"/>
  <c r="S124" i="7"/>
  <c r="AU123" i="7"/>
  <c r="BW122" i="7"/>
  <c r="CY121" i="7"/>
  <c r="AY132" i="7"/>
  <c r="K133" i="7"/>
  <c r="BR124" i="7"/>
  <c r="BN129" i="7"/>
  <c r="CV125" i="7"/>
  <c r="CS126" i="7"/>
  <c r="N122" i="7"/>
  <c r="AH129" i="7"/>
  <c r="CN124" i="7"/>
  <c r="CU122" i="7"/>
  <c r="AH121" i="7"/>
  <c r="CU123" i="7"/>
  <c r="AI135" i="7"/>
  <c r="AI124" i="7"/>
  <c r="H121" i="7"/>
  <c r="CT124" i="7"/>
  <c r="AX121" i="7"/>
  <c r="CC131" i="7"/>
  <c r="DA125" i="7"/>
  <c r="DE131" i="7"/>
  <c r="S128" i="7"/>
  <c r="BL125" i="7"/>
  <c r="BP128" i="7"/>
  <c r="AW123" i="7"/>
  <c r="F121" i="7"/>
  <c r="R127" i="7"/>
  <c r="N123" i="7"/>
  <c r="R130" i="7"/>
  <c r="CJ136" i="7"/>
  <c r="BQ123" i="7"/>
  <c r="AK133" i="7"/>
  <c r="DG123" i="7"/>
  <c r="O136" i="7"/>
  <c r="AT130" i="7"/>
  <c r="CM124" i="7"/>
  <c r="J131" i="7"/>
  <c r="BV127" i="7"/>
  <c r="AZ136" i="7"/>
  <c r="O127" i="7"/>
  <c r="DI122" i="7"/>
  <c r="CU134" i="7"/>
  <c r="CN125" i="7"/>
  <c r="BQ122" i="7"/>
  <c r="AW126" i="7"/>
  <c r="AL132" i="7"/>
  <c r="DC121" i="7"/>
  <c r="K124" i="7"/>
  <c r="BI132" i="7"/>
  <c r="DA128" i="7"/>
  <c r="BZ135" i="7"/>
  <c r="H130" i="7"/>
  <c r="DD126" i="7"/>
  <c r="CD133" i="7"/>
  <c r="V125" i="7"/>
  <c r="AR122" i="7"/>
  <c r="BW131" i="7"/>
  <c r="BM124" i="7"/>
  <c r="DB121" i="7"/>
  <c r="CC123" i="7"/>
  <c r="BN127" i="7"/>
  <c r="BJ135" i="7"/>
  <c r="CG122" i="7"/>
  <c r="CZ126" i="7"/>
  <c r="I126" i="7"/>
  <c r="AY121" i="7"/>
  <c r="BI136" i="7"/>
  <c r="BD128" i="7"/>
  <c r="AZ124" i="7"/>
  <c r="CB135" i="7"/>
  <c r="CV133" i="7"/>
  <c r="CF123" i="7"/>
  <c r="CP133" i="7"/>
  <c r="CG130" i="7"/>
  <c r="BI129" i="7"/>
  <c r="AK122" i="7"/>
  <c r="BG121" i="7"/>
  <c r="BQ136" i="7"/>
  <c r="CI128" i="7"/>
  <c r="Z133" i="7"/>
  <c r="CE127" i="7"/>
  <c r="AO133" i="7"/>
  <c r="DB123" i="7"/>
  <c r="I127" i="7"/>
  <c r="R122" i="7"/>
  <c r="AT122" i="7"/>
  <c r="BB130" i="7"/>
  <c r="DE132" i="7"/>
  <c r="CX129" i="7"/>
  <c r="AI125" i="7"/>
  <c r="BH124" i="7"/>
  <c r="K128" i="7"/>
  <c r="BF122" i="7"/>
  <c r="Y134" i="7"/>
  <c r="BK126" i="7"/>
  <c r="CU121" i="7"/>
  <c r="DC123" i="7"/>
  <c r="T125" i="7"/>
  <c r="CQ121" i="7"/>
  <c r="CC132" i="7"/>
  <c r="CP125" i="7"/>
  <c r="AG121" i="7"/>
  <c r="AO123" i="7"/>
  <c r="AY123" i="7"/>
  <c r="AP131" i="7"/>
  <c r="S126" i="7"/>
  <c r="CF130" i="7"/>
  <c r="M124" i="7"/>
  <c r="AS131" i="7"/>
  <c r="AQ123" i="7"/>
  <c r="CA122" i="7"/>
  <c r="AW130" i="7"/>
  <c r="CA136" i="7"/>
  <c r="AP121" i="7"/>
  <c r="AG124" i="7"/>
  <c r="AV135" i="7"/>
  <c r="DB131" i="7"/>
  <c r="CX123" i="7"/>
  <c r="J130" i="7"/>
  <c r="CN130" i="7"/>
  <c r="DC135" i="7"/>
  <c r="CT122" i="7"/>
  <c r="AU125" i="7"/>
  <c r="AX125" i="7"/>
  <c r="AA130" i="7"/>
  <c r="AG133" i="7"/>
  <c r="J136" i="7"/>
  <c r="K127" i="7"/>
  <c r="BJ125" i="7"/>
  <c r="AG132" i="7"/>
  <c r="CL123" i="7"/>
  <c r="AH136" i="7"/>
  <c r="CQ135" i="7"/>
  <c r="DC133" i="7"/>
  <c r="AV126" i="7"/>
  <c r="CL121" i="7"/>
  <c r="CZ123" i="7"/>
  <c r="BL122" i="7"/>
  <c r="CC130" i="7"/>
  <c r="N133" i="7"/>
  <c r="BB123" i="7"/>
  <c r="BK132" i="7"/>
  <c r="CU127" i="7"/>
  <c r="BT133" i="7"/>
  <c r="CW124" i="7"/>
  <c r="BB136" i="7"/>
  <c r="CD135" i="7"/>
  <c r="DF134" i="7"/>
  <c r="AC134" i="7"/>
  <c r="BE133" i="7"/>
  <c r="CG132" i="7"/>
  <c r="DI131" i="7"/>
  <c r="AF131" i="7"/>
  <c r="CB136" i="7"/>
  <c r="BW136" i="7"/>
  <c r="BI135" i="7"/>
  <c r="AX134" i="7"/>
  <c r="AJ133" i="7"/>
  <c r="Y132" i="7"/>
  <c r="K131" i="7"/>
  <c r="CU135" i="7"/>
  <c r="CI134" i="7"/>
  <c r="BV133" i="7"/>
  <c r="BJ132" i="7"/>
  <c r="BR135" i="7"/>
  <c r="DD133" i="7"/>
  <c r="AH132" i="7"/>
  <c r="CT136" i="7"/>
  <c r="CR134" i="7"/>
  <c r="Y133" i="7"/>
  <c r="CL131" i="7"/>
  <c r="CA130" i="7"/>
  <c r="DC129" i="7"/>
  <c r="Z129" i="7"/>
  <c r="BB128" i="7"/>
  <c r="CD127" i="7"/>
  <c r="DF126" i="7"/>
  <c r="AC126" i="7"/>
  <c r="BE125" i="7"/>
  <c r="CG124" i="7"/>
  <c r="CD136" i="7"/>
  <c r="BQ135" i="7"/>
  <c r="BE134" i="7"/>
  <c r="BP134" i="7"/>
  <c r="G132" i="7"/>
  <c r="BB135" i="7"/>
  <c r="DC132" i="7"/>
  <c r="M131" i="7"/>
  <c r="CQ129" i="7"/>
  <c r="CF128" i="7"/>
  <c r="BR127" i="7"/>
  <c r="BG126" i="7"/>
  <c r="AS125" i="7"/>
  <c r="AH124" i="7"/>
  <c r="AY135" i="7"/>
  <c r="DH133" i="7"/>
  <c r="CU132" i="7"/>
  <c r="CI131" i="7"/>
  <c r="BY130" i="7"/>
  <c r="DA129" i="7"/>
  <c r="X129" i="7"/>
  <c r="CR136" i="7"/>
  <c r="O133" i="7"/>
  <c r="AJ135" i="7"/>
  <c r="CG131" i="7"/>
  <c r="CH129" i="7"/>
  <c r="L128" i="7"/>
  <c r="AX126" i="7"/>
  <c r="CD124" i="7"/>
  <c r="AL135" i="7"/>
  <c r="AN133" i="7"/>
  <c r="BZ131" i="7"/>
  <c r="AC130" i="7"/>
  <c r="R129" i="7"/>
  <c r="V128" i="7"/>
  <c r="AX127" i="7"/>
  <c r="BZ126" i="7"/>
  <c r="DB125" i="7"/>
  <c r="DB136" i="7"/>
  <c r="BP133" i="7"/>
  <c r="AV130" i="7"/>
  <c r="W128" i="7"/>
  <c r="DC125" i="7"/>
  <c r="BB124" i="7"/>
  <c r="BU123" i="7"/>
  <c r="CW122" i="7"/>
  <c r="T122" i="7"/>
  <c r="AV121" i="7"/>
  <c r="BE135" i="7"/>
  <c r="T132" i="7"/>
  <c r="AZ129" i="7"/>
  <c r="AA127" i="7"/>
  <c r="N125" i="7"/>
  <c r="J124" i="7"/>
  <c r="AL123" i="7"/>
  <c r="BN122" i="7"/>
  <c r="CP121" i="7"/>
  <c r="M121" i="7"/>
  <c r="CW128" i="7"/>
  <c r="CS135" i="7"/>
  <c r="AR136" i="7"/>
  <c r="R131" i="7"/>
  <c r="BH128" i="7"/>
  <c r="DD125" i="7"/>
  <c r="DA135" i="7"/>
  <c r="CZ132" i="7"/>
  <c r="BJ130" i="7"/>
  <c r="CP128" i="7"/>
  <c r="BS127" i="7"/>
  <c r="BE126" i="7"/>
  <c r="AT125" i="7"/>
  <c r="CE132" i="7"/>
  <c r="CH128" i="7"/>
  <c r="AR125" i="7"/>
  <c r="CP123" i="7"/>
  <c r="CB122" i="7"/>
  <c r="BQ121" i="7"/>
  <c r="BT134" i="7"/>
  <c r="CU136" i="7"/>
  <c r="R136" i="7"/>
  <c r="AT135" i="7"/>
  <c r="BV134" i="7"/>
  <c r="CX133" i="7"/>
  <c r="U133" i="7"/>
  <c r="AW132" i="7"/>
  <c r="BY131" i="7"/>
  <c r="DA130" i="7"/>
  <c r="Z136" i="7"/>
  <c r="U136" i="7"/>
  <c r="G135" i="7"/>
  <c r="DA133" i="7"/>
  <c r="CM132" i="7"/>
  <c r="CB131" i="7"/>
  <c r="CK136" i="7"/>
  <c r="AS135" i="7"/>
  <c r="AG134" i="7"/>
  <c r="T133" i="7"/>
  <c r="BN136" i="7"/>
  <c r="CT134" i="7"/>
  <c r="AA133" i="7"/>
  <c r="BJ131" i="7"/>
  <c r="CL135" i="7"/>
  <c r="O134" i="7"/>
  <c r="BA132" i="7"/>
  <c r="AJ131" i="7"/>
  <c r="AQ130" i="7"/>
  <c r="BS129" i="7"/>
  <c r="CU128" i="7"/>
  <c r="R128" i="7"/>
  <c r="AT127" i="7"/>
  <c r="BV126" i="7"/>
  <c r="CX125" i="7"/>
  <c r="U125" i="7"/>
  <c r="AW124" i="7"/>
  <c r="AB136" i="7"/>
  <c r="O135" i="7"/>
  <c r="DB135" i="7"/>
  <c r="BB133" i="7"/>
  <c r="CX130" i="7"/>
  <c r="AP134" i="7"/>
  <c r="DH131" i="7"/>
  <c r="BC130" i="7"/>
  <c r="AO129" i="7"/>
  <c r="AD128" i="7"/>
  <c r="P127" i="7"/>
  <c r="E126" i="7"/>
  <c r="CV124" i="7"/>
  <c r="AT136" i="7"/>
  <c r="CA134" i="7"/>
  <c r="BF133" i="7"/>
  <c r="AS132" i="7"/>
  <c r="AG131" i="7"/>
  <c r="AO130" i="7"/>
  <c r="BQ129" i="7"/>
  <c r="CS128" i="7"/>
  <c r="Y135" i="7"/>
  <c r="AU131" i="7"/>
  <c r="BR133" i="7"/>
  <c r="BX130" i="7"/>
  <c r="E129" i="7"/>
  <c r="AN127" i="7"/>
  <c r="BZ125" i="7"/>
  <c r="BY136" i="7"/>
  <c r="AH134" i="7"/>
  <c r="BP132" i="7"/>
  <c r="DB130" i="7"/>
  <c r="CF129" i="7"/>
  <c r="BU128" i="7"/>
  <c r="CQ127" i="7"/>
  <c r="N127" i="7"/>
  <c r="AP126" i="7"/>
  <c r="BR125" i="7"/>
  <c r="BA135" i="7"/>
  <c r="O132" i="7"/>
  <c r="AW129" i="7"/>
  <c r="X127" i="7"/>
  <c r="M125" i="7"/>
  <c r="I124" i="7"/>
  <c r="AK123" i="7"/>
  <c r="BM122" i="7"/>
  <c r="CO121" i="7"/>
  <c r="L121" i="7"/>
  <c r="DI133" i="7"/>
  <c r="BZ130" i="7"/>
  <c r="BA128" i="7"/>
  <c r="AB126" i="7"/>
  <c r="BQ124" i="7"/>
  <c r="CE123" i="7"/>
  <c r="DG122" i="7"/>
  <c r="AD122" i="7"/>
  <c r="BF121" i="7"/>
  <c r="BL133" i="7"/>
  <c r="CZ125" i="7"/>
  <c r="AP133" i="7"/>
  <c r="CA133" i="7"/>
  <c r="CW129" i="7"/>
  <c r="AW127" i="7"/>
  <c r="CS124" i="7"/>
  <c r="AM134" i="7"/>
  <c r="CM131" i="7"/>
  <c r="CL129" i="7"/>
  <c r="AB128" i="7"/>
  <c r="Q127" i="7"/>
  <c r="DH125" i="7"/>
  <c r="BN135" i="7"/>
  <c r="BN130" i="7"/>
  <c r="AG127" i="7"/>
  <c r="BK124" i="7"/>
  <c r="AN123" i="7"/>
  <c r="Z122" i="7"/>
  <c r="O121" i="7"/>
  <c r="AU132" i="7"/>
  <c r="BJ128" i="7"/>
  <c r="W125" i="7"/>
  <c r="CH123" i="7"/>
  <c r="BT122" i="7"/>
  <c r="BI121" i="7"/>
  <c r="AT129" i="7"/>
  <c r="AS123" i="7"/>
  <c r="T121" i="7"/>
  <c r="BM128" i="7"/>
  <c r="CI123" i="7"/>
  <c r="BJ121" i="7"/>
  <c r="CD129" i="7"/>
  <c r="T124" i="7"/>
  <c r="CZ121" i="7"/>
  <c r="DF131" i="7"/>
  <c r="BL130" i="7"/>
  <c r="CB126" i="7"/>
  <c r="X135" i="7"/>
  <c r="X131" i="7"/>
  <c r="BL128" i="7"/>
  <c r="CO126" i="7"/>
  <c r="CN136" i="7"/>
  <c r="CG129" i="7"/>
  <c r="DI124" i="7"/>
  <c r="G123" i="7"/>
  <c r="AS121" i="7"/>
  <c r="U131" i="7"/>
  <c r="J126" i="7"/>
  <c r="BA123" i="7"/>
  <c r="CM121" i="7"/>
  <c r="CY126" i="7"/>
  <c r="CE121" i="7"/>
  <c r="CP126" i="7"/>
  <c r="AJ136" i="7"/>
  <c r="BL135" i="7"/>
  <c r="CN134" i="7"/>
  <c r="K134" i="7"/>
  <c r="AM133" i="7"/>
  <c r="BO132" i="7"/>
  <c r="CQ131" i="7"/>
  <c r="N131" i="7"/>
  <c r="BA136" i="7"/>
  <c r="AV136" i="7"/>
  <c r="AH135" i="7"/>
  <c r="W134" i="7"/>
  <c r="I133" i="7"/>
  <c r="DC131" i="7"/>
  <c r="CO130" i="7"/>
  <c r="BT135" i="7"/>
  <c r="BH134" i="7"/>
  <c r="AU133" i="7"/>
  <c r="DA136" i="7"/>
  <c r="AE135" i="7"/>
  <c r="BQ133" i="7"/>
  <c r="CW131" i="7"/>
  <c r="AI136" i="7"/>
  <c r="BC134" i="7"/>
  <c r="CO132" i="7"/>
  <c r="BK131" i="7"/>
  <c r="BI130" i="7"/>
  <c r="CK129" i="7"/>
  <c r="H129" i="7"/>
  <c r="AJ128" i="7"/>
  <c r="BL127" i="7"/>
  <c r="CN126" i="7"/>
  <c r="K126" i="7"/>
  <c r="AM125" i="7"/>
  <c r="BO124" i="7"/>
  <c r="BC136" i="7"/>
  <c r="AP135" i="7"/>
  <c r="BE136" i="7"/>
  <c r="E134" i="7"/>
  <c r="BD131" i="7"/>
  <c r="DA134" i="7"/>
  <c r="AR132" i="7"/>
  <c r="CD130" i="7"/>
  <c r="BP129" i="7"/>
  <c r="BE128" i="7"/>
  <c r="AQ127" i="7"/>
  <c r="AF126" i="7"/>
  <c r="R125" i="7"/>
  <c r="CH136" i="7"/>
  <c r="K135" i="7"/>
  <c r="CG133" i="7"/>
  <c r="BT132" i="7"/>
  <c r="BH131" i="7"/>
  <c r="BG130" i="7"/>
  <c r="CI129" i="7"/>
  <c r="F129" i="7"/>
  <c r="L136" i="7"/>
  <c r="AB132" i="7"/>
  <c r="AY134" i="7"/>
  <c r="AA131" i="7"/>
  <c r="AU129" i="7"/>
  <c r="CA127" i="7"/>
  <c r="H126" i="7"/>
  <c r="AQ124" i="7"/>
  <c r="CJ134" i="7"/>
  <c r="DD132" i="7"/>
  <c r="AK131" i="7"/>
  <c r="DG129" i="7"/>
  <c r="CV128" i="7"/>
  <c r="DI127" i="7"/>
  <c r="AF127" i="7"/>
  <c r="BH126" i="7"/>
  <c r="CJ125" i="7"/>
  <c r="Y136" i="7"/>
  <c r="CR132" i="7"/>
  <c r="CY129" i="7"/>
  <c r="BZ127" i="7"/>
  <c r="BA125" i="7"/>
  <c r="AA124" i="7"/>
  <c r="BC123" i="7"/>
  <c r="CE122" i="7"/>
  <c r="DG121" i="7"/>
  <c r="AD121" i="7"/>
  <c r="CG134" i="7"/>
  <c r="AV131" i="7"/>
  <c r="DC128" i="7"/>
  <c r="CD126" i="7"/>
  <c r="CR124" i="7"/>
  <c r="CW123" i="7"/>
  <c r="T123" i="7"/>
  <c r="AV122" i="7"/>
  <c r="BX121" i="7"/>
  <c r="Y125" i="7"/>
  <c r="BV129" i="7"/>
  <c r="G134" i="7"/>
  <c r="P128" i="7"/>
  <c r="DD134" i="7"/>
  <c r="AS124" i="7"/>
  <c r="CS136" i="7"/>
  <c r="CL127" i="7"/>
  <c r="DI123" i="7"/>
  <c r="AS122" i="7"/>
  <c r="K132" i="7"/>
  <c r="CV122" i="7"/>
  <c r="I130" i="7"/>
  <c r="AG123" i="7"/>
  <c r="AZ131" i="7"/>
  <c r="BW123" i="7"/>
  <c r="CR133" i="7"/>
  <c r="BY129" i="7"/>
  <c r="BG136" i="7"/>
  <c r="BA130" i="7"/>
  <c r="Z127" i="7"/>
  <c r="Z135" i="7"/>
  <c r="CT125" i="7"/>
  <c r="BY122" i="7"/>
  <c r="CI132" i="7"/>
  <c r="J125" i="7"/>
  <c r="X122" i="7"/>
  <c r="AM124" i="7"/>
  <c r="J129" i="7"/>
  <c r="AZ122" i="7"/>
  <c r="AB129" i="7"/>
  <c r="CP122" i="7"/>
  <c r="BV131" i="7"/>
  <c r="BN128" i="7"/>
  <c r="DB134" i="7"/>
  <c r="CC129" i="7"/>
  <c r="CL126" i="7"/>
  <c r="DF132" i="7"/>
  <c r="CU124" i="7"/>
  <c r="W122" i="7"/>
  <c r="CY130" i="7"/>
  <c r="AL124" i="7"/>
  <c r="CD121" i="7"/>
  <c r="AJ123" i="7"/>
  <c r="BO126" i="7"/>
  <c r="I134" i="7"/>
  <c r="AN122" i="7"/>
  <c r="BL134" i="7"/>
  <c r="G127" i="7"/>
  <c r="AW133" i="7"/>
  <c r="CD128" i="7"/>
  <c r="U126" i="7"/>
  <c r="L130" i="7"/>
  <c r="F124" i="7"/>
  <c r="BH121" i="7"/>
  <c r="G129" i="7"/>
  <c r="BP123" i="7"/>
  <c r="P121" i="7"/>
  <c r="DF121" i="7"/>
  <c r="N124" i="7"/>
  <c r="CE128" i="7"/>
  <c r="N121" i="7"/>
  <c r="M133" i="7"/>
  <c r="DH129" i="7"/>
  <c r="BS128" i="7"/>
  <c r="CN121" i="7"/>
  <c r="DI134" i="7"/>
  <c r="BV130" i="7"/>
  <c r="BR126" i="7"/>
  <c r="AL125" i="7"/>
  <c r="BK130" i="7"/>
  <c r="AO135" i="7"/>
  <c r="DE128" i="7"/>
  <c r="AF124" i="7"/>
  <c r="CK123" i="7"/>
  <c r="BJ124" i="7"/>
  <c r="V121" i="7"/>
  <c r="CU130" i="7"/>
  <c r="AI126" i="7"/>
  <c r="CB130" i="7"/>
  <c r="BT126" i="7"/>
  <c r="M129" i="7"/>
  <c r="CQ122" i="7"/>
  <c r="AP130" i="7"/>
  <c r="BM125" i="7"/>
  <c r="AF123" i="7"/>
  <c r="BU121" i="7"/>
  <c r="K125" i="7"/>
  <c r="AU121" i="7"/>
  <c r="BP125" i="7"/>
  <c r="CK121" i="7"/>
  <c r="CG126" i="7"/>
  <c r="V122" i="7"/>
  <c r="X134" i="7"/>
  <c r="Y127" i="7"/>
  <c r="AI133" i="7"/>
  <c r="CM128" i="7"/>
  <c r="L126" i="7"/>
  <c r="AM130" i="7"/>
  <c r="DH123" i="7"/>
  <c r="BK121" i="7"/>
  <c r="CK128" i="7"/>
  <c r="BY123" i="7"/>
  <c r="J121" i="7"/>
  <c r="J122" i="7"/>
  <c r="AV124" i="7"/>
  <c r="BV136" i="7"/>
  <c r="DG124" i="7"/>
  <c r="AO121" i="7"/>
  <c r="Q132" i="7"/>
  <c r="N126" i="7"/>
  <c r="AJ132" i="7"/>
  <c r="Y128" i="7"/>
  <c r="BX125" i="7"/>
  <c r="CQ128" i="7"/>
  <c r="BI123" i="7"/>
  <c r="I121" i="7"/>
  <c r="BK127" i="7"/>
  <c r="W123" i="7"/>
  <c r="CA131" i="7"/>
  <c r="K121" i="7"/>
  <c r="O123" i="7"/>
  <c r="AE126" i="7"/>
  <c r="BF135" i="7"/>
  <c r="AE130" i="7"/>
  <c r="BC124" i="7"/>
  <c r="CS130" i="7"/>
  <c r="BJ127" i="7"/>
  <c r="AL136" i="7"/>
  <c r="CJ126" i="7"/>
  <c r="CZ122" i="7"/>
  <c r="AE134" i="7"/>
  <c r="BV125" i="7"/>
  <c r="BB122" i="7"/>
  <c r="BY125" i="7"/>
  <c r="Y131" i="7"/>
  <c r="CT121" i="7"/>
  <c r="CO123" i="7"/>
  <c r="BU130" i="7"/>
  <c r="CB127" i="7"/>
  <c r="P123" i="7"/>
  <c r="BZ122" i="7"/>
  <c r="Y122" i="7"/>
  <c r="U128" i="7"/>
  <c r="BN126" i="7"/>
  <c r="E122" i="7"/>
  <c r="BL121" i="7"/>
  <c r="X132" i="7"/>
  <c r="BQ125" i="7"/>
  <c r="BC125" i="7"/>
  <c r="BD136" i="7"/>
  <c r="CV129" i="7"/>
  <c r="P125" i="7"/>
  <c r="BS134" i="7"/>
  <c r="DB127" i="7"/>
  <c r="AO132" i="7"/>
  <c r="AR127" i="7"/>
  <c r="BR131" i="7"/>
  <c r="BO123" i="7"/>
  <c r="BG133" i="7"/>
  <c r="BU126" i="7"/>
  <c r="BS123" i="7"/>
  <c r="F122" i="7"/>
  <c r="AU128" i="7"/>
  <c r="S122" i="7"/>
  <c r="CO127" i="7"/>
  <c r="BI122" i="7"/>
  <c r="DF128" i="7"/>
  <c r="CY122" i="7"/>
  <c r="Q131" i="7"/>
  <c r="AV128" i="7"/>
  <c r="BN134" i="7"/>
  <c r="BW129" i="7"/>
  <c r="BW126" i="7"/>
  <c r="BQ132" i="7"/>
  <c r="BY124" i="7"/>
  <c r="Q122" i="7"/>
  <c r="BH130" i="7"/>
  <c r="Y124" i="7"/>
  <c r="BR121" i="7"/>
  <c r="AA123" i="7"/>
  <c r="CQ125" i="7"/>
  <c r="CB121" i="7"/>
  <c r="DH126" i="7"/>
  <c r="M122" i="7"/>
  <c r="CD134" i="7"/>
  <c r="AH127" i="7"/>
  <c r="BO133" i="7"/>
  <c r="CY128" i="7"/>
  <c r="AA126" i="7"/>
  <c r="BE130" i="7"/>
  <c r="O124" i="7"/>
  <c r="BT121" i="7"/>
  <c r="P129" i="7"/>
  <c r="CB123" i="7"/>
  <c r="Y121" i="7"/>
  <c r="AB122" i="7"/>
  <c r="W124" i="7"/>
  <c r="BC129" i="7"/>
  <c r="AF121" i="7"/>
  <c r="CU131" i="7"/>
  <c r="CL125" i="7"/>
  <c r="W132" i="7"/>
  <c r="J128" i="7"/>
  <c r="BO125" i="7"/>
  <c r="BG128" i="7"/>
  <c r="BF123" i="7"/>
  <c r="CE136" i="7"/>
  <c r="AJ127" i="7"/>
  <c r="H123" i="7"/>
  <c r="DC130" i="7"/>
  <c r="G136" i="7"/>
  <c r="DB122" i="7"/>
  <c r="BG125" i="7"/>
  <c r="AT132" i="7"/>
  <c r="CO129" i="7"/>
  <c r="H125" i="7"/>
  <c r="AU124" i="7"/>
  <c r="AM127" i="7"/>
  <c r="BN132" i="7"/>
  <c r="AH128" i="7"/>
  <c r="BX123" i="7"/>
  <c r="Z123" i="7"/>
  <c r="AP123" i="7"/>
  <c r="AX129" i="7"/>
  <c r="T127" i="7"/>
  <c r="BJ122" i="7"/>
  <c r="O122" i="7"/>
  <c r="Q121" i="7"/>
  <c r="X60" i="4"/>
  <c r="Y60" i="4" s="1"/>
  <c r="FK33" i="4" s="1"/>
  <c r="B78" i="7" s="1"/>
  <c r="CQ150" i="7" s="1"/>
  <c r="B73" i="7"/>
  <c r="C63" i="5"/>
  <c r="X64" i="4"/>
  <c r="Y64" i="4" s="1"/>
  <c r="FR23" i="4" s="1"/>
  <c r="B79" i="7" s="1"/>
  <c r="BR137" i="7" l="1"/>
  <c r="BR4" i="7" s="1"/>
  <c r="BL137" i="7"/>
  <c r="BL4" i="7" s="1"/>
  <c r="I137" i="7"/>
  <c r="I4" i="7" s="1"/>
  <c r="R4" i="9" s="1"/>
  <c r="CN137" i="7"/>
  <c r="CN4" i="7" s="1"/>
  <c r="AD137" i="7"/>
  <c r="AD4" i="7" s="1"/>
  <c r="AM4" i="9" s="1"/>
  <c r="BU137" i="7"/>
  <c r="BU4" i="7" s="1"/>
  <c r="CE137" i="7"/>
  <c r="CE4" i="7" s="1"/>
  <c r="CZ137" i="7"/>
  <c r="CZ4" i="7" s="1"/>
  <c r="BJ137" i="7"/>
  <c r="BJ4" i="7" s="1"/>
  <c r="T137" i="7"/>
  <c r="T4" i="7" s="1"/>
  <c r="AC4" i="9" s="1"/>
  <c r="BI137" i="7"/>
  <c r="BI4" i="7" s="1"/>
  <c r="DF153" i="7"/>
  <c r="CW153" i="7"/>
  <c r="CN153" i="7"/>
  <c r="CE153" i="7"/>
  <c r="BV153" i="7"/>
  <c r="BM153" i="7"/>
  <c r="BD153" i="7"/>
  <c r="AU153" i="7"/>
  <c r="AL153" i="7"/>
  <c r="AC153" i="7"/>
  <c r="T153" i="7"/>
  <c r="K153" i="7"/>
  <c r="DG152" i="7"/>
  <c r="CX152" i="7"/>
  <c r="CO152" i="7"/>
  <c r="CF152" i="7"/>
  <c r="BW152" i="7"/>
  <c r="BN152" i="7"/>
  <c r="BE152" i="7"/>
  <c r="AV152" i="7"/>
  <c r="AM152" i="7"/>
  <c r="AD152" i="7"/>
  <c r="U152" i="7"/>
  <c r="L152" i="7"/>
  <c r="DE153" i="7"/>
  <c r="CZ153" i="7"/>
  <c r="CK153" i="7"/>
  <c r="BY153" i="7"/>
  <c r="BJ153" i="7"/>
  <c r="AX153" i="7"/>
  <c r="AI153" i="7"/>
  <c r="W153" i="7"/>
  <c r="H153" i="7"/>
  <c r="DA152" i="7"/>
  <c r="CL152" i="7"/>
  <c r="BZ152" i="7"/>
  <c r="BK152" i="7"/>
  <c r="AY152" i="7"/>
  <c r="AJ152" i="7"/>
  <c r="X152" i="7"/>
  <c r="I152" i="7"/>
  <c r="CV153" i="7"/>
  <c r="CI153" i="7"/>
  <c r="BU153" i="7"/>
  <c r="BH153" i="7"/>
  <c r="AT153" i="7"/>
  <c r="AG153" i="7"/>
  <c r="S153" i="7"/>
  <c r="F153" i="7"/>
  <c r="CW152" i="7"/>
  <c r="CJ152" i="7"/>
  <c r="BV152" i="7"/>
  <c r="BI152" i="7"/>
  <c r="AU152" i="7"/>
  <c r="AH152" i="7"/>
  <c r="T152" i="7"/>
  <c r="G152" i="7"/>
  <c r="CU153" i="7"/>
  <c r="CA153" i="7"/>
  <c r="BF153" i="7"/>
  <c r="AM153" i="7"/>
  <c r="R153" i="7"/>
  <c r="DC152" i="7"/>
  <c r="CH152" i="7"/>
  <c r="BO152" i="7"/>
  <c r="AT152" i="7"/>
  <c r="Z152" i="7"/>
  <c r="E152" i="7"/>
  <c r="CF153" i="7"/>
  <c r="BB153" i="7"/>
  <c r="V153" i="7"/>
  <c r="CY152" i="7"/>
  <c r="BS152" i="7"/>
  <c r="AO152" i="7"/>
  <c r="J152" i="7"/>
  <c r="CC153" i="7"/>
  <c r="AJ153" i="7"/>
  <c r="CT152" i="7"/>
  <c r="BC152" i="7"/>
  <c r="H152" i="7"/>
  <c r="BR153" i="7"/>
  <c r="AA153" i="7"/>
  <c r="CK152" i="7"/>
  <c r="AR152" i="7"/>
  <c r="DD153" i="7"/>
  <c r="BY152" i="7"/>
  <c r="AD153" i="7"/>
  <c r="CL153" i="7"/>
  <c r="Q152" i="7"/>
  <c r="DC153" i="7"/>
  <c r="DC154" i="7" s="1"/>
  <c r="DC7" i="7" s="1"/>
  <c r="CH153" i="7"/>
  <c r="BP153" i="7"/>
  <c r="AR153" i="7"/>
  <c r="AR154" i="7" s="1"/>
  <c r="AR7" i="7" s="1"/>
  <c r="BA7" i="9" s="1"/>
  <c r="Z153" i="7"/>
  <c r="Z154" i="7" s="1"/>
  <c r="Z7" i="7" s="1"/>
  <c r="AI7" i="9" s="1"/>
  <c r="E153" i="7"/>
  <c r="CR152" i="7"/>
  <c r="BT152" i="7"/>
  <c r="BB152" i="7"/>
  <c r="AG152" i="7"/>
  <c r="O152" i="7"/>
  <c r="CR153" i="7"/>
  <c r="BZ153" i="7"/>
  <c r="BZ154" i="7" s="1"/>
  <c r="BZ7" i="7" s="1"/>
  <c r="BC153" i="7"/>
  <c r="BC154" i="7" s="1"/>
  <c r="BC7" i="7" s="1"/>
  <c r="AK153" i="7"/>
  <c r="O153" i="7"/>
  <c r="DB152" i="7"/>
  <c r="CE152" i="7"/>
  <c r="BM152" i="7"/>
  <c r="AQ152" i="7"/>
  <c r="Y152" i="7"/>
  <c r="DH153" i="7"/>
  <c r="CG153" i="7"/>
  <c r="AZ153" i="7"/>
  <c r="Y153" i="7"/>
  <c r="CV152" i="7"/>
  <c r="BU152" i="7"/>
  <c r="AN152" i="7"/>
  <c r="M152" i="7"/>
  <c r="BW153" i="7"/>
  <c r="BW154" i="7" s="1"/>
  <c r="BW7" i="7" s="1"/>
  <c r="AH153" i="7"/>
  <c r="CM152" i="7"/>
  <c r="AX152" i="7"/>
  <c r="DG153" i="7"/>
  <c r="AW153" i="7"/>
  <c r="CG152" i="7"/>
  <c r="W152" i="7"/>
  <c r="BE153" i="7"/>
  <c r="BE154" i="7" s="1"/>
  <c r="BE7" i="7" s="1"/>
  <c r="CZ152" i="7"/>
  <c r="AB152" i="7"/>
  <c r="P153" i="7"/>
  <c r="CQ152" i="7"/>
  <c r="AV153" i="7"/>
  <c r="CT153" i="7"/>
  <c r="CB153" i="7"/>
  <c r="BG153" i="7"/>
  <c r="AO153" i="7"/>
  <c r="Q153" i="7"/>
  <c r="Q154" i="7" s="1"/>
  <c r="Q7" i="7" s="1"/>
  <c r="Z7" i="9" s="1"/>
  <c r="DD152" i="7"/>
  <c r="CI152" i="7"/>
  <c r="BQ152" i="7"/>
  <c r="AS152" i="7"/>
  <c r="AA152" i="7"/>
  <c r="F152" i="7"/>
  <c r="CM153" i="7"/>
  <c r="BQ153" i="7"/>
  <c r="AY153" i="7"/>
  <c r="AY154" i="7" s="1"/>
  <c r="AY7" i="7" s="1"/>
  <c r="AB153" i="7"/>
  <c r="AB154" i="7" s="1"/>
  <c r="AB7" i="7" s="1"/>
  <c r="AK7" i="9" s="1"/>
  <c r="J153" i="7"/>
  <c r="CS152" i="7"/>
  <c r="CA152" i="7"/>
  <c r="BD152" i="7"/>
  <c r="AL152" i="7"/>
  <c r="P152" i="7"/>
  <c r="DB153" i="7"/>
  <c r="DB154" i="7" s="1"/>
  <c r="DB7" i="7" s="1"/>
  <c r="BT153" i="7"/>
  <c r="AS153" i="7"/>
  <c r="AS154" i="7" s="1"/>
  <c r="AS7" i="7" s="1"/>
  <c r="BB7" i="9" s="1"/>
  <c r="L153" i="7"/>
  <c r="CP152" i="7"/>
  <c r="BG152" i="7"/>
  <c r="AF152" i="7"/>
  <c r="CY153" i="7"/>
  <c r="BK153" i="7"/>
  <c r="M153" i="7"/>
  <c r="M154" i="7" s="1"/>
  <c r="M7" i="7" s="1"/>
  <c r="V7" i="9" s="1"/>
  <c r="CD152" i="7"/>
  <c r="AE152" i="7"/>
  <c r="CS153" i="7"/>
  <c r="U153" i="7"/>
  <c r="U154" i="7" s="1"/>
  <c r="U7" i="7" s="1"/>
  <c r="AD7" i="9" s="1"/>
  <c r="BP152" i="7"/>
  <c r="CX153" i="7"/>
  <c r="AN153" i="7"/>
  <c r="BX152" i="7"/>
  <c r="N152" i="7"/>
  <c r="AI152" i="7"/>
  <c r="AW152" i="7"/>
  <c r="DE152" i="7"/>
  <c r="CQ153" i="7"/>
  <c r="CQ154" i="7" s="1"/>
  <c r="CQ7" i="7" s="1"/>
  <c r="AF153" i="7"/>
  <c r="CC152" i="7"/>
  <c r="R152" i="7"/>
  <c r="BL153" i="7"/>
  <c r="DF152" i="7"/>
  <c r="AZ152" i="7"/>
  <c r="CO153" i="7"/>
  <c r="CO154" i="7" s="1"/>
  <c r="CO7" i="7" s="1"/>
  <c r="DI152" i="7"/>
  <c r="S152" i="7"/>
  <c r="DH152" i="7"/>
  <c r="BO153" i="7"/>
  <c r="CJ153" i="7"/>
  <c r="BI153" i="7"/>
  <c r="BS153" i="7"/>
  <c r="BS154" i="7" s="1"/>
  <c r="BS7" i="7" s="1"/>
  <c r="BH152" i="7"/>
  <c r="DA153" i="7"/>
  <c r="AP153" i="7"/>
  <c r="AC152" i="7"/>
  <c r="BN153" i="7"/>
  <c r="BN154" i="7" s="1"/>
  <c r="BN7" i="7" s="1"/>
  <c r="CB152" i="7"/>
  <c r="CP153" i="7"/>
  <c r="CP154" i="7" s="1"/>
  <c r="CP7" i="7" s="1"/>
  <c r="G153" i="7"/>
  <c r="G154" i="7" s="1"/>
  <c r="G7" i="7" s="1"/>
  <c r="P7" i="9" s="1"/>
  <c r="I153" i="7"/>
  <c r="BX153" i="7"/>
  <c r="DI153" i="7"/>
  <c r="AP152" i="7"/>
  <c r="BR152" i="7"/>
  <c r="BA152" i="7"/>
  <c r="AK152" i="7"/>
  <c r="BL152" i="7"/>
  <c r="N153" i="7"/>
  <c r="CN152" i="7"/>
  <c r="BJ152" i="7"/>
  <c r="BA153" i="7"/>
  <c r="BA154" i="7" s="1"/>
  <c r="BA7" i="7" s="1"/>
  <c r="CU152" i="7"/>
  <c r="CD153" i="7"/>
  <c r="CD154" i="7" s="1"/>
  <c r="CD7" i="7" s="1"/>
  <c r="X153" i="7"/>
  <c r="K152" i="7"/>
  <c r="AE153" i="7"/>
  <c r="AQ153" i="7"/>
  <c r="V152" i="7"/>
  <c r="BF152" i="7"/>
  <c r="CQ147" i="7"/>
  <c r="CO148" i="7"/>
  <c r="T147" i="7"/>
  <c r="AB149" i="7"/>
  <c r="CP148" i="7"/>
  <c r="AD148" i="7"/>
  <c r="CS150" i="7"/>
  <c r="BC147" i="7"/>
  <c r="Q149" i="7"/>
  <c r="BV147" i="7"/>
  <c r="BQ150" i="7"/>
  <c r="E149" i="7"/>
  <c r="BT147" i="7"/>
  <c r="CH148" i="7"/>
  <c r="K150" i="7"/>
  <c r="G148" i="7"/>
  <c r="AU149" i="7"/>
  <c r="AY150" i="7"/>
  <c r="BH150" i="7"/>
  <c r="BH148" i="7"/>
  <c r="AJ147" i="7"/>
  <c r="AX148" i="7"/>
  <c r="BN149" i="7"/>
  <c r="CE150" i="7"/>
  <c r="CH149" i="7"/>
  <c r="AT147" i="7"/>
  <c r="K149" i="7"/>
  <c r="DH147" i="7"/>
  <c r="CM150" i="7"/>
  <c r="AY148" i="7"/>
  <c r="BR149" i="7"/>
  <c r="DB150" i="7"/>
  <c r="BE147" i="7"/>
  <c r="DG147" i="7"/>
  <c r="BD148" i="7"/>
  <c r="BA149" i="7"/>
  <c r="BW149" i="7"/>
  <c r="BB150" i="7"/>
  <c r="CQ148" i="7"/>
  <c r="BX149" i="7"/>
  <c r="BC150" i="7"/>
  <c r="DA149" i="7"/>
  <c r="BF150" i="7"/>
  <c r="AX150" i="7"/>
  <c r="CZ150" i="7"/>
  <c r="CB137" i="7"/>
  <c r="CB4" i="7" s="1"/>
  <c r="BX137" i="7"/>
  <c r="BX4" i="7" s="1"/>
  <c r="AS137" i="7"/>
  <c r="AS4" i="7" s="1"/>
  <c r="O137" i="7"/>
  <c r="O4" i="7" s="1"/>
  <c r="CO137" i="7"/>
  <c r="CO4" i="7" s="1"/>
  <c r="BQ137" i="7"/>
  <c r="BQ4" i="7" s="1"/>
  <c r="BG137" i="7"/>
  <c r="BG4" i="7" s="1"/>
  <c r="DB137" i="7"/>
  <c r="DB4" i="7" s="1"/>
  <c r="DC137" i="7"/>
  <c r="DC4" i="7" s="1"/>
  <c r="F137" i="7"/>
  <c r="F4" i="7" s="1"/>
  <c r="CG137" i="7"/>
  <c r="CG4" i="7" s="1"/>
  <c r="AM137" i="7"/>
  <c r="AM4" i="7" s="1"/>
  <c r="BW137" i="7"/>
  <c r="BW4" i="7" s="1"/>
  <c r="AQ137" i="7"/>
  <c r="AQ4" i="7" s="1"/>
  <c r="BC137" i="7"/>
  <c r="BC4" i="7" s="1"/>
  <c r="AL137" i="7"/>
  <c r="AL4" i="7" s="1"/>
  <c r="BY137" i="7"/>
  <c r="BY4" i="7" s="1"/>
  <c r="AT137" i="7"/>
  <c r="AT4" i="7" s="1"/>
  <c r="DI137" i="7"/>
  <c r="DI4" i="7" s="1"/>
  <c r="AJ137" i="7"/>
  <c r="AJ4" i="7" s="1"/>
  <c r="CJ137" i="7"/>
  <c r="CJ4" i="7" s="1"/>
  <c r="AB137" i="7"/>
  <c r="AB4" i="7" s="1"/>
  <c r="AE137" i="7"/>
  <c r="AE4" i="7" s="1"/>
  <c r="BO137" i="7"/>
  <c r="BO4" i="7" s="1"/>
  <c r="U137" i="7"/>
  <c r="U4" i="7" s="1"/>
  <c r="Z65" i="4"/>
  <c r="BB77" i="4" s="1"/>
  <c r="AI147" i="7"/>
  <c r="T149" i="7"/>
  <c r="CX148" i="7"/>
  <c r="BV149" i="7"/>
  <c r="DI147" i="7"/>
  <c r="AL149" i="7"/>
  <c r="W147" i="7"/>
  <c r="BE148" i="7"/>
  <c r="CV149" i="7"/>
  <c r="BD147" i="7"/>
  <c r="DE148" i="7"/>
  <c r="AA147" i="7"/>
  <c r="AO148" i="7"/>
  <c r="DC149" i="7"/>
  <c r="CC150" i="7"/>
  <c r="CQ149" i="7"/>
  <c r="BC149" i="7"/>
  <c r="AA150" i="7"/>
  <c r="Y148" i="7"/>
  <c r="AR149" i="7"/>
  <c r="AR147" i="7"/>
  <c r="BR148" i="7"/>
  <c r="S150" i="7"/>
  <c r="BI147" i="7"/>
  <c r="R149" i="7"/>
  <c r="AP147" i="7"/>
  <c r="BA148" i="7"/>
  <c r="AD150" i="7"/>
  <c r="DD150" i="7"/>
  <c r="BX147" i="7"/>
  <c r="F150" i="7"/>
  <c r="M147" i="7"/>
  <c r="AE148" i="7"/>
  <c r="BU149" i="7"/>
  <c r="BF147" i="7"/>
  <c r="CL148" i="7"/>
  <c r="AE150" i="7"/>
  <c r="AB148" i="7"/>
  <c r="O150" i="7"/>
  <c r="CR147" i="7"/>
  <c r="G149" i="7"/>
  <c r="CO149" i="7"/>
  <c r="DF150" i="7"/>
  <c r="O148" i="7"/>
  <c r="BU148" i="7"/>
  <c r="AA149" i="7"/>
  <c r="CZ149" i="7"/>
  <c r="F147" i="7"/>
  <c r="AS147" i="7"/>
  <c r="CI147" i="7"/>
  <c r="Q148" i="7"/>
  <c r="BG148" i="7"/>
  <c r="CW148" i="7"/>
  <c r="BF149" i="7"/>
  <c r="AP150" i="7"/>
  <c r="CC149" i="7"/>
  <c r="AC150" i="7"/>
  <c r="AL150" i="7"/>
  <c r="CT150" i="7"/>
  <c r="N147" i="7"/>
  <c r="AN148" i="7"/>
  <c r="CD147" i="7"/>
  <c r="BR150" i="7"/>
  <c r="CP147" i="7"/>
  <c r="BT148" i="7"/>
  <c r="BI149" i="7"/>
  <c r="DG150" i="7"/>
  <c r="CT147" i="7"/>
  <c r="BX148" i="7"/>
  <c r="BP149" i="7"/>
  <c r="G147" i="7"/>
  <c r="BR147" i="7"/>
  <c r="S148" i="7"/>
  <c r="CD148" i="7"/>
  <c r="AF149" i="7"/>
  <c r="I150" i="7"/>
  <c r="I147" i="7"/>
  <c r="AY147" i="7"/>
  <c r="CL147" i="7"/>
  <c r="W148" i="7"/>
  <c r="BJ148" i="7"/>
  <c r="DF148" i="7"/>
  <c r="BO149" i="7"/>
  <c r="BI150" i="7"/>
  <c r="CF149" i="7"/>
  <c r="AN150" i="7"/>
  <c r="AR150" i="7"/>
  <c r="DC150" i="7"/>
  <c r="BO148" i="7"/>
  <c r="R150" i="7"/>
  <c r="BI148" i="7"/>
  <c r="CF150" i="7"/>
  <c r="BW148" i="7"/>
  <c r="E147" i="7"/>
  <c r="BO147" i="7"/>
  <c r="R148" i="7"/>
  <c r="CA148" i="7"/>
  <c r="AD149" i="7"/>
  <c r="DI149" i="7"/>
  <c r="J147" i="7"/>
  <c r="BS147" i="7"/>
  <c r="V148" i="7"/>
  <c r="CF148" i="7"/>
  <c r="AI149" i="7"/>
  <c r="J150" i="7"/>
  <c r="K147" i="7"/>
  <c r="AZ147" i="7"/>
  <c r="CN147" i="7"/>
  <c r="X148" i="7"/>
  <c r="BL148" i="7"/>
  <c r="DA148" i="7"/>
  <c r="AJ149" i="7"/>
  <c r="CM149" i="7"/>
  <c r="AT150" i="7"/>
  <c r="L147" i="7"/>
  <c r="AM147" i="7"/>
  <c r="BN147" i="7"/>
  <c r="CO147" i="7"/>
  <c r="K148" i="7"/>
  <c r="AL148" i="7"/>
  <c r="BM148" i="7"/>
  <c r="CN148" i="7"/>
  <c r="Y149" i="7"/>
  <c r="BS149" i="7"/>
  <c r="Y150" i="7"/>
  <c r="DE150" i="7"/>
  <c r="CL149" i="7"/>
  <c r="T150" i="7"/>
  <c r="BX150" i="7"/>
  <c r="AU150" i="7"/>
  <c r="CK150" i="7"/>
  <c r="CZ148" i="7"/>
  <c r="V149" i="7"/>
  <c r="AW149" i="7"/>
  <c r="CK149" i="7"/>
  <c r="U150" i="7"/>
  <c r="BW150" i="7"/>
  <c r="BH149" i="7"/>
  <c r="CI149" i="7"/>
  <c r="E150" i="7"/>
  <c r="AF150" i="7"/>
  <c r="BT150" i="7"/>
  <c r="DH150" i="7"/>
  <c r="BG150" i="7"/>
  <c r="CH150" i="7"/>
  <c r="DI150" i="7"/>
  <c r="AF137" i="7"/>
  <c r="AF4" i="7" s="1"/>
  <c r="CT137" i="7"/>
  <c r="CT4" i="7" s="1"/>
  <c r="J137" i="7"/>
  <c r="J4" i="7" s="1"/>
  <c r="BK137" i="7"/>
  <c r="BK4" i="7" s="1"/>
  <c r="AU137" i="7"/>
  <c r="AU4" i="7" s="1"/>
  <c r="V137" i="7"/>
  <c r="V4" i="7" s="1"/>
  <c r="N137" i="7"/>
  <c r="N4" i="7" s="1"/>
  <c r="DF137" i="7"/>
  <c r="DF4" i="7" s="1"/>
  <c r="DG137" i="7"/>
  <c r="DG4" i="7" s="1"/>
  <c r="M137" i="7"/>
  <c r="M4" i="7" s="1"/>
  <c r="CL137" i="7"/>
  <c r="CL4" i="7" s="1"/>
  <c r="H137" i="7"/>
  <c r="H4" i="7" s="1"/>
  <c r="CY137" i="7"/>
  <c r="CY4" i="7" s="1"/>
  <c r="BE137" i="7"/>
  <c r="BE4" i="7" s="1"/>
  <c r="DA137" i="7"/>
  <c r="DA4" i="7" s="1"/>
  <c r="CW137" i="7"/>
  <c r="CW4" i="7" s="1"/>
  <c r="CV137" i="7"/>
  <c r="CV4" i="7" s="1"/>
  <c r="BB137" i="7"/>
  <c r="BB4" i="7" s="1"/>
  <c r="DD137" i="7"/>
  <c r="DD4" i="7" s="1"/>
  <c r="BP137" i="7"/>
  <c r="BP4" i="7" s="1"/>
  <c r="DE137" i="7"/>
  <c r="DE4" i="7" s="1"/>
  <c r="R137" i="7"/>
  <c r="R4" i="7" s="1"/>
  <c r="Z137" i="7"/>
  <c r="Z4" i="7" s="1"/>
  <c r="X137" i="7"/>
  <c r="X4" i="7" s="1"/>
  <c r="G137" i="7"/>
  <c r="G4" i="7" s="1"/>
  <c r="AK137" i="7"/>
  <c r="AK4" i="7" s="1"/>
  <c r="AR137" i="7"/>
  <c r="AR4" i="7" s="1"/>
  <c r="AZ137" i="7"/>
  <c r="AZ4" i="7" s="1"/>
  <c r="CI137" i="7"/>
  <c r="CI4" i="7" s="1"/>
  <c r="BV137" i="7"/>
  <c r="BV4" i="7" s="1"/>
  <c r="AW137" i="7"/>
  <c r="AW4" i="7" s="1"/>
  <c r="W137" i="7"/>
  <c r="W4" i="7" s="1"/>
  <c r="S137" i="7"/>
  <c r="S4" i="7" s="1"/>
  <c r="DH137" i="7"/>
  <c r="DH4" i="7" s="1"/>
  <c r="BN137" i="7"/>
  <c r="BN4" i="7" s="1"/>
  <c r="AA137" i="7"/>
  <c r="AA4" i="7" s="1"/>
  <c r="CX137" i="7"/>
  <c r="CX4" i="7" s="1"/>
  <c r="CK147" i="7"/>
  <c r="AH148" i="7"/>
  <c r="BU147" i="7"/>
  <c r="BL150" i="7"/>
  <c r="I148" i="7"/>
  <c r="AP149" i="7"/>
  <c r="AT148" i="7"/>
  <c r="BE150" i="7"/>
  <c r="DD147" i="7"/>
  <c r="DG149" i="7"/>
  <c r="BM149" i="7"/>
  <c r="U148" i="7"/>
  <c r="CB147" i="7"/>
  <c r="DH148" i="7"/>
  <c r="CO150" i="7"/>
  <c r="AV149" i="7"/>
  <c r="AH147" i="7"/>
  <c r="BQ148" i="7"/>
  <c r="N148" i="7"/>
  <c r="AT149" i="7"/>
  <c r="Z150" i="7"/>
  <c r="CC148" i="7"/>
  <c r="F149" i="7"/>
  <c r="CV147" i="7"/>
  <c r="Q147" i="7"/>
  <c r="AJ148" i="7"/>
  <c r="CA149" i="7"/>
  <c r="AO149" i="7"/>
  <c r="BB147" i="7"/>
  <c r="BP148" i="7"/>
  <c r="BA150" i="7"/>
  <c r="CW147" i="7"/>
  <c r="BC148" i="7"/>
  <c r="BY149" i="7"/>
  <c r="BN150" i="7"/>
  <c r="AG147" i="7"/>
  <c r="E148" i="7"/>
  <c r="AR148" i="7"/>
  <c r="AH149" i="7"/>
  <c r="L150" i="7"/>
  <c r="BE149" i="7"/>
  <c r="CL150" i="7"/>
  <c r="CB150" i="7"/>
  <c r="BP147" i="7"/>
  <c r="AM150" i="7"/>
  <c r="BG147" i="7"/>
  <c r="AS148" i="7"/>
  <c r="X149" i="7"/>
  <c r="BL147" i="7"/>
  <c r="AW148" i="7"/>
  <c r="AC149" i="7"/>
  <c r="AU147" i="7"/>
  <c r="DF147" i="7"/>
  <c r="N149" i="7"/>
  <c r="CE149" i="7"/>
  <c r="CI150" i="7"/>
  <c r="BZ147" i="7"/>
  <c r="H148" i="7"/>
  <c r="CK148" i="7"/>
  <c r="AQ149" i="7"/>
  <c r="P150" i="7"/>
  <c r="Q150" i="7"/>
  <c r="CY150" i="7"/>
  <c r="AZ150" i="7"/>
  <c r="AA148" i="7"/>
  <c r="DE147" i="7"/>
  <c r="M148" i="7"/>
  <c r="DB149" i="7"/>
  <c r="DC147" i="7"/>
  <c r="BF148" i="7"/>
  <c r="CD149" i="7"/>
  <c r="CA150" i="7"/>
  <c r="AX147" i="7"/>
  <c r="BK148" i="7"/>
  <c r="O149" i="7"/>
  <c r="CJ149" i="7"/>
  <c r="AL147" i="7"/>
  <c r="CA147" i="7"/>
  <c r="J148" i="7"/>
  <c r="CM148" i="7"/>
  <c r="W149" i="7"/>
  <c r="V150" i="7"/>
  <c r="AD147" i="7"/>
  <c r="CF147" i="7"/>
  <c r="AC148" i="7"/>
  <c r="CE148" i="7"/>
  <c r="J149" i="7"/>
  <c r="DH149" i="7"/>
  <c r="CD150" i="7"/>
  <c r="H150" i="7"/>
  <c r="AI150" i="7"/>
  <c r="BV150" i="7"/>
  <c r="M149" i="7"/>
  <c r="AN149" i="7"/>
  <c r="G150" i="7"/>
  <c r="AY149" i="7"/>
  <c r="BZ149" i="7"/>
  <c r="W150" i="7"/>
  <c r="CU150" i="7"/>
  <c r="BY150" i="7"/>
  <c r="C66" i="5"/>
  <c r="DI145" i="7"/>
  <c r="CH145" i="7"/>
  <c r="BG145" i="7"/>
  <c r="AF145" i="7"/>
  <c r="E145" i="7"/>
  <c r="CI144" i="7"/>
  <c r="BH144" i="7"/>
  <c r="AG144" i="7"/>
  <c r="F144" i="7"/>
  <c r="CJ143" i="7"/>
  <c r="BI143" i="7"/>
  <c r="AH143" i="7"/>
  <c r="CC145" i="7"/>
  <c r="AN145" i="7"/>
  <c r="DE144" i="7"/>
  <c r="BP144" i="7"/>
  <c r="AB144" i="7"/>
  <c r="CR143" i="7"/>
  <c r="BD143" i="7"/>
  <c r="T143" i="7"/>
  <c r="CX142" i="7"/>
  <c r="BW142" i="7"/>
  <c r="AV142" i="7"/>
  <c r="U142" i="7"/>
  <c r="CY141" i="7"/>
  <c r="BX141" i="7"/>
  <c r="AW141" i="7"/>
  <c r="V141" i="7"/>
  <c r="CZ140" i="7"/>
  <c r="BY140" i="7"/>
  <c r="AX140" i="7"/>
  <c r="W140" i="7"/>
  <c r="DA139" i="7"/>
  <c r="BZ139" i="7"/>
  <c r="AY139" i="7"/>
  <c r="X139" i="7"/>
  <c r="DB138" i="7"/>
  <c r="CA138" i="7"/>
  <c r="AZ138" i="7"/>
  <c r="Y138" i="7"/>
  <c r="CO145" i="7"/>
  <c r="AG145" i="7"/>
  <c r="CB144" i="7"/>
  <c r="T144" i="7"/>
  <c r="BP143" i="7"/>
  <c r="O143" i="7"/>
  <c r="CE142" i="7"/>
  <c r="AQ142" i="7"/>
  <c r="DG141" i="7"/>
  <c r="BS141" i="7"/>
  <c r="AD141" i="7"/>
  <c r="CU140" i="7"/>
  <c r="BF140" i="7"/>
  <c r="R140" i="7"/>
  <c r="CH139" i="7"/>
  <c r="AT139" i="7"/>
  <c r="E139" i="7"/>
  <c r="BV138" i="7"/>
  <c r="AG138" i="7"/>
  <c r="CR145" i="7"/>
  <c r="AH145" i="7"/>
  <c r="CE144" i="7"/>
  <c r="V144" i="7"/>
  <c r="BS143" i="7"/>
  <c r="P143" i="7"/>
  <c r="CG142" i="7"/>
  <c r="AR142" i="7"/>
  <c r="DI141" i="7"/>
  <c r="BT141" i="7"/>
  <c r="AF141" i="7"/>
  <c r="CV140" i="7"/>
  <c r="BH140" i="7"/>
  <c r="S140" i="7"/>
  <c r="CJ139" i="7"/>
  <c r="AU139" i="7"/>
  <c r="G139" i="7"/>
  <c r="BW138" i="7"/>
  <c r="AI138" i="7"/>
  <c r="BE145" i="7"/>
  <c r="CO143" i="7"/>
  <c r="BG142" i="7"/>
  <c r="AU141" i="7"/>
  <c r="AH140" i="7"/>
  <c r="V139" i="7"/>
  <c r="I138" i="7"/>
  <c r="AZ144" i="7"/>
  <c r="CZ142" i="7"/>
  <c r="CN141" i="7"/>
  <c r="CA140" i="7"/>
  <c r="BO139" i="7"/>
  <c r="BB138" i="7"/>
  <c r="AA143" i="7"/>
  <c r="CT139" i="7"/>
  <c r="Q144" i="7"/>
  <c r="BE140" i="7"/>
  <c r="BF144" i="7"/>
  <c r="CF140" i="7"/>
  <c r="DC145" i="7"/>
  <c r="BM145" i="7"/>
  <c r="Z145" i="7"/>
  <c r="CO144" i="7"/>
  <c r="BB144" i="7"/>
  <c r="L144" i="7"/>
  <c r="CD143" i="7"/>
  <c r="AN143" i="7"/>
  <c r="BT145" i="7"/>
  <c r="I145" i="7"/>
  <c r="BG144" i="7"/>
  <c r="DA143" i="7"/>
  <c r="AU143" i="7"/>
  <c r="DD142" i="7"/>
  <c r="BQ142" i="7"/>
  <c r="AA142" i="7"/>
  <c r="CS141" i="7"/>
  <c r="BC141" i="7"/>
  <c r="P141" i="7"/>
  <c r="CE140" i="7"/>
  <c r="AR140" i="7"/>
  <c r="DG139" i="7"/>
  <c r="BT139" i="7"/>
  <c r="AD139" i="7"/>
  <c r="CV138" i="7"/>
  <c r="BF138" i="7"/>
  <c r="S138" i="7"/>
  <c r="AT145" i="7"/>
  <c r="BO144" i="7"/>
  <c r="CC143" i="7"/>
  <c r="F143" i="7"/>
  <c r="AZ142" i="7"/>
  <c r="CX141" i="7"/>
  <c r="AM141" i="7"/>
  <c r="CL140" i="7"/>
  <c r="AA140" i="7"/>
  <c r="BY139" i="7"/>
  <c r="N139" i="7"/>
  <c r="BM138" i="7"/>
  <c r="DE145" i="7"/>
  <c r="U145" i="7"/>
  <c r="AI144" i="7"/>
  <c r="BE143" i="7"/>
  <c r="CP142" i="7"/>
  <c r="AI142" i="7"/>
  <c r="CC141" i="7"/>
  <c r="W141" i="7"/>
  <c r="BQ140" i="7"/>
  <c r="J140" i="7"/>
  <c r="BD139" i="7"/>
  <c r="DC138" i="7"/>
  <c r="AR138" i="7"/>
  <c r="P145" i="7"/>
  <c r="CH142" i="7"/>
  <c r="T141" i="7"/>
  <c r="AW139" i="7"/>
  <c r="CF145" i="7"/>
  <c r="V143" i="7"/>
  <c r="BM141" i="7"/>
  <c r="CP139" i="7"/>
  <c r="AA138" i="7"/>
  <c r="BR140" i="7"/>
  <c r="M143" i="7"/>
  <c r="BR145" i="7"/>
  <c r="DH139" i="7"/>
  <c r="CE145" i="7"/>
  <c r="T145" i="7"/>
  <c r="BT144" i="7"/>
  <c r="I144" i="7"/>
  <c r="BF143" i="7"/>
  <c r="BK145" i="7"/>
  <c r="CH144" i="7"/>
  <c r="CW143" i="7"/>
  <c r="Q143" i="7"/>
  <c r="BK142" i="7"/>
  <c r="F142" i="7"/>
  <c r="AZ141" i="7"/>
  <c r="CW140" i="7"/>
  <c r="AL140" i="7"/>
  <c r="CL139" i="7"/>
  <c r="AA139" i="7"/>
  <c r="BX138" i="7"/>
  <c r="M138" i="7"/>
  <c r="DC144" i="7"/>
  <c r="BW143" i="7"/>
  <c r="CA142" i="7"/>
  <c r="CO141" i="7"/>
  <c r="H141" i="7"/>
  <c r="V140" i="7"/>
  <c r="AO139" i="7"/>
  <c r="BD138" i="7"/>
  <c r="BI145" i="7"/>
  <c r="AC144" i="7"/>
  <c r="L143" i="7"/>
  <c r="Z142" i="7"/>
  <c r="AX141" i="7"/>
  <c r="BL140" i="7"/>
  <c r="CE139" i="7"/>
  <c r="CT138" i="7"/>
  <c r="L138" i="7"/>
  <c r="BU142" i="7"/>
  <c r="U140" i="7"/>
  <c r="AQ145" i="7"/>
  <c r="AK142" i="7"/>
  <c r="CB139" i="7"/>
  <c r="CQ142" i="7"/>
  <c r="AO142" i="7"/>
  <c r="AB142" i="7"/>
  <c r="BV145" i="7"/>
  <c r="Q145" i="7"/>
  <c r="BK144" i="7"/>
  <c r="DH143" i="7"/>
  <c r="AW143" i="7"/>
  <c r="BF145" i="7"/>
  <c r="BU144" i="7"/>
  <c r="CN143" i="7"/>
  <c r="H143" i="7"/>
  <c r="BH142" i="7"/>
  <c r="DB141" i="7"/>
  <c r="AT141" i="7"/>
  <c r="CN140" i="7"/>
  <c r="AI140" i="7"/>
  <c r="CC139" i="7"/>
  <c r="U139" i="7"/>
  <c r="BO138" i="7"/>
  <c r="J138" i="7"/>
  <c r="CJ144" i="7"/>
  <c r="BJ143" i="7"/>
  <c r="BM142" i="7"/>
  <c r="CK141" i="7"/>
  <c r="CY140" i="7"/>
  <c r="M140" i="7"/>
  <c r="AB139" i="7"/>
  <c r="AY138" i="7"/>
  <c r="AP145" i="7"/>
  <c r="P144" i="7"/>
  <c r="DC142" i="7"/>
  <c r="V142" i="7"/>
  <c r="AJ141" i="7"/>
  <c r="BC140" i="7"/>
  <c r="BR139" i="7"/>
  <c r="CO138" i="7"/>
  <c r="BZ145" i="7"/>
  <c r="AT142" i="7"/>
  <c r="CK139" i="7"/>
  <c r="X145" i="7"/>
  <c r="DA141" i="7"/>
  <c r="BA139" i="7"/>
  <c r="CE141" i="7"/>
  <c r="DF141" i="7"/>
  <c r="O141" i="7"/>
  <c r="AC145" i="7"/>
  <c r="BL143" i="7"/>
  <c r="E144" i="7"/>
  <c r="I142" i="7"/>
  <c r="AU140" i="7"/>
  <c r="CD138" i="7"/>
  <c r="CQ143" i="7"/>
  <c r="L141" i="7"/>
  <c r="BQ138" i="7"/>
  <c r="U143" i="7"/>
  <c r="BZ140" i="7"/>
  <c r="Q138" i="7"/>
  <c r="DA145" i="7"/>
  <c r="CH143" i="7"/>
  <c r="AP140" i="7"/>
  <c r="AQ140" i="7"/>
  <c r="CO140" i="7"/>
  <c r="BE144" i="7"/>
  <c r="AS145" i="7"/>
  <c r="E143" i="7"/>
  <c r="AK141" i="7"/>
  <c r="BW139" i="7"/>
  <c r="CV145" i="7"/>
  <c r="BI142" i="7"/>
  <c r="DE139" i="7"/>
  <c r="AB145" i="7"/>
  <c r="H142" i="7"/>
  <c r="CB138" i="7"/>
  <c r="BX139" i="7"/>
  <c r="CS140" i="7"/>
  <c r="CU144" i="7"/>
  <c r="CY145" i="7"/>
  <c r="AY143" i="7"/>
  <c r="CA141" i="7"/>
  <c r="BB139" i="7"/>
  <c r="BH145" i="7"/>
  <c r="Y142" i="7"/>
  <c r="CR138" i="7"/>
  <c r="BK143" i="7"/>
  <c r="DA140" i="7"/>
  <c r="DI143" i="7"/>
  <c r="BG143" i="7"/>
  <c r="BT138" i="7"/>
  <c r="CM139" i="7"/>
  <c r="BY143" i="7"/>
  <c r="CQ141" i="7"/>
  <c r="I141" i="7"/>
  <c r="X140" i="7"/>
  <c r="BE138" i="7"/>
  <c r="BM144" i="7"/>
  <c r="BH141" i="7"/>
  <c r="CB143" i="7"/>
  <c r="X141" i="7"/>
  <c r="BP138" i="7"/>
  <c r="DI138" i="7"/>
  <c r="CU138" i="7"/>
  <c r="BX145" i="7"/>
  <c r="W143" i="7"/>
  <c r="CO139" i="7"/>
  <c r="V138" i="7"/>
  <c r="AJ140" i="7"/>
  <c r="AN142" i="7"/>
  <c r="CN139" i="7"/>
  <c r="AX142" i="7"/>
  <c r="BZ141" i="7"/>
  <c r="BS145" i="7"/>
  <c r="CY143" i="7"/>
  <c r="AY142" i="7"/>
  <c r="L139" i="7"/>
  <c r="BV144" i="7"/>
  <c r="W139" i="7"/>
  <c r="AA141" i="7"/>
  <c r="BS144" i="7"/>
  <c r="DF145" i="7"/>
  <c r="R145" i="7"/>
  <c r="S141" i="7"/>
  <c r="Z144" i="7"/>
  <c r="AV141" i="7"/>
  <c r="BO142" i="7"/>
  <c r="O140" i="7"/>
  <c r="AO138" i="7"/>
  <c r="BM140" i="7"/>
  <c r="AS138" i="7"/>
  <c r="CZ145" i="7"/>
  <c r="BY145" i="7"/>
  <c r="AX145" i="7"/>
  <c r="W145" i="7"/>
  <c r="DA144" i="7"/>
  <c r="BZ144" i="7"/>
  <c r="AY144" i="7"/>
  <c r="X144" i="7"/>
  <c r="DB143" i="7"/>
  <c r="CA143" i="7"/>
  <c r="AZ143" i="7"/>
  <c r="DD145" i="7"/>
  <c r="BO145" i="7"/>
  <c r="AA145" i="7"/>
  <c r="CQ144" i="7"/>
  <c r="BC144" i="7"/>
  <c r="N144" i="7"/>
  <c r="CE143" i="7"/>
  <c r="AP143" i="7"/>
  <c r="K143" i="7"/>
  <c r="CO142" i="7"/>
  <c r="BN142" i="7"/>
  <c r="AM142" i="7"/>
  <c r="L142" i="7"/>
  <c r="CP141" i="7"/>
  <c r="BO141" i="7"/>
  <c r="AN141" i="7"/>
  <c r="M141" i="7"/>
  <c r="CQ140" i="7"/>
  <c r="BP140" i="7"/>
  <c r="AO140" i="7"/>
  <c r="N140" i="7"/>
  <c r="CR139" i="7"/>
  <c r="BQ139" i="7"/>
  <c r="AP139" i="7"/>
  <c r="O139" i="7"/>
  <c r="CS138" i="7"/>
  <c r="BR138" i="7"/>
  <c r="AQ138" i="7"/>
  <c r="P138" i="7"/>
  <c r="BU145" i="7"/>
  <c r="L145" i="7"/>
  <c r="BI144" i="7"/>
  <c r="DD143" i="7"/>
  <c r="AV143" i="7"/>
  <c r="DF142" i="7"/>
  <c r="BR142" i="7"/>
  <c r="AC142" i="7"/>
  <c r="CT141" i="7"/>
  <c r="BE141" i="7"/>
  <c r="Q141" i="7"/>
  <c r="CG140" i="7"/>
  <c r="AS140" i="7"/>
  <c r="DI139" i="7"/>
  <c r="BU139" i="7"/>
  <c r="AF139" i="7"/>
  <c r="CW138" i="7"/>
  <c r="BH138" i="7"/>
  <c r="T138" i="7"/>
  <c r="BW145" i="7"/>
  <c r="O145" i="7"/>
  <c r="BJ144" i="7"/>
  <c r="DG143" i="7"/>
  <c r="AX143" i="7"/>
  <c r="DH142" i="7"/>
  <c r="BS142" i="7"/>
  <c r="AE142" i="7"/>
  <c r="CU141" i="7"/>
  <c r="BG141" i="7"/>
  <c r="R141" i="7"/>
  <c r="CI140" i="7"/>
  <c r="AT140" i="7"/>
  <c r="F140" i="7"/>
  <c r="BV139" i="7"/>
  <c r="AH139" i="7"/>
  <c r="CX138" i="7"/>
  <c r="BJ138" i="7"/>
  <c r="U138" i="7"/>
  <c r="DB144" i="7"/>
  <c r="AF143" i="7"/>
  <c r="S142" i="7"/>
  <c r="F141" i="7"/>
  <c r="CY139" i="7"/>
  <c r="CL138" i="7"/>
  <c r="BL145" i="7"/>
  <c r="CU143" i="7"/>
  <c r="BL142" i="7"/>
  <c r="AY141" i="7"/>
  <c r="AM140" i="7"/>
  <c r="Z139" i="7"/>
  <c r="N138" i="7"/>
  <c r="N142" i="7"/>
  <c r="CH138" i="7"/>
  <c r="CD142" i="7"/>
  <c r="AR139" i="7"/>
  <c r="DE142" i="7"/>
  <c r="BS139" i="7"/>
  <c r="CN145" i="7"/>
  <c r="BA145" i="7"/>
  <c r="K145" i="7"/>
  <c r="CC144" i="7"/>
  <c r="AM144" i="7"/>
  <c r="DE143" i="7"/>
  <c r="BO143" i="7"/>
  <c r="DH145" i="7"/>
  <c r="AW145" i="7"/>
  <c r="CV144" i="7"/>
  <c r="AK144" i="7"/>
  <c r="CI143" i="7"/>
  <c r="Z143" i="7"/>
  <c r="CR142" i="7"/>
  <c r="BB142" i="7"/>
  <c r="O142" i="7"/>
  <c r="CD141" i="7"/>
  <c r="AQ141" i="7"/>
  <c r="DF140" i="7"/>
  <c r="BS140" i="7"/>
  <c r="AC140" i="7"/>
  <c r="CU139" i="7"/>
  <c r="BE139" i="7"/>
  <c r="R139" i="7"/>
  <c r="CG138" i="7"/>
  <c r="AT138" i="7"/>
  <c r="DB145" i="7"/>
  <c r="S145" i="7"/>
  <c r="AH144" i="7"/>
  <c r="BB143" i="7"/>
  <c r="CN142" i="7"/>
  <c r="AH142" i="7"/>
  <c r="CB141" i="7"/>
  <c r="U141" i="7"/>
  <c r="BO140" i="7"/>
  <c r="I140" i="7"/>
  <c r="BC139" i="7"/>
  <c r="DA138" i="7"/>
  <c r="AP138" i="7"/>
  <c r="CD145" i="7"/>
  <c r="CS144" i="7"/>
  <c r="H144" i="7"/>
  <c r="Y143" i="7"/>
  <c r="BX142" i="7"/>
  <c r="M142" i="7"/>
  <c r="BK141" i="7"/>
  <c r="DE140" i="7"/>
  <c r="AY140" i="7"/>
  <c r="CS139" i="7"/>
  <c r="AL139" i="7"/>
  <c r="CF138" i="7"/>
  <c r="Z138" i="7"/>
  <c r="Y144" i="7"/>
  <c r="AF142" i="7"/>
  <c r="BI140" i="7"/>
  <c r="CZ138" i="7"/>
  <c r="CN144" i="7"/>
  <c r="BY142" i="7"/>
  <c r="DB140" i="7"/>
  <c r="AN139" i="7"/>
  <c r="AL144" i="7"/>
  <c r="Q139" i="7"/>
  <c r="AC141" i="7"/>
  <c r="AS143" i="7"/>
  <c r="R138" i="7"/>
  <c r="BJ145" i="7"/>
  <c r="DG144" i="7"/>
  <c r="AV144" i="7"/>
  <c r="CV143" i="7"/>
  <c r="AK143" i="7"/>
  <c r="AJ145" i="7"/>
  <c r="AX144" i="7"/>
  <c r="BV143" i="7"/>
  <c r="DA142" i="7"/>
  <c r="AS142" i="7"/>
  <c r="CM141" i="7"/>
  <c r="AH141" i="7"/>
  <c r="CB140" i="7"/>
  <c r="T140" i="7"/>
  <c r="BN139" i="7"/>
  <c r="I139" i="7"/>
  <c r="BC138" i="7"/>
  <c r="CI145" i="7"/>
  <c r="BA144" i="7"/>
  <c r="AI143" i="7"/>
  <c r="AU142" i="7"/>
  <c r="BN141" i="7"/>
  <c r="CC140" i="7"/>
  <c r="CZ139" i="7"/>
  <c r="J139" i="7"/>
  <c r="AC138" i="7"/>
  <c r="G145" i="7"/>
  <c r="CT143" i="7"/>
  <c r="CK142" i="7"/>
  <c r="DD141" i="7"/>
  <c r="N141" i="7"/>
  <c r="AK140" i="7"/>
  <c r="AZ139" i="7"/>
  <c r="BS138" i="7"/>
  <c r="CG144" i="7"/>
  <c r="CW141" i="7"/>
  <c r="AI139" i="7"/>
  <c r="AE144" i="7"/>
  <c r="AL141" i="7"/>
  <c r="DD138" i="7"/>
  <c r="AD140" i="7"/>
  <c r="P140" i="7"/>
  <c r="AE139" i="7"/>
  <c r="BD145" i="7"/>
  <c r="CX144" i="7"/>
  <c r="AS144" i="7"/>
  <c r="CM143" i="7"/>
  <c r="AE143" i="7"/>
  <c r="V145" i="7"/>
  <c r="AT144" i="7"/>
  <c r="BH143" i="7"/>
  <c r="CU142" i="7"/>
  <c r="AJ142" i="7"/>
  <c r="CJ141" i="7"/>
  <c r="Y141" i="7"/>
  <c r="BV140" i="7"/>
  <c r="K140" i="7"/>
  <c r="BK139" i="7"/>
  <c r="DE138" i="7"/>
  <c r="AW138" i="7"/>
  <c r="BN145" i="7"/>
  <c r="AU144" i="7"/>
  <c r="S143" i="7"/>
  <c r="AL142" i="7"/>
  <c r="BA141" i="7"/>
  <c r="BX140" i="7"/>
  <c r="DF138" i="7"/>
  <c r="O138" i="7"/>
  <c r="DF144" i="7"/>
  <c r="CB142" i="7"/>
  <c r="AQ139" i="7"/>
  <c r="H139" i="7"/>
  <c r="BF139" i="7"/>
  <c r="BW144" i="7"/>
  <c r="BI141" i="7"/>
  <c r="CJ142" i="7"/>
  <c r="BQ145" i="7"/>
  <c r="DI142" i="7"/>
  <c r="BN143" i="7"/>
  <c r="CD139" i="7"/>
  <c r="BL144" i="7"/>
  <c r="CK140" i="7"/>
  <c r="BW141" i="7"/>
  <c r="CZ143" i="7"/>
  <c r="AK145" i="7"/>
  <c r="AJ144" i="7"/>
  <c r="CL142" i="7"/>
  <c r="CY138" i="7"/>
  <c r="K138" i="7"/>
  <c r="AG141" i="7"/>
  <c r="CQ145" i="7"/>
  <c r="BP145" i="7"/>
  <c r="AO145" i="7"/>
  <c r="N145" i="7"/>
  <c r="CR144" i="7"/>
  <c r="BQ144" i="7"/>
  <c r="AP144" i="7"/>
  <c r="O144" i="7"/>
  <c r="CS143" i="7"/>
  <c r="BR143" i="7"/>
  <c r="AQ143" i="7"/>
  <c r="CP145" i="7"/>
  <c r="BB145" i="7"/>
  <c r="M145" i="7"/>
  <c r="CD144" i="7"/>
  <c r="AO144" i="7"/>
  <c r="DF143" i="7"/>
  <c r="BQ143" i="7"/>
  <c r="AC143" i="7"/>
  <c r="DG142" i="7"/>
  <c r="CF142" i="7"/>
  <c r="BE142" i="7"/>
  <c r="AD142" i="7"/>
  <c r="DH141" i="7"/>
  <c r="CG141" i="7"/>
  <c r="BF141" i="7"/>
  <c r="AE141" i="7"/>
  <c r="DI140" i="7"/>
  <c r="CH140" i="7"/>
  <c r="BG140" i="7"/>
  <c r="AF140" i="7"/>
  <c r="E140" i="7"/>
  <c r="CI139" i="7"/>
  <c r="BH139" i="7"/>
  <c r="AG139" i="7"/>
  <c r="F139" i="7"/>
  <c r="CJ138" i="7"/>
  <c r="BI138" i="7"/>
  <c r="AH138" i="7"/>
  <c r="G138" i="7"/>
  <c r="AZ145" i="7"/>
  <c r="CW144" i="7"/>
  <c r="AN144" i="7"/>
  <c r="CK143" i="7"/>
  <c r="AB143" i="7"/>
  <c r="CS142" i="7"/>
  <c r="BD142" i="7"/>
  <c r="P142" i="7"/>
  <c r="CF141" i="7"/>
  <c r="AR141" i="7"/>
  <c r="DH140" i="7"/>
  <c r="BT140" i="7"/>
  <c r="AE140" i="7"/>
  <c r="CV139" i="7"/>
  <c r="BG139" i="7"/>
  <c r="S139" i="7"/>
  <c r="CI138" i="7"/>
  <c r="AU138" i="7"/>
  <c r="F138" i="7"/>
  <c r="BC145" i="7"/>
  <c r="CY144" i="7"/>
  <c r="AQ144" i="7"/>
  <c r="CL143" i="7"/>
  <c r="AD143" i="7"/>
  <c r="CT142" i="7"/>
  <c r="BF142" i="7"/>
  <c r="Q142" i="7"/>
  <c r="CH141" i="7"/>
  <c r="AS141" i="7"/>
  <c r="E141" i="7"/>
  <c r="BU140" i="7"/>
  <c r="AG140" i="7"/>
  <c r="CW139" i="7"/>
  <c r="BI139" i="7"/>
  <c r="T139" i="7"/>
  <c r="CK138" i="7"/>
  <c r="AV138" i="7"/>
  <c r="H138" i="7"/>
  <c r="AR144" i="7"/>
  <c r="CV142" i="7"/>
  <c r="CI141" i="7"/>
  <c r="BW140" i="7"/>
  <c r="BJ139" i="7"/>
  <c r="AX138" i="7"/>
  <c r="DH144" i="7"/>
  <c r="AM143" i="7"/>
  <c r="W142" i="7"/>
  <c r="K141" i="7"/>
  <c r="DC139" i="7"/>
  <c r="CQ138" i="7"/>
  <c r="CT144" i="7"/>
  <c r="DG140" i="7"/>
  <c r="CM145" i="7"/>
  <c r="BQ141" i="7"/>
  <c r="AF138" i="7"/>
  <c r="CR141" i="7"/>
  <c r="BG138" i="7"/>
  <c r="CB145" i="7"/>
  <c r="AL145" i="7"/>
  <c r="DD144" i="7"/>
  <c r="BN144" i="7"/>
  <c r="AA144" i="7"/>
  <c r="CP143" i="7"/>
  <c r="BC143" i="7"/>
  <c r="CL145" i="7"/>
  <c r="AE145" i="7"/>
  <c r="BY144" i="7"/>
  <c r="S144" i="7"/>
  <c r="BM143" i="7"/>
  <c r="N143" i="7"/>
  <c r="CC142" i="7"/>
  <c r="AP142" i="7"/>
  <c r="DE141" i="7"/>
  <c r="BR141" i="7"/>
  <c r="AB141" i="7"/>
  <c r="CT140" i="7"/>
  <c r="BD140" i="7"/>
  <c r="Q140" i="7"/>
  <c r="CF139" i="7"/>
  <c r="AS139" i="7"/>
  <c r="DH138" i="7"/>
  <c r="BU138" i="7"/>
  <c r="AE138" i="7"/>
  <c r="CA145" i="7"/>
  <c r="CP144" i="7"/>
  <c r="G144" i="7"/>
  <c r="X143" i="7"/>
  <c r="BV142" i="7"/>
  <c r="K142" i="7"/>
  <c r="BJ141" i="7"/>
  <c r="DD140" i="7"/>
  <c r="AW140" i="7"/>
  <c r="CQ139" i="7"/>
  <c r="AK139" i="7"/>
  <c r="CE138" i="7"/>
  <c r="X138" i="7"/>
  <c r="AV145" i="7"/>
  <c r="BR144" i="7"/>
  <c r="CF143" i="7"/>
  <c r="G143" i="7"/>
  <c r="BA142" i="7"/>
  <c r="CZ141" i="7"/>
  <c r="AO141" i="7"/>
  <c r="CM140" i="7"/>
  <c r="AB140" i="7"/>
  <c r="CA139" i="7"/>
  <c r="P139" i="7"/>
  <c r="BN138" i="7"/>
  <c r="CS145" i="7"/>
  <c r="BA143" i="7"/>
  <c r="BV141" i="7"/>
  <c r="G140" i="7"/>
  <c r="AJ138" i="7"/>
  <c r="K144" i="7"/>
  <c r="J142" i="7"/>
  <c r="AZ140" i="7"/>
  <c r="CC138" i="7"/>
  <c r="BC142" i="7"/>
  <c r="AD145" i="7"/>
  <c r="CG139" i="7"/>
  <c r="BD141" i="7"/>
  <c r="CW145" i="7"/>
  <c r="AR145" i="7"/>
  <c r="CL144" i="7"/>
  <c r="AD144" i="7"/>
  <c r="BX143" i="7"/>
  <c r="CU145" i="7"/>
  <c r="DI144" i="7"/>
  <c r="W144" i="7"/>
  <c r="AL143" i="7"/>
  <c r="CI142" i="7"/>
  <c r="X142" i="7"/>
  <c r="BU141" i="7"/>
  <c r="J141" i="7"/>
  <c r="BJ140" i="7"/>
  <c r="DD139" i="7"/>
  <c r="AV139" i="7"/>
  <c r="CP138" i="7"/>
  <c r="AK138" i="7"/>
  <c r="AM145" i="7"/>
  <c r="M144" i="7"/>
  <c r="DB142" i="7"/>
  <c r="T142" i="7"/>
  <c r="AI141" i="7"/>
  <c r="BB140" i="7"/>
  <c r="BP139" i="7"/>
  <c r="CN138" i="7"/>
  <c r="CX145" i="7"/>
  <c r="BX144" i="7"/>
  <c r="AR143" i="7"/>
  <c r="BJ142" i="7"/>
  <c r="BY141" i="7"/>
  <c r="CR140" i="7"/>
  <c r="DF139" i="7"/>
  <c r="Y139" i="7"/>
  <c r="AM138" i="7"/>
  <c r="BT143" i="7"/>
  <c r="CX140" i="7"/>
  <c r="BK138" i="7"/>
  <c r="I143" i="7"/>
  <c r="BN140" i="7"/>
  <c r="DG145" i="7"/>
  <c r="E138" i="7"/>
  <c r="J145" i="7"/>
  <c r="CT145" i="7"/>
  <c r="AI145" i="7"/>
  <c r="CF144" i="7"/>
  <c r="U144" i="7"/>
  <c r="BU143" i="7"/>
  <c r="CG145" i="7"/>
  <c r="CZ144" i="7"/>
  <c r="J144" i="7"/>
  <c r="AG143" i="7"/>
  <c r="BZ142" i="7"/>
  <c r="R142" i="7"/>
  <c r="BL141" i="7"/>
  <c r="G141" i="7"/>
  <c r="BA140" i="7"/>
  <c r="CX139" i="7"/>
  <c r="AM139" i="7"/>
  <c r="CM138" i="7"/>
  <c r="AB138" i="7"/>
  <c r="Y145" i="7"/>
  <c r="CX143" i="7"/>
  <c r="CW142" i="7"/>
  <c r="G142" i="7"/>
  <c r="Z141" i="7"/>
  <c r="AN140" i="7"/>
  <c r="BL139" i="7"/>
  <c r="BZ138" i="7"/>
  <c r="CJ145" i="7"/>
  <c r="BD144" i="7"/>
  <c r="AJ143" i="7"/>
  <c r="AW142" i="7"/>
  <c r="BP141" i="7"/>
  <c r="CD140" i="7"/>
  <c r="DB139" i="7"/>
  <c r="K139" i="7"/>
  <c r="AD138" i="7"/>
  <c r="R143" i="7"/>
  <c r="CJ140" i="7"/>
  <c r="W138" i="7"/>
  <c r="CM142" i="7"/>
  <c r="Y140" i="7"/>
  <c r="AY145" i="7"/>
  <c r="CA144" i="7"/>
  <c r="DC143" i="7"/>
  <c r="CK145" i="7"/>
  <c r="R144" i="7"/>
  <c r="CM144" i="7"/>
  <c r="BT142" i="7"/>
  <c r="DC140" i="7"/>
  <c r="AJ139" i="7"/>
  <c r="F145" i="7"/>
  <c r="DC141" i="7"/>
  <c r="AX139" i="7"/>
  <c r="AW144" i="7"/>
  <c r="BB141" i="7"/>
  <c r="DG138" i="7"/>
  <c r="AV140" i="7"/>
  <c r="L140" i="7"/>
  <c r="BP142" i="7"/>
  <c r="AP141" i="7"/>
  <c r="BA138" i="7"/>
  <c r="H145" i="7"/>
  <c r="AT143" i="7"/>
  <c r="BZ143" i="7"/>
  <c r="CV141" i="7"/>
  <c r="Z140" i="7"/>
  <c r="BL138" i="7"/>
  <c r="AO143" i="7"/>
  <c r="CP140" i="7"/>
  <c r="AL138" i="7"/>
  <c r="CY142" i="7"/>
  <c r="BM139" i="7"/>
  <c r="E142" i="7"/>
  <c r="M139" i="7"/>
  <c r="AU145" i="7"/>
  <c r="CG143" i="7"/>
  <c r="AF144" i="7"/>
  <c r="AG142" i="7"/>
  <c r="H140" i="7"/>
  <c r="AN138" i="7"/>
  <c r="J143" i="7"/>
  <c r="BK140" i="7"/>
  <c r="CK144" i="7"/>
  <c r="CL141" i="7"/>
  <c r="AC139" i="7"/>
  <c r="BY138" i="7"/>
  <c r="AQ147" i="7"/>
  <c r="CJ148" i="7"/>
  <c r="V147" i="7"/>
  <c r="S147" i="7"/>
  <c r="AZ148" i="7"/>
  <c r="CN149" i="7"/>
  <c r="BY147" i="7"/>
  <c r="CS148" i="7"/>
  <c r="BU150" i="7"/>
  <c r="CS147" i="7"/>
  <c r="BL149" i="7"/>
  <c r="BQ147" i="7"/>
  <c r="CB148" i="7"/>
  <c r="BB149" i="7"/>
  <c r="BS150" i="7"/>
  <c r="H147" i="7"/>
  <c r="AO147" i="7"/>
  <c r="AN147" i="7"/>
  <c r="BN148" i="7"/>
  <c r="M150" i="7"/>
  <c r="CG147" i="7"/>
  <c r="H149" i="7"/>
  <c r="DA150" i="7"/>
  <c r="F148" i="7"/>
  <c r="CS149" i="7"/>
  <c r="CC147" i="7"/>
  <c r="CT148" i="7"/>
  <c r="BT149" i="7"/>
  <c r="CN150" i="7"/>
  <c r="AB147" i="7"/>
  <c r="CY147" i="7"/>
  <c r="BA147" i="7"/>
  <c r="CG148" i="7"/>
  <c r="X150" i="7"/>
  <c r="CZ147" i="7"/>
  <c r="U149" i="7"/>
  <c r="P147" i="7"/>
  <c r="CI148" i="7"/>
  <c r="O147" i="7"/>
  <c r="Z148" i="7"/>
  <c r="CB149" i="7"/>
  <c r="AW150" i="7"/>
  <c r="CE147" i="7"/>
  <c r="AG148" i="7"/>
  <c r="CR148" i="7"/>
  <c r="AS149" i="7"/>
  <c r="AB150" i="7"/>
  <c r="R147" i="7"/>
  <c r="BH147" i="7"/>
  <c r="CU147" i="7"/>
  <c r="AF148" i="7"/>
  <c r="BS148" i="7"/>
  <c r="P149" i="7"/>
  <c r="CG149" i="7"/>
  <c r="CJ150" i="7"/>
  <c r="CU149" i="7"/>
  <c r="BK150" i="7"/>
  <c r="BD150" i="7"/>
  <c r="DD148" i="7"/>
  <c r="AM149" i="7"/>
  <c r="AG149" i="7"/>
  <c r="BB148" i="7"/>
  <c r="AF147" i="7"/>
  <c r="L148" i="7"/>
  <c r="DB148" i="7"/>
  <c r="CW149" i="7"/>
  <c r="AK147" i="7"/>
  <c r="P148" i="7"/>
  <c r="DG148" i="7"/>
  <c r="DE149" i="7"/>
  <c r="AC147" i="7"/>
  <c r="CJ147" i="7"/>
  <c r="AP148" i="7"/>
  <c r="CV148" i="7"/>
  <c r="BD149" i="7"/>
  <c r="AK150" i="7"/>
  <c r="X147" i="7"/>
  <c r="BK147" i="7"/>
  <c r="DA147" i="7"/>
  <c r="AI148" i="7"/>
  <c r="BY148" i="7"/>
  <c r="S149" i="7"/>
  <c r="CT149" i="7"/>
  <c r="CX150" i="7"/>
  <c r="DD149" i="7"/>
  <c r="BO150" i="7"/>
  <c r="BM150" i="7"/>
  <c r="AV148" i="7"/>
  <c r="CV150" i="7"/>
  <c r="AW147" i="7"/>
  <c r="L149" i="7"/>
  <c r="BJ147" i="7"/>
  <c r="Z149" i="7"/>
  <c r="Z147" i="7"/>
  <c r="CH147" i="7"/>
  <c r="AM148" i="7"/>
  <c r="CU148" i="7"/>
  <c r="AZ149" i="7"/>
  <c r="AG150" i="7"/>
  <c r="AE147" i="7"/>
  <c r="CM147" i="7"/>
  <c r="AQ148" i="7"/>
  <c r="CY148" i="7"/>
  <c r="BG149" i="7"/>
  <c r="AQ150" i="7"/>
  <c r="Y147" i="7"/>
  <c r="BM147" i="7"/>
  <c r="DB147" i="7"/>
  <c r="AK148" i="7"/>
  <c r="BZ148" i="7"/>
  <c r="I149" i="7"/>
  <c r="AX149" i="7"/>
  <c r="DF149" i="7"/>
  <c r="BZ150" i="7"/>
  <c r="U147" i="7"/>
  <c r="AV147" i="7"/>
  <c r="BW147" i="7"/>
  <c r="CX147" i="7"/>
  <c r="T148" i="7"/>
  <c r="AU148" i="7"/>
  <c r="BV148" i="7"/>
  <c r="DC148" i="7"/>
  <c r="AK149" i="7"/>
  <c r="CP149" i="7"/>
  <c r="AV150" i="7"/>
  <c r="BK149" i="7"/>
  <c r="CX149" i="7"/>
  <c r="AJ150" i="7"/>
  <c r="CP150" i="7"/>
  <c r="BJ150" i="7"/>
  <c r="CW150" i="7"/>
  <c r="DI148" i="7"/>
  <c r="AE149" i="7"/>
  <c r="BJ149" i="7"/>
  <c r="CY149" i="7"/>
  <c r="AH150" i="7"/>
  <c r="CR150" i="7"/>
  <c r="BQ149" i="7"/>
  <c r="CR149" i="7"/>
  <c r="N150" i="7"/>
  <c r="AS150" i="7"/>
  <c r="CG150" i="7"/>
  <c r="AO150" i="7"/>
  <c r="BP150" i="7"/>
  <c r="Q137" i="7"/>
  <c r="Q4" i="7" s="1"/>
  <c r="Y137" i="7"/>
  <c r="Y4" i="7" s="1"/>
  <c r="BT137" i="7"/>
  <c r="BT4" i="7" s="1"/>
  <c r="K137" i="7"/>
  <c r="K4" i="7" s="1"/>
  <c r="AO137" i="7"/>
  <c r="AO4" i="7" s="1"/>
  <c r="CK137" i="7"/>
  <c r="CK4" i="7" s="1"/>
  <c r="P137" i="7"/>
  <c r="P4" i="7" s="1"/>
  <c r="BH137" i="7"/>
  <c r="BH4" i="7" s="1"/>
  <c r="CD137" i="7"/>
  <c r="CD4" i="7" s="1"/>
  <c r="CM137" i="7"/>
  <c r="CM4" i="7" s="1"/>
  <c r="BF137" i="7"/>
  <c r="BF4" i="7" s="1"/>
  <c r="L137" i="7"/>
  <c r="L4" i="7" s="1"/>
  <c r="CP137" i="7"/>
  <c r="CP4" i="7" s="1"/>
  <c r="AV137" i="7"/>
  <c r="AV4" i="7" s="1"/>
  <c r="AP137" i="7"/>
  <c r="AP4" i="7" s="1"/>
  <c r="AG137" i="7"/>
  <c r="AG4" i="7" s="1"/>
  <c r="CQ137" i="7"/>
  <c r="CQ4" i="7" s="1"/>
  <c r="CU137" i="7"/>
  <c r="CU4" i="7" s="1"/>
  <c r="AY137" i="7"/>
  <c r="AY4" i="7" s="1"/>
  <c r="AX137" i="7"/>
  <c r="AX4" i="7" s="1"/>
  <c r="AH137" i="7"/>
  <c r="AH4" i="7" s="1"/>
  <c r="AN137" i="7"/>
  <c r="AN4" i="7" s="1"/>
  <c r="AC137" i="7"/>
  <c r="AC4" i="7" s="1"/>
  <c r="BD137" i="7"/>
  <c r="BD4" i="7" s="1"/>
  <c r="CS137" i="7"/>
  <c r="CS4" i="7" s="1"/>
  <c r="E137" i="7"/>
  <c r="E4" i="7" s="1"/>
  <c r="AI137" i="7"/>
  <c r="AI4" i="7" s="1"/>
  <c r="CA137" i="7"/>
  <c r="CA4" i="7" s="1"/>
  <c r="BA137" i="7"/>
  <c r="BA4" i="7" s="1"/>
  <c r="CC137" i="7"/>
  <c r="CC4" i="7" s="1"/>
  <c r="BZ137" i="7"/>
  <c r="BZ4" i="7" s="1"/>
  <c r="BS137" i="7"/>
  <c r="BS4" i="7" s="1"/>
  <c r="BM137" i="7"/>
  <c r="BM4" i="7" s="1"/>
  <c r="CH137" i="7"/>
  <c r="CH4" i="7" s="1"/>
  <c r="CF137" i="7"/>
  <c r="CF4" i="7" s="1"/>
  <c r="CR137" i="7"/>
  <c r="CR4" i="7" s="1"/>
  <c r="C67" i="5"/>
  <c r="X73" i="4"/>
  <c r="E154" i="7" l="1"/>
  <c r="E7" i="7" s="1"/>
  <c r="N7" i="9" s="1"/>
  <c r="BA151" i="7"/>
  <c r="BA6" i="7" s="1"/>
  <c r="BI154" i="7"/>
  <c r="BI7" i="7" s="1"/>
  <c r="AV154" i="7"/>
  <c r="AV7" i="7" s="1"/>
  <c r="CH154" i="7"/>
  <c r="CH7" i="7" s="1"/>
  <c r="AW151" i="7"/>
  <c r="AW6" i="7" s="1"/>
  <c r="BL154" i="7"/>
  <c r="BL7" i="7" s="1"/>
  <c r="Y154" i="7"/>
  <c r="Y7" i="7" s="1"/>
  <c r="AH7" i="9" s="1"/>
  <c r="AC151" i="7"/>
  <c r="AC6" i="7" s="1"/>
  <c r="AL6" i="9" s="1"/>
  <c r="AQ154" i="7"/>
  <c r="AQ7" i="7" s="1"/>
  <c r="AZ7" i="9" s="1"/>
  <c r="X154" i="7"/>
  <c r="X7" i="7" s="1"/>
  <c r="AG7" i="9" s="1"/>
  <c r="N154" i="7"/>
  <c r="N7" i="7" s="1"/>
  <c r="W7" i="9" s="1"/>
  <c r="DI154" i="7"/>
  <c r="DI7" i="7" s="1"/>
  <c r="DA154" i="7"/>
  <c r="DA7" i="7" s="1"/>
  <c r="AF154" i="7"/>
  <c r="AF7" i="7" s="1"/>
  <c r="AO7" i="9" s="1"/>
  <c r="BK154" i="7"/>
  <c r="BK7" i="7" s="1"/>
  <c r="CM154" i="7"/>
  <c r="CM7" i="7" s="1"/>
  <c r="DG154" i="7"/>
  <c r="DG7" i="7" s="1"/>
  <c r="AH154" i="7"/>
  <c r="AH7" i="7" s="1"/>
  <c r="AQ7" i="9" s="1"/>
  <c r="AD154" i="7"/>
  <c r="AD7" i="7" s="1"/>
  <c r="AM7" i="9" s="1"/>
  <c r="CF154" i="7"/>
  <c r="CF7" i="7" s="1"/>
  <c r="BM151" i="7"/>
  <c r="BM6" i="7" s="1"/>
  <c r="CM151" i="7"/>
  <c r="CM6" i="7" s="1"/>
  <c r="CH151" i="7"/>
  <c r="CH6" i="7" s="1"/>
  <c r="CZ151" i="7"/>
  <c r="CZ6" i="7" s="1"/>
  <c r="CC151" i="7"/>
  <c r="CC6" i="7" s="1"/>
  <c r="BL146" i="7"/>
  <c r="BL5" i="7" s="1"/>
  <c r="AB146" i="7"/>
  <c r="AB5" i="7" s="1"/>
  <c r="AK5" i="9" s="1"/>
  <c r="BT154" i="7"/>
  <c r="BT7" i="7" s="1"/>
  <c r="Z151" i="7"/>
  <c r="Z6" i="7" s="1"/>
  <c r="AI6" i="9" s="1"/>
  <c r="AQ151" i="7"/>
  <c r="AQ6" i="7" s="1"/>
  <c r="AZ6" i="9" s="1"/>
  <c r="AF151" i="7"/>
  <c r="AF6" i="7" s="1"/>
  <c r="AO6" i="9" s="1"/>
  <c r="O151" i="7"/>
  <c r="O6" i="7" s="1"/>
  <c r="X6" i="9" s="1"/>
  <c r="X151" i="7"/>
  <c r="X6" i="7" s="1"/>
  <c r="AG6" i="9" s="1"/>
  <c r="AL146" i="7"/>
  <c r="AL5" i="7" s="1"/>
  <c r="AU5" i="9" s="1"/>
  <c r="BA146" i="7"/>
  <c r="BA5" i="7" s="1"/>
  <c r="CE146" i="7"/>
  <c r="CE5" i="7" s="1"/>
  <c r="AE146" i="7"/>
  <c r="AE5" i="7" s="1"/>
  <c r="AN5" i="9" s="1"/>
  <c r="CQ146" i="7"/>
  <c r="CQ5" i="7" s="1"/>
  <c r="AH146" i="7"/>
  <c r="AH5" i="7" s="1"/>
  <c r="AQ5" i="9" s="1"/>
  <c r="Q151" i="7"/>
  <c r="Q6" i="7" s="1"/>
  <c r="Z6" i="9" s="1"/>
  <c r="CK151" i="7"/>
  <c r="CK6" i="7" s="1"/>
  <c r="K151" i="7"/>
  <c r="K6" i="7" s="1"/>
  <c r="T6" i="9" s="1"/>
  <c r="I154" i="7"/>
  <c r="I7" i="7" s="1"/>
  <c r="R7" i="9" s="1"/>
  <c r="BO154" i="7"/>
  <c r="BO7" i="7" s="1"/>
  <c r="CX154" i="7"/>
  <c r="CX7" i="7" s="1"/>
  <c r="AO154" i="7"/>
  <c r="AO7" i="7" s="1"/>
  <c r="AX7" i="9" s="1"/>
  <c r="CL154" i="7"/>
  <c r="CL7" i="7" s="1"/>
  <c r="O154" i="7"/>
  <c r="O7" i="7" s="1"/>
  <c r="X7" i="9" s="1"/>
  <c r="H154" i="7"/>
  <c r="H7" i="7" s="1"/>
  <c r="Q7" i="9" s="1"/>
  <c r="AX146" i="7"/>
  <c r="AX5" i="7" s="1"/>
  <c r="BR154" i="7"/>
  <c r="BR7" i="7" s="1"/>
  <c r="BF154" i="7"/>
  <c r="BF7" i="7" s="1"/>
  <c r="S154" i="7"/>
  <c r="S7" i="7" s="1"/>
  <c r="AB7" i="9" s="1"/>
  <c r="BH154" i="7"/>
  <c r="BH7" i="7" s="1"/>
  <c r="CV154" i="7"/>
  <c r="CV7" i="7" s="1"/>
  <c r="AX154" i="7"/>
  <c r="AX7" i="7" s="1"/>
  <c r="CK154" i="7"/>
  <c r="CK7" i="7" s="1"/>
  <c r="K154" i="7"/>
  <c r="K7" i="7" s="1"/>
  <c r="T7" i="9" s="1"/>
  <c r="AL154" i="7"/>
  <c r="AL7" i="7" s="1"/>
  <c r="AU7" i="9" s="1"/>
  <c r="CN154" i="7"/>
  <c r="CN7" i="7" s="1"/>
  <c r="AJ146" i="7"/>
  <c r="AJ5" i="7" s="1"/>
  <c r="AS5" i="9" s="1"/>
  <c r="AT146" i="7"/>
  <c r="AT5" i="7" s="1"/>
  <c r="BC5" i="9" s="1"/>
  <c r="CH146" i="7"/>
  <c r="CH5" i="7" s="1"/>
  <c r="U146" i="7"/>
  <c r="U5" i="7" s="1"/>
  <c r="AD5" i="9" s="1"/>
  <c r="AQ146" i="7"/>
  <c r="AQ5" i="7" s="1"/>
  <c r="AZ5" i="9" s="1"/>
  <c r="CU146" i="7"/>
  <c r="CU5" i="7" s="1"/>
  <c r="CT146" i="7"/>
  <c r="CT5" i="7" s="1"/>
  <c r="BV146" i="7"/>
  <c r="BV5" i="7" s="1"/>
  <c r="AX151" i="7"/>
  <c r="AX6" i="7" s="1"/>
  <c r="AU151" i="7"/>
  <c r="AU6" i="7" s="1"/>
  <c r="CO151" i="7"/>
  <c r="CO6" i="7" s="1"/>
  <c r="CP151" i="7"/>
  <c r="CP6" i="7" s="1"/>
  <c r="AS151" i="7"/>
  <c r="AS6" i="7" s="1"/>
  <c r="BB6" i="9" s="1"/>
  <c r="BD151" i="7"/>
  <c r="BD6" i="7" s="1"/>
  <c r="W151" i="7"/>
  <c r="W6" i="7" s="1"/>
  <c r="AF6" i="9" s="1"/>
  <c r="AL4" i="9"/>
  <c r="AH4" i="9"/>
  <c r="CU151" i="7"/>
  <c r="CU6" i="7" s="1"/>
  <c r="CI146" i="7"/>
  <c r="CI5" i="7" s="1"/>
  <c r="AW146" i="7"/>
  <c r="AW5" i="7" s="1"/>
  <c r="R146" i="7"/>
  <c r="R5" i="7" s="1"/>
  <c r="AA5" i="9" s="1"/>
  <c r="CZ146" i="7"/>
  <c r="CZ5" i="7" s="1"/>
  <c r="J146" i="7"/>
  <c r="J5" i="7" s="1"/>
  <c r="S5" i="9" s="1"/>
  <c r="DC146" i="7"/>
  <c r="DC5" i="7" s="1"/>
  <c r="BM146" i="7"/>
  <c r="BM5" i="7" s="1"/>
  <c r="S146" i="7"/>
  <c r="S5" i="7" s="1"/>
  <c r="AB5" i="9" s="1"/>
  <c r="BB146" i="7"/>
  <c r="BB5" i="7" s="1"/>
  <c r="I146" i="7"/>
  <c r="I5" i="7" s="1"/>
  <c r="DB146" i="7"/>
  <c r="DB5" i="7" s="1"/>
  <c r="BG151" i="7"/>
  <c r="BG6" i="7" s="1"/>
  <c r="AF4" i="9"/>
  <c r="AI4" i="9"/>
  <c r="J151" i="7"/>
  <c r="J6" i="7" s="1"/>
  <c r="S6" i="9" s="1"/>
  <c r="BC4" i="9"/>
  <c r="AV4" i="9"/>
  <c r="DG151" i="7"/>
  <c r="DG6" i="7" s="1"/>
  <c r="DH151" i="7"/>
  <c r="DH6" i="7" s="1"/>
  <c r="BV151" i="7"/>
  <c r="BV6" i="7" s="1"/>
  <c r="BG154" i="7"/>
  <c r="BG7" i="7" s="1"/>
  <c r="BM154" i="7"/>
  <c r="BM7" i="7" s="1"/>
  <c r="Z4" i="9"/>
  <c r="U151" i="7"/>
  <c r="U6" i="7" s="1"/>
  <c r="AD6" i="9" s="1"/>
  <c r="CE151" i="7"/>
  <c r="CE6" i="7" s="1"/>
  <c r="W146" i="7"/>
  <c r="W5" i="7" s="1"/>
  <c r="AF5" i="9" s="1"/>
  <c r="BZ146" i="7"/>
  <c r="BZ5" i="7" s="1"/>
  <c r="CM146" i="7"/>
  <c r="CM5" i="7" s="1"/>
  <c r="AK146" i="7"/>
  <c r="AK5" i="7" s="1"/>
  <c r="AT5" i="9" s="1"/>
  <c r="AF146" i="7"/>
  <c r="AF5" i="7" s="1"/>
  <c r="AO5" i="9" s="1"/>
  <c r="AV146" i="7"/>
  <c r="AV5" i="7" s="1"/>
  <c r="F146" i="7"/>
  <c r="F5" i="7" s="1"/>
  <c r="O5" i="9" s="1"/>
  <c r="BI146" i="7"/>
  <c r="BI5" i="7" s="1"/>
  <c r="K146" i="7"/>
  <c r="K5" i="7" s="1"/>
  <c r="T5" i="9" s="1"/>
  <c r="O146" i="7"/>
  <c r="O5" i="7" s="1"/>
  <c r="X5" i="9" s="1"/>
  <c r="DE146" i="7"/>
  <c r="DE5" i="7" s="1"/>
  <c r="AC146" i="7"/>
  <c r="AC5" i="7" s="1"/>
  <c r="AL5" i="9" s="1"/>
  <c r="BC146" i="7"/>
  <c r="BC5" i="7" s="1"/>
  <c r="Z146" i="7"/>
  <c r="Z5" i="7" s="1"/>
  <c r="AI5" i="9" s="1"/>
  <c r="CG146" i="7"/>
  <c r="CG5" i="7" s="1"/>
  <c r="BJ146" i="7"/>
  <c r="BJ5" i="7" s="1"/>
  <c r="T146" i="7"/>
  <c r="T5" i="7" s="1"/>
  <c r="BR146" i="7"/>
  <c r="BR5" i="7" s="1"/>
  <c r="DI146" i="7"/>
  <c r="DI5" i="7" s="1"/>
  <c r="BE146" i="7"/>
  <c r="BE5" i="7" s="1"/>
  <c r="BT146" i="7"/>
  <c r="BT5" i="7" s="1"/>
  <c r="CB146" i="7"/>
  <c r="CB5" i="7" s="1"/>
  <c r="AY146" i="7"/>
  <c r="AY5" i="7" s="1"/>
  <c r="BO146" i="7"/>
  <c r="BO5" i="7" s="1"/>
  <c r="M146" i="7"/>
  <c r="M5" i="7" s="1"/>
  <c r="V5" i="9" s="1"/>
  <c r="BF146" i="7"/>
  <c r="BF5" i="7" s="1"/>
  <c r="AI146" i="7"/>
  <c r="AI5" i="7" s="1"/>
  <c r="AR5" i="9" s="1"/>
  <c r="AZ146" i="7"/>
  <c r="AZ5" i="7" s="1"/>
  <c r="CF151" i="7"/>
  <c r="CF6" i="7" s="1"/>
  <c r="CA151" i="7"/>
  <c r="CA6" i="7" s="1"/>
  <c r="DC151" i="7"/>
  <c r="DC6" i="7" s="1"/>
  <c r="DE151" i="7"/>
  <c r="DE6" i="7" s="1"/>
  <c r="BZ151" i="7"/>
  <c r="BZ6" i="7" s="1"/>
  <c r="AG151" i="7"/>
  <c r="AG6" i="7" s="1"/>
  <c r="AP6" i="9" s="1"/>
  <c r="CV151" i="7"/>
  <c r="CV6" i="7" s="1"/>
  <c r="DD151" i="7"/>
  <c r="DD6" i="7" s="1"/>
  <c r="BU151" i="7"/>
  <c r="BU6" i="7" s="1"/>
  <c r="P4" i="9"/>
  <c r="AA4" i="9"/>
  <c r="V4" i="9"/>
  <c r="W4" i="9"/>
  <c r="AO4" i="9"/>
  <c r="BN151" i="7"/>
  <c r="BN6" i="7" s="1"/>
  <c r="CN151" i="7"/>
  <c r="CN6" i="7" s="1"/>
  <c r="AY151" i="7"/>
  <c r="AY6" i="7" s="1"/>
  <c r="BR151" i="7"/>
  <c r="BR6" i="7" s="1"/>
  <c r="N151" i="7"/>
  <c r="N6" i="7" s="1"/>
  <c r="W6" i="9" s="1"/>
  <c r="F151" i="7"/>
  <c r="F6" i="7" s="1"/>
  <c r="O6" i="9" s="1"/>
  <c r="BX151" i="7"/>
  <c r="BX6" i="7" s="1"/>
  <c r="BI151" i="7"/>
  <c r="BI6" i="7" s="1"/>
  <c r="AR151" i="7"/>
  <c r="AR6" i="7" s="1"/>
  <c r="BA6" i="9" s="1"/>
  <c r="AA151" i="7"/>
  <c r="AA6" i="7" s="1"/>
  <c r="AJ6" i="9" s="1"/>
  <c r="AN4" i="9"/>
  <c r="AS4" i="9"/>
  <c r="AZ4" i="9"/>
  <c r="BE151" i="7"/>
  <c r="BE6" i="7" s="1"/>
  <c r="AJ151" i="7"/>
  <c r="AJ6" i="7" s="1"/>
  <c r="AS6" i="9" s="1"/>
  <c r="T151" i="7"/>
  <c r="T6" i="7" s="1"/>
  <c r="AC6" i="9" s="1"/>
  <c r="AE154" i="7"/>
  <c r="AE7" i="7" s="1"/>
  <c r="AN7" i="9" s="1"/>
  <c r="BX154" i="7"/>
  <c r="BX7" i="7" s="1"/>
  <c r="CJ154" i="7"/>
  <c r="CJ7" i="7" s="1"/>
  <c r="AN154" i="7"/>
  <c r="AN7" i="7" s="1"/>
  <c r="AW7" i="9" s="1"/>
  <c r="CY154" i="7"/>
  <c r="CY7" i="7" s="1"/>
  <c r="CB154" i="7"/>
  <c r="CB7" i="7" s="1"/>
  <c r="AZ154" i="7"/>
  <c r="AZ7" i="7" s="1"/>
  <c r="AK154" i="7"/>
  <c r="AK7" i="7" s="1"/>
  <c r="AT7" i="9" s="1"/>
  <c r="CR154" i="7"/>
  <c r="CR7" i="7" s="1"/>
  <c r="BP154" i="7"/>
  <c r="BP7" i="7" s="1"/>
  <c r="AJ154" i="7"/>
  <c r="AJ7" i="7" s="1"/>
  <c r="AS7" i="9" s="1"/>
  <c r="V154" i="7"/>
  <c r="V7" i="7" s="1"/>
  <c r="AE7" i="9" s="1"/>
  <c r="R154" i="7"/>
  <c r="R7" i="7" s="1"/>
  <c r="AA7" i="9" s="1"/>
  <c r="CA154" i="7"/>
  <c r="CA7" i="7" s="1"/>
  <c r="AG154" i="7"/>
  <c r="AG7" i="7" s="1"/>
  <c r="AP7" i="9" s="1"/>
  <c r="BU154" i="7"/>
  <c r="BU7" i="7" s="1"/>
  <c r="W154" i="7"/>
  <c r="W7" i="7" s="1"/>
  <c r="AF7" i="9" s="1"/>
  <c r="BJ154" i="7"/>
  <c r="BJ7" i="7" s="1"/>
  <c r="CZ154" i="7"/>
  <c r="CZ7" i="7" s="1"/>
  <c r="T154" i="7"/>
  <c r="T7" i="7" s="1"/>
  <c r="AC7" i="9" s="1"/>
  <c r="AU154" i="7"/>
  <c r="AU7" i="7" s="1"/>
  <c r="BV154" i="7"/>
  <c r="BV7" i="7" s="1"/>
  <c r="CW154" i="7"/>
  <c r="CW7" i="7" s="1"/>
  <c r="N4" i="9"/>
  <c r="AX4" i="9"/>
  <c r="AV151" i="7"/>
  <c r="AV6" i="7" s="1"/>
  <c r="BJ151" i="7"/>
  <c r="BJ6" i="7" s="1"/>
  <c r="AO151" i="7"/>
  <c r="AO6" i="7" s="1"/>
  <c r="AX6" i="9" s="1"/>
  <c r="H146" i="7"/>
  <c r="H5" i="7" s="1"/>
  <c r="Q5" i="9" s="1"/>
  <c r="DA146" i="7"/>
  <c r="DA5" i="7" s="1"/>
  <c r="CL146" i="7"/>
  <c r="CL5" i="7" s="1"/>
  <c r="CW146" i="7"/>
  <c r="CW5" i="7" s="1"/>
  <c r="AS146" i="7"/>
  <c r="AS5" i="7" s="1"/>
  <c r="BB5" i="9" s="1"/>
  <c r="CR146" i="7"/>
  <c r="CR5" i="7" s="1"/>
  <c r="Y146" i="7"/>
  <c r="Y5" i="7" s="1"/>
  <c r="AH5" i="9" s="1"/>
  <c r="BL151" i="7"/>
  <c r="BL6" i="7" s="1"/>
  <c r="CB151" i="7"/>
  <c r="CB6" i="7" s="1"/>
  <c r="AT4" i="9"/>
  <c r="L151" i="7"/>
  <c r="L6" i="7" s="1"/>
  <c r="U6" i="9" s="1"/>
  <c r="E151" i="7"/>
  <c r="E6" i="7" s="1"/>
  <c r="N6" i="9" s="1"/>
  <c r="CL151" i="7"/>
  <c r="CL6" i="7" s="1"/>
  <c r="CR151" i="7"/>
  <c r="CR6" i="7" s="1"/>
  <c r="AI151" i="7"/>
  <c r="AI6" i="7" s="1"/>
  <c r="AR6" i="9" s="1"/>
  <c r="BT151" i="7"/>
  <c r="BT6" i="7" s="1"/>
  <c r="CQ151" i="7"/>
  <c r="CQ6" i="7" s="1"/>
  <c r="DH154" i="7"/>
  <c r="DH7" i="7" s="1"/>
  <c r="AW4" i="9"/>
  <c r="AP4" i="9"/>
  <c r="Y4" i="9"/>
  <c r="T4" i="9"/>
  <c r="CX151" i="7"/>
  <c r="CX6" i="7" s="1"/>
  <c r="Y151" i="7"/>
  <c r="Y6" i="7" s="1"/>
  <c r="AH6" i="9" s="1"/>
  <c r="AE151" i="7"/>
  <c r="AE6" i="7" s="1"/>
  <c r="AN6" i="9" s="1"/>
  <c r="DA151" i="7"/>
  <c r="DA6" i="7" s="1"/>
  <c r="AK151" i="7"/>
  <c r="AK6" i="7" s="1"/>
  <c r="AT6" i="9" s="1"/>
  <c r="BH151" i="7"/>
  <c r="BH6" i="7" s="1"/>
  <c r="P151" i="7"/>
  <c r="P6" i="7" s="1"/>
  <c r="Y6" i="9" s="1"/>
  <c r="CY151" i="7"/>
  <c r="CY6" i="7" s="1"/>
  <c r="H151" i="7"/>
  <c r="H6" i="7" s="1"/>
  <c r="Q6" i="9" s="1"/>
  <c r="CS151" i="7"/>
  <c r="CS6" i="7" s="1"/>
  <c r="BY151" i="7"/>
  <c r="BY6" i="7" s="1"/>
  <c r="S151" i="7"/>
  <c r="S6" i="7" s="1"/>
  <c r="AB6" i="9" s="1"/>
  <c r="AD146" i="7"/>
  <c r="AD5" i="7" s="1"/>
  <c r="E146" i="7"/>
  <c r="E5" i="7" s="1"/>
  <c r="N5" i="9" s="1"/>
  <c r="BU146" i="7"/>
  <c r="BU5" i="7" s="1"/>
  <c r="AR4" i="9"/>
  <c r="AQ4" i="9"/>
  <c r="AY4" i="9"/>
  <c r="U4" i="9"/>
  <c r="BW151" i="7"/>
  <c r="BW6" i="7" s="1"/>
  <c r="DB151" i="7"/>
  <c r="DB6" i="7" s="1"/>
  <c r="BK151" i="7"/>
  <c r="BK6" i="7" s="1"/>
  <c r="CJ151" i="7"/>
  <c r="CJ6" i="7" s="1"/>
  <c r="R151" i="7"/>
  <c r="R6" i="7" s="1"/>
  <c r="AA6" i="9" s="1"/>
  <c r="AB151" i="7"/>
  <c r="AB6" i="7" s="1"/>
  <c r="AK6" i="9" s="1"/>
  <c r="CG151" i="7"/>
  <c r="CG6" i="7" s="1"/>
  <c r="AN151" i="7"/>
  <c r="AN6" i="7" s="1"/>
  <c r="AW6" i="9" s="1"/>
  <c r="BQ151" i="7"/>
  <c r="BQ6" i="7" s="1"/>
  <c r="V151" i="7"/>
  <c r="V6" i="7" s="1"/>
  <c r="AE6" i="9" s="1"/>
  <c r="BY146" i="7"/>
  <c r="BY5" i="7" s="1"/>
  <c r="AN146" i="7"/>
  <c r="AN5" i="7" s="1"/>
  <c r="AW5" i="9" s="1"/>
  <c r="DG146" i="7"/>
  <c r="DG5" i="7" s="1"/>
  <c r="BK146" i="7"/>
  <c r="BK5" i="7" s="1"/>
  <c r="AM146" i="7"/>
  <c r="AM5" i="7" s="1"/>
  <c r="AV5" i="9" s="1"/>
  <c r="CN146" i="7"/>
  <c r="CN5" i="7" s="1"/>
  <c r="CP146" i="7"/>
  <c r="CP5" i="7" s="1"/>
  <c r="CC146" i="7"/>
  <c r="CC5" i="7" s="1"/>
  <c r="BN146" i="7"/>
  <c r="BN5" i="7" s="1"/>
  <c r="X146" i="7"/>
  <c r="X5" i="7" s="1"/>
  <c r="AG5" i="9" s="1"/>
  <c r="DH146" i="7"/>
  <c r="DH5" i="7" s="1"/>
  <c r="BG146" i="7"/>
  <c r="BG5" i="7" s="1"/>
  <c r="CK146" i="7"/>
  <c r="CK5" i="7" s="1"/>
  <c r="AU146" i="7"/>
  <c r="AU5" i="7" s="1"/>
  <c r="G146" i="7"/>
  <c r="G5" i="7" s="1"/>
  <c r="P5" i="9" s="1"/>
  <c r="CJ146" i="7"/>
  <c r="CJ5" i="7" s="1"/>
  <c r="CY146" i="7"/>
  <c r="CY5" i="7" s="1"/>
  <c r="DF146" i="7"/>
  <c r="DF5" i="7" s="1"/>
  <c r="DD146" i="7"/>
  <c r="DD5" i="7" s="1"/>
  <c r="BS146" i="7"/>
  <c r="BS5" i="7" s="1"/>
  <c r="CF146" i="7"/>
  <c r="CF5" i="7" s="1"/>
  <c r="AP146" i="7"/>
  <c r="AP5" i="7" s="1"/>
  <c r="AY5" i="9" s="1"/>
  <c r="N146" i="7"/>
  <c r="N5" i="7" s="1"/>
  <c r="W5" i="9" s="1"/>
  <c r="CX146" i="7"/>
  <c r="CX5" i="7" s="1"/>
  <c r="BH146" i="7"/>
  <c r="BH5" i="7" s="1"/>
  <c r="P146" i="7"/>
  <c r="P5" i="7" s="1"/>
  <c r="Y5" i="9" s="1"/>
  <c r="CS146" i="7"/>
  <c r="CS5" i="7" s="1"/>
  <c r="AO146" i="7"/>
  <c r="AO5" i="7" s="1"/>
  <c r="AX5" i="9" s="1"/>
  <c r="V146" i="7"/>
  <c r="V5" i="7" s="1"/>
  <c r="AE5" i="9" s="1"/>
  <c r="BP146" i="7"/>
  <c r="BP5" i="7" s="1"/>
  <c r="Q146" i="7"/>
  <c r="Q5" i="7" s="1"/>
  <c r="Z5" i="9" s="1"/>
  <c r="BQ146" i="7"/>
  <c r="BQ5" i="7" s="1"/>
  <c r="CD146" i="7"/>
  <c r="CD5" i="7" s="1"/>
  <c r="CO146" i="7"/>
  <c r="CO5" i="7" s="1"/>
  <c r="L146" i="7"/>
  <c r="L5" i="7" s="1"/>
  <c r="U5" i="9" s="1"/>
  <c r="BD146" i="7"/>
  <c r="BD5" i="7" s="1"/>
  <c r="BX146" i="7"/>
  <c r="BX5" i="7" s="1"/>
  <c r="AA146" i="7"/>
  <c r="AA5" i="7" s="1"/>
  <c r="AJ5" i="9" s="1"/>
  <c r="AR146" i="7"/>
  <c r="AR5" i="7" s="1"/>
  <c r="BA5" i="9" s="1"/>
  <c r="CV146" i="7"/>
  <c r="CV5" i="7" s="1"/>
  <c r="BW146" i="7"/>
  <c r="BW5" i="7" s="1"/>
  <c r="AG146" i="7"/>
  <c r="AG5" i="7" s="1"/>
  <c r="AP5" i="9" s="1"/>
  <c r="CA146" i="7"/>
  <c r="CA5" i="7" s="1"/>
  <c r="AD151" i="7"/>
  <c r="AD6" i="7" s="1"/>
  <c r="AM6" i="9" s="1"/>
  <c r="AL151" i="7"/>
  <c r="AL6" i="7" s="1"/>
  <c r="AU6" i="9" s="1"/>
  <c r="DF151" i="7"/>
  <c r="DF6" i="7" s="1"/>
  <c r="BP151" i="7"/>
  <c r="BP6" i="7" s="1"/>
  <c r="CW151" i="7"/>
  <c r="CW6" i="7" s="1"/>
  <c r="BB151" i="7"/>
  <c r="BB6" i="7" s="1"/>
  <c r="AH151" i="7"/>
  <c r="AH6" i="7" s="1"/>
  <c r="AQ6" i="9" s="1"/>
  <c r="AJ4" i="9"/>
  <c r="AB4" i="9"/>
  <c r="BA4" i="9"/>
  <c r="AG4" i="9"/>
  <c r="Q4" i="9"/>
  <c r="AE4" i="9"/>
  <c r="S4" i="9"/>
  <c r="AM151" i="7"/>
  <c r="AM6" i="7" s="1"/>
  <c r="AV6" i="9" s="1"/>
  <c r="AZ151" i="7"/>
  <c r="AZ6" i="7" s="1"/>
  <c r="BS151" i="7"/>
  <c r="BS6" i="7" s="1"/>
  <c r="BO151" i="7"/>
  <c r="BO6" i="7" s="1"/>
  <c r="I151" i="7"/>
  <c r="I6" i="7" s="1"/>
  <c r="R6" i="9" s="1"/>
  <c r="G151" i="7"/>
  <c r="G6" i="7" s="1"/>
  <c r="P6" i="9" s="1"/>
  <c r="CT151" i="7"/>
  <c r="CT6" i="7" s="1"/>
  <c r="CD151" i="7"/>
  <c r="CD6" i="7" s="1"/>
  <c r="CI151" i="7"/>
  <c r="CI6" i="7" s="1"/>
  <c r="BF151" i="7"/>
  <c r="BF6" i="7" s="1"/>
  <c r="M151" i="7"/>
  <c r="M6" i="7" s="1"/>
  <c r="V6" i="9" s="1"/>
  <c r="AP151" i="7"/>
  <c r="AP6" i="7" s="1"/>
  <c r="AY6" i="9" s="1"/>
  <c r="DI151" i="7"/>
  <c r="DI6" i="7" s="1"/>
  <c r="AD4" i="9"/>
  <c r="AK4" i="9"/>
  <c r="AU4" i="9"/>
  <c r="O4" i="9"/>
  <c r="X4" i="9"/>
  <c r="BB4" i="9"/>
  <c r="AT151" i="7"/>
  <c r="AT6" i="7" s="1"/>
  <c r="BC6" i="9" s="1"/>
  <c r="BC151" i="7"/>
  <c r="BC6" i="7" s="1"/>
  <c r="AP154" i="7"/>
  <c r="AP7" i="7" s="1"/>
  <c r="AY7" i="9" s="1"/>
  <c r="CS154" i="7"/>
  <c r="CS7" i="7" s="1"/>
  <c r="L154" i="7"/>
  <c r="L7" i="7" s="1"/>
  <c r="U7" i="9" s="1"/>
  <c r="J154" i="7"/>
  <c r="J7" i="7" s="1"/>
  <c r="S7" i="9" s="1"/>
  <c r="BQ154" i="7"/>
  <c r="BQ7" i="7" s="1"/>
  <c r="CT154" i="7"/>
  <c r="CT7" i="7" s="1"/>
  <c r="P154" i="7"/>
  <c r="P7" i="7" s="1"/>
  <c r="Y7" i="9" s="1"/>
  <c r="AW154" i="7"/>
  <c r="AW7" i="7" s="1"/>
  <c r="CG154" i="7"/>
  <c r="CG7" i="7" s="1"/>
  <c r="DD154" i="7"/>
  <c r="DD7" i="7" s="1"/>
  <c r="AA154" i="7"/>
  <c r="AA7" i="7" s="1"/>
  <c r="AJ7" i="9" s="1"/>
  <c r="CC154" i="7"/>
  <c r="CC7" i="7" s="1"/>
  <c r="BB154" i="7"/>
  <c r="BB7" i="7" s="1"/>
  <c r="AM154" i="7"/>
  <c r="AM7" i="7" s="1"/>
  <c r="AV7" i="9" s="1"/>
  <c r="CU154" i="7"/>
  <c r="CU7" i="7" s="1"/>
  <c r="F154" i="7"/>
  <c r="F7" i="7" s="1"/>
  <c r="O7" i="9" s="1"/>
  <c r="AT154" i="7"/>
  <c r="AT7" i="7" s="1"/>
  <c r="BC7" i="9" s="1"/>
  <c r="CI154" i="7"/>
  <c r="CI7" i="7" s="1"/>
  <c r="AI154" i="7"/>
  <c r="AI7" i="7" s="1"/>
  <c r="AR7" i="9" s="1"/>
  <c r="BY154" i="7"/>
  <c r="BY7" i="7" s="1"/>
  <c r="DE154" i="7"/>
  <c r="DE7" i="7" s="1"/>
  <c r="AC154" i="7"/>
  <c r="AC7" i="7" s="1"/>
  <c r="AL7" i="9" s="1"/>
  <c r="BD154" i="7"/>
  <c r="BD7" i="7" s="1"/>
  <c r="CE154" i="7"/>
  <c r="CE7" i="7" s="1"/>
  <c r="DF154" i="7"/>
  <c r="DF7" i="7" s="1"/>
  <c r="Y73" i="4"/>
  <c r="FO41" i="4"/>
  <c r="AM5" i="9" l="1"/>
  <c r="AC5" i="9"/>
  <c r="R5" i="9"/>
  <c r="C69" i="5"/>
  <c r="B81" i="7"/>
  <c r="I155" i="7" l="1"/>
  <c r="I156" i="7" s="1"/>
  <c r="L155" i="7"/>
  <c r="L156" i="7" s="1"/>
  <c r="O155" i="7"/>
  <c r="O156" i="7" s="1"/>
  <c r="R155" i="7"/>
  <c r="R156" i="7" s="1"/>
  <c r="U155" i="7"/>
  <c r="U156" i="7" s="1"/>
  <c r="X155" i="7"/>
  <c r="X156" i="7" s="1"/>
  <c r="AA155" i="7"/>
  <c r="AA156" i="7" s="1"/>
  <c r="AD155" i="7"/>
  <c r="AD156" i="7" s="1"/>
  <c r="AG155" i="7"/>
  <c r="AG156" i="7" s="1"/>
  <c r="AJ155" i="7"/>
  <c r="AJ156" i="7" s="1"/>
  <c r="AM155" i="7"/>
  <c r="AM156" i="7" s="1"/>
  <c r="AP155" i="7"/>
  <c r="AP156" i="7" s="1"/>
  <c r="J155" i="7"/>
  <c r="J156" i="7" s="1"/>
  <c r="N155" i="7"/>
  <c r="N156" i="7" s="1"/>
  <c r="S155" i="7"/>
  <c r="S156" i="7" s="1"/>
  <c r="W155" i="7"/>
  <c r="W156" i="7" s="1"/>
  <c r="AB155" i="7"/>
  <c r="AB156" i="7" s="1"/>
  <c r="AF155" i="7"/>
  <c r="AF156" i="7" s="1"/>
  <c r="AK155" i="7"/>
  <c r="AK156" i="7" s="1"/>
  <c r="AO155" i="7"/>
  <c r="AO156" i="7" s="1"/>
  <c r="AS155" i="7"/>
  <c r="AS156" i="7" s="1"/>
  <c r="AV155" i="7"/>
  <c r="AV156" i="7" s="1"/>
  <c r="AY155" i="7"/>
  <c r="AY156" i="7" s="1"/>
  <c r="BB155" i="7"/>
  <c r="BB156" i="7" s="1"/>
  <c r="BE155" i="7"/>
  <c r="BE156" i="7" s="1"/>
  <c r="BH155" i="7"/>
  <c r="BH156" i="7" s="1"/>
  <c r="BK155" i="7"/>
  <c r="BK156" i="7" s="1"/>
  <c r="BN155" i="7"/>
  <c r="BN156" i="7" s="1"/>
  <c r="BQ155" i="7"/>
  <c r="BQ156" i="7" s="1"/>
  <c r="BT155" i="7"/>
  <c r="BT156" i="7" s="1"/>
  <c r="BW155" i="7"/>
  <c r="BW156" i="7" s="1"/>
  <c r="BZ155" i="7"/>
  <c r="BZ156" i="7" s="1"/>
  <c r="CC155" i="7"/>
  <c r="CC156" i="7" s="1"/>
  <c r="CF155" i="7"/>
  <c r="CF156" i="7" s="1"/>
  <c r="CI155" i="7"/>
  <c r="CI156" i="7" s="1"/>
  <c r="CL155" i="7"/>
  <c r="CL156" i="7" s="1"/>
  <c r="CO155" i="7"/>
  <c r="CO156" i="7" s="1"/>
  <c r="CR155" i="7"/>
  <c r="CR156" i="7" s="1"/>
  <c r="CU155" i="7"/>
  <c r="CU156" i="7" s="1"/>
  <c r="CX155" i="7"/>
  <c r="CX156" i="7" s="1"/>
  <c r="DA155" i="7"/>
  <c r="DA156" i="7" s="1"/>
  <c r="DD155" i="7"/>
  <c r="DD156" i="7" s="1"/>
  <c r="DG155" i="7"/>
  <c r="DG156" i="7" s="1"/>
  <c r="F155" i="7"/>
  <c r="F156" i="7" s="1"/>
  <c r="G155" i="7"/>
  <c r="G156" i="7" s="1"/>
  <c r="K155" i="7"/>
  <c r="K156" i="7" s="1"/>
  <c r="P155" i="7"/>
  <c r="P156" i="7" s="1"/>
  <c r="T155" i="7"/>
  <c r="T156" i="7" s="1"/>
  <c r="Y155" i="7"/>
  <c r="Y156" i="7" s="1"/>
  <c r="AC155" i="7"/>
  <c r="AC156" i="7" s="1"/>
  <c r="AH155" i="7"/>
  <c r="AH156" i="7" s="1"/>
  <c r="AL155" i="7"/>
  <c r="AL156" i="7" s="1"/>
  <c r="AQ155" i="7"/>
  <c r="AQ156" i="7" s="1"/>
  <c r="AT155" i="7"/>
  <c r="AT156" i="7" s="1"/>
  <c r="AW155" i="7"/>
  <c r="AW156" i="7" s="1"/>
  <c r="AZ155" i="7"/>
  <c r="AZ156" i="7" s="1"/>
  <c r="BC155" i="7"/>
  <c r="BC156" i="7" s="1"/>
  <c r="BF155" i="7"/>
  <c r="BF156" i="7" s="1"/>
  <c r="BI155" i="7"/>
  <c r="BI156" i="7" s="1"/>
  <c r="BL155" i="7"/>
  <c r="BL156" i="7" s="1"/>
  <c r="BO155" i="7"/>
  <c r="BO156" i="7" s="1"/>
  <c r="BR155" i="7"/>
  <c r="BR156" i="7" s="1"/>
  <c r="BU155" i="7"/>
  <c r="BU156" i="7" s="1"/>
  <c r="BX155" i="7"/>
  <c r="BX156" i="7" s="1"/>
  <c r="CA155" i="7"/>
  <c r="CA156" i="7" s="1"/>
  <c r="CD155" i="7"/>
  <c r="CD156" i="7" s="1"/>
  <c r="CG155" i="7"/>
  <c r="CG156" i="7" s="1"/>
  <c r="CJ155" i="7"/>
  <c r="CJ156" i="7" s="1"/>
  <c r="CM155" i="7"/>
  <c r="CM156" i="7" s="1"/>
  <c r="CP155" i="7"/>
  <c r="CP156" i="7" s="1"/>
  <c r="CS155" i="7"/>
  <c r="CS156" i="7" s="1"/>
  <c r="CV155" i="7"/>
  <c r="CV156" i="7" s="1"/>
  <c r="CY155" i="7"/>
  <c r="CY156" i="7" s="1"/>
  <c r="DB155" i="7"/>
  <c r="DB156" i="7" s="1"/>
  <c r="DE155" i="7"/>
  <c r="DE156" i="7" s="1"/>
  <c r="DH155" i="7"/>
  <c r="DH156" i="7" s="1"/>
  <c r="E155" i="7"/>
  <c r="E156" i="7" s="1"/>
  <c r="H155" i="7"/>
  <c r="H156" i="7" s="1"/>
  <c r="M155" i="7"/>
  <c r="M156" i="7" s="1"/>
  <c r="Q155" i="7"/>
  <c r="Q156" i="7" s="1"/>
  <c r="V155" i="7"/>
  <c r="V156" i="7" s="1"/>
  <c r="Z155" i="7"/>
  <c r="Z156" i="7" s="1"/>
  <c r="AE155" i="7"/>
  <c r="AE156" i="7" s="1"/>
  <c r="AI155" i="7"/>
  <c r="AI156" i="7" s="1"/>
  <c r="AN155" i="7"/>
  <c r="AN156" i="7" s="1"/>
  <c r="AR155" i="7"/>
  <c r="AR156" i="7" s="1"/>
  <c r="AU155" i="7"/>
  <c r="AU156" i="7" s="1"/>
  <c r="AX155" i="7"/>
  <c r="AX156" i="7" s="1"/>
  <c r="BA155" i="7"/>
  <c r="BA156" i="7" s="1"/>
  <c r="BD155" i="7"/>
  <c r="BD156" i="7" s="1"/>
  <c r="BG155" i="7"/>
  <c r="BG156" i="7" s="1"/>
  <c r="BJ155" i="7"/>
  <c r="BJ156" i="7" s="1"/>
  <c r="BM155" i="7"/>
  <c r="BM156" i="7" s="1"/>
  <c r="BP155" i="7"/>
  <c r="BP156" i="7" s="1"/>
  <c r="BS155" i="7"/>
  <c r="BS156" i="7" s="1"/>
  <c r="BV155" i="7"/>
  <c r="BV156" i="7" s="1"/>
  <c r="BY155" i="7"/>
  <c r="BY156" i="7" s="1"/>
  <c r="CB155" i="7"/>
  <c r="CB156" i="7" s="1"/>
  <c r="CE155" i="7"/>
  <c r="CE156" i="7" s="1"/>
  <c r="CH155" i="7"/>
  <c r="CH156" i="7" s="1"/>
  <c r="CK155" i="7"/>
  <c r="CK156" i="7" s="1"/>
  <c r="CN155" i="7"/>
  <c r="CN156" i="7" s="1"/>
  <c r="CQ155" i="7"/>
  <c r="CQ156" i="7" s="1"/>
  <c r="CT155" i="7"/>
  <c r="CT156" i="7" s="1"/>
  <c r="CW155" i="7"/>
  <c r="CW156" i="7" s="1"/>
  <c r="CZ155" i="7"/>
  <c r="CZ156" i="7" s="1"/>
  <c r="DC155" i="7"/>
  <c r="DC156" i="7" s="1"/>
  <c r="DF155" i="7"/>
  <c r="DF156" i="7" s="1"/>
  <c r="DI155" i="7"/>
  <c r="DI156" i="7" s="1"/>
  <c r="DF8" i="7" l="1"/>
  <c r="DF9" i="7" s="1"/>
  <c r="DF157" i="7"/>
  <c r="CN8" i="7"/>
  <c r="CN9" i="7" s="1"/>
  <c r="CN157" i="7"/>
  <c r="BV8" i="7"/>
  <c r="BV9" i="7" s="1"/>
  <c r="BV157" i="7"/>
  <c r="AU8" i="7"/>
  <c r="AU9" i="7" s="1"/>
  <c r="AU157" i="7"/>
  <c r="H157" i="7"/>
  <c r="H8" i="7"/>
  <c r="H9" i="7" s="1"/>
  <c r="Q9" i="9" s="1"/>
  <c r="CV8" i="7"/>
  <c r="CV9" i="7" s="1"/>
  <c r="CV157" i="7"/>
  <c r="CM8" i="7"/>
  <c r="CM9" i="7" s="1"/>
  <c r="CM157" i="7"/>
  <c r="BU8" i="7"/>
  <c r="BU9" i="7" s="1"/>
  <c r="BU157" i="7"/>
  <c r="G8" i="7"/>
  <c r="P8" i="9" s="1"/>
  <c r="G157" i="7"/>
  <c r="CW8" i="7"/>
  <c r="CW9" i="7" s="1"/>
  <c r="CW157" i="7"/>
  <c r="CE8" i="7"/>
  <c r="CE9" i="7" s="1"/>
  <c r="CE157" i="7"/>
  <c r="BM8" i="7"/>
  <c r="BM9" i="7" s="1"/>
  <c r="BM157" i="7"/>
  <c r="BD8" i="7"/>
  <c r="BD9" i="7" s="1"/>
  <c r="BD157" i="7"/>
  <c r="AI8" i="7"/>
  <c r="AI9" i="7" s="1"/>
  <c r="AR9" i="9" s="1"/>
  <c r="AI157" i="7"/>
  <c r="V8" i="7"/>
  <c r="AE8" i="9" s="1"/>
  <c r="V157" i="7"/>
  <c r="DE8" i="7"/>
  <c r="DE9" i="7" s="1"/>
  <c r="DE157" i="7"/>
  <c r="CD8" i="7"/>
  <c r="CD9" i="7" s="1"/>
  <c r="CD157" i="7"/>
  <c r="BL8" i="7"/>
  <c r="BL9" i="7" s="1"/>
  <c r="BL157" i="7"/>
  <c r="BC8" i="7"/>
  <c r="BC9" i="7" s="1"/>
  <c r="BC157" i="7"/>
  <c r="AT8" i="7"/>
  <c r="BC8" i="9" s="1"/>
  <c r="AT157" i="7"/>
  <c r="AH8" i="7"/>
  <c r="AH9" i="7" s="1"/>
  <c r="AQ9" i="9" s="1"/>
  <c r="AH157" i="7"/>
  <c r="T8" i="7"/>
  <c r="AC8" i="9" s="1"/>
  <c r="T157" i="7"/>
  <c r="DD8" i="7"/>
  <c r="DD9" i="7" s="1"/>
  <c r="DD157" i="7"/>
  <c r="CU8" i="7"/>
  <c r="CU9" i="7" s="1"/>
  <c r="CU157" i="7"/>
  <c r="CL8" i="7"/>
  <c r="CL9" i="7" s="1"/>
  <c r="CL157" i="7"/>
  <c r="CC8" i="7"/>
  <c r="CC9" i="7" s="1"/>
  <c r="CC157" i="7"/>
  <c r="BT8" i="7"/>
  <c r="BT9" i="7" s="1"/>
  <c r="BT157" i="7"/>
  <c r="BK8" i="7"/>
  <c r="BK9" i="7" s="1"/>
  <c r="BK157" i="7"/>
  <c r="BB8" i="7"/>
  <c r="BB9" i="7" s="1"/>
  <c r="BB157" i="7"/>
  <c r="AS8" i="7"/>
  <c r="AS9" i="7" s="1"/>
  <c r="BB9" i="9" s="1"/>
  <c r="AS157" i="7"/>
  <c r="AF8" i="7"/>
  <c r="AF9" i="7" s="1"/>
  <c r="AO9" i="9" s="1"/>
  <c r="AF157" i="7"/>
  <c r="S8" i="7"/>
  <c r="S9" i="7" s="1"/>
  <c r="AB9" i="9" s="1"/>
  <c r="S157" i="7"/>
  <c r="AP8" i="7"/>
  <c r="AY8" i="9" s="1"/>
  <c r="AP157" i="7"/>
  <c r="AG8" i="7"/>
  <c r="AP8" i="9" s="1"/>
  <c r="AG157" i="7"/>
  <c r="X8" i="7"/>
  <c r="X9" i="7" s="1"/>
  <c r="AG9" i="9" s="1"/>
  <c r="X157" i="7"/>
  <c r="O8" i="7"/>
  <c r="X8" i="9" s="1"/>
  <c r="O157" i="7"/>
  <c r="E8" i="7"/>
  <c r="N8" i="9" s="1"/>
  <c r="E157" i="7"/>
  <c r="DC8" i="7"/>
  <c r="DC9" i="7" s="1"/>
  <c r="DC157" i="7"/>
  <c r="CT8" i="7"/>
  <c r="CT9" i="7" s="1"/>
  <c r="CT157" i="7"/>
  <c r="CK8" i="7"/>
  <c r="CK9" i="7" s="1"/>
  <c r="CK157" i="7"/>
  <c r="CB8" i="7"/>
  <c r="CB9" i="7" s="1"/>
  <c r="CB157" i="7"/>
  <c r="BS8" i="7"/>
  <c r="BS9" i="7" s="1"/>
  <c r="BS157" i="7"/>
  <c r="BJ8" i="7"/>
  <c r="BJ9" i="7" s="1"/>
  <c r="BJ157" i="7"/>
  <c r="BA8" i="7"/>
  <c r="BA9" i="7" s="1"/>
  <c r="BA157" i="7"/>
  <c r="AR8" i="7"/>
  <c r="BA8" i="9" s="1"/>
  <c r="AR157" i="7"/>
  <c r="AE8" i="7"/>
  <c r="AE9" i="7" s="1"/>
  <c r="AN9" i="9" s="1"/>
  <c r="AE157" i="7"/>
  <c r="Q157" i="7"/>
  <c r="Q8" i="7"/>
  <c r="Z8" i="9" s="1"/>
  <c r="DB8" i="7"/>
  <c r="DB9" i="7" s="1"/>
  <c r="DB157" i="7"/>
  <c r="CS8" i="7"/>
  <c r="CS9" i="7" s="1"/>
  <c r="CS157" i="7"/>
  <c r="CJ8" i="7"/>
  <c r="CJ9" i="7" s="1"/>
  <c r="CJ157" i="7"/>
  <c r="CA8" i="7"/>
  <c r="CA9" i="7" s="1"/>
  <c r="CA157" i="7"/>
  <c r="BR8" i="7"/>
  <c r="BR9" i="7" s="1"/>
  <c r="BR157" i="7"/>
  <c r="BI8" i="7"/>
  <c r="BI9" i="7" s="1"/>
  <c r="BI157" i="7"/>
  <c r="AZ8" i="7"/>
  <c r="AZ9" i="7" s="1"/>
  <c r="AZ157" i="7"/>
  <c r="AQ8" i="7"/>
  <c r="AQ9" i="7" s="1"/>
  <c r="AZ9" i="9" s="1"/>
  <c r="AQ157" i="7"/>
  <c r="AC8" i="7"/>
  <c r="AL8" i="9" s="1"/>
  <c r="AC157" i="7"/>
  <c r="P8" i="7"/>
  <c r="Y8" i="9" s="1"/>
  <c r="P157" i="7"/>
  <c r="F8" i="7"/>
  <c r="F9" i="7" s="1"/>
  <c r="O9" i="9" s="1"/>
  <c r="F157" i="7"/>
  <c r="DA8" i="7"/>
  <c r="DA9" i="7" s="1"/>
  <c r="DA157" i="7"/>
  <c r="CR8" i="7"/>
  <c r="CR9" i="7" s="1"/>
  <c r="CR157" i="7"/>
  <c r="CI8" i="7"/>
  <c r="CI9" i="7" s="1"/>
  <c r="CI157" i="7"/>
  <c r="BZ8" i="7"/>
  <c r="BZ9" i="7" s="1"/>
  <c r="BZ157" i="7"/>
  <c r="BQ8" i="7"/>
  <c r="BQ9" i="7" s="1"/>
  <c r="BQ157" i="7"/>
  <c r="BH8" i="7"/>
  <c r="BH9" i="7" s="1"/>
  <c r="BH157" i="7"/>
  <c r="AY8" i="7"/>
  <c r="AY9" i="7" s="1"/>
  <c r="AY157" i="7"/>
  <c r="AO8" i="7"/>
  <c r="AX8" i="9" s="1"/>
  <c r="AO157" i="7"/>
  <c r="AB8" i="7"/>
  <c r="AK8" i="9" s="1"/>
  <c r="AB157" i="7"/>
  <c r="N157" i="7"/>
  <c r="N8" i="7"/>
  <c r="N9" i="7" s="1"/>
  <c r="W9" i="9" s="1"/>
  <c r="AM8" i="7"/>
  <c r="AV8" i="9" s="1"/>
  <c r="AM157" i="7"/>
  <c r="AD8" i="7"/>
  <c r="AD9" i="7" s="1"/>
  <c r="AM9" i="9" s="1"/>
  <c r="AD157" i="7"/>
  <c r="U8" i="7"/>
  <c r="U9" i="7" s="1"/>
  <c r="AD9" i="9" s="1"/>
  <c r="U157" i="7"/>
  <c r="L8" i="7"/>
  <c r="L9" i="7" s="1"/>
  <c r="U9" i="9" s="1"/>
  <c r="L157" i="7"/>
  <c r="DI8" i="7"/>
  <c r="DI9" i="7" s="1"/>
  <c r="DI157" i="7"/>
  <c r="CZ8" i="7"/>
  <c r="CZ9" i="7" s="1"/>
  <c r="CZ157" i="7"/>
  <c r="CQ8" i="7"/>
  <c r="CQ9" i="7" s="1"/>
  <c r="CQ157" i="7"/>
  <c r="CH8" i="7"/>
  <c r="CH9" i="7" s="1"/>
  <c r="CH157" i="7"/>
  <c r="BY8" i="7"/>
  <c r="BY9" i="7" s="1"/>
  <c r="BY157" i="7"/>
  <c r="BP8" i="7"/>
  <c r="BP9" i="7" s="1"/>
  <c r="BP157" i="7"/>
  <c r="BG8" i="7"/>
  <c r="BG9" i="7" s="1"/>
  <c r="BG157" i="7"/>
  <c r="AX8" i="7"/>
  <c r="AX9" i="7" s="1"/>
  <c r="AX157" i="7"/>
  <c r="AN8" i="7"/>
  <c r="AW8" i="9" s="1"/>
  <c r="AN157" i="7"/>
  <c r="Z8" i="7"/>
  <c r="Z9" i="7" s="1"/>
  <c r="AI9" i="9" s="1"/>
  <c r="Z157" i="7"/>
  <c r="M8" i="7"/>
  <c r="M9" i="7" s="1"/>
  <c r="V9" i="9" s="1"/>
  <c r="M157" i="7"/>
  <c r="DH8" i="7"/>
  <c r="DH9" i="7" s="1"/>
  <c r="DH157" i="7"/>
  <c r="CY8" i="7"/>
  <c r="CY9" i="7" s="1"/>
  <c r="CY157" i="7"/>
  <c r="CP8" i="7"/>
  <c r="CP9" i="7" s="1"/>
  <c r="CP157" i="7"/>
  <c r="CG8" i="7"/>
  <c r="CG9" i="7" s="1"/>
  <c r="CG157" i="7"/>
  <c r="BX8" i="7"/>
  <c r="BX9" i="7" s="1"/>
  <c r="BX157" i="7"/>
  <c r="BO8" i="7"/>
  <c r="BO9" i="7" s="1"/>
  <c r="BO157" i="7"/>
  <c r="BF8" i="7"/>
  <c r="BF9" i="7" s="1"/>
  <c r="BF157" i="7"/>
  <c r="AW8" i="7"/>
  <c r="AW9" i="7" s="1"/>
  <c r="AW157" i="7"/>
  <c r="AL8" i="7"/>
  <c r="AL9" i="7" s="1"/>
  <c r="AU9" i="9" s="1"/>
  <c r="AL157" i="7"/>
  <c r="Y8" i="7"/>
  <c r="AH8" i="9" s="1"/>
  <c r="Y157" i="7"/>
  <c r="K157" i="7"/>
  <c r="K8" i="7"/>
  <c r="K9" i="7" s="1"/>
  <c r="T9" i="9" s="1"/>
  <c r="DG8" i="7"/>
  <c r="DG9" i="7" s="1"/>
  <c r="DG157" i="7"/>
  <c r="CX8" i="7"/>
  <c r="CX9" i="7" s="1"/>
  <c r="CX157" i="7"/>
  <c r="CO8" i="7"/>
  <c r="CO9" i="7" s="1"/>
  <c r="CO157" i="7"/>
  <c r="CF8" i="7"/>
  <c r="CF9" i="7" s="1"/>
  <c r="CF157" i="7"/>
  <c r="BW8" i="7"/>
  <c r="BW9" i="7" s="1"/>
  <c r="BW157" i="7"/>
  <c r="BN8" i="7"/>
  <c r="BN9" i="7" s="1"/>
  <c r="BN157" i="7"/>
  <c r="BE8" i="7"/>
  <c r="BE9" i="7" s="1"/>
  <c r="BE157" i="7"/>
  <c r="AV8" i="7"/>
  <c r="AV9" i="7" s="1"/>
  <c r="AV157" i="7"/>
  <c r="AK8" i="7"/>
  <c r="AK9" i="7" s="1"/>
  <c r="AT9" i="9" s="1"/>
  <c r="AK157" i="7"/>
  <c r="W8" i="7"/>
  <c r="AF8" i="9" s="1"/>
  <c r="W157" i="7"/>
  <c r="J8" i="7"/>
  <c r="J157" i="7"/>
  <c r="AJ8" i="7"/>
  <c r="AS8" i="9" s="1"/>
  <c r="AJ157" i="7"/>
  <c r="AA8" i="7"/>
  <c r="AJ8" i="9" s="1"/>
  <c r="AA157" i="7"/>
  <c r="R8" i="7"/>
  <c r="R9" i="7" s="1"/>
  <c r="AA9" i="9" s="1"/>
  <c r="R157" i="7"/>
  <c r="I8" i="7"/>
  <c r="I9" i="7" s="1"/>
  <c r="R9" i="9" s="1"/>
  <c r="I157" i="7"/>
  <c r="AQ8" i="9"/>
  <c r="Q8" i="9"/>
  <c r="O9" i="7"/>
  <c r="X9" i="9" s="1"/>
  <c r="E9" i="7"/>
  <c r="N9" i="9" s="1"/>
  <c r="AO8" i="9"/>
  <c r="V9" i="7"/>
  <c r="AE9" i="9" s="1"/>
  <c r="AZ8" i="9"/>
  <c r="G9" i="7"/>
  <c r="P9" i="9" s="1"/>
  <c r="BB8" i="9"/>
  <c r="AT9" i="7"/>
  <c r="BC9" i="9" s="1"/>
  <c r="AP9" i="7"/>
  <c r="AY9" i="9" s="1"/>
  <c r="AG9" i="7"/>
  <c r="AP9" i="9" s="1"/>
  <c r="T9" i="7" l="1"/>
  <c r="AC9" i="9" s="1"/>
  <c r="AB8" i="9"/>
  <c r="AA9" i="7"/>
  <c r="AJ9" i="9" s="1"/>
  <c r="V8" i="9"/>
  <c r="AR8" i="9"/>
  <c r="AG8" i="9"/>
  <c r="R8" i="9"/>
  <c r="AC9" i="7"/>
  <c r="AL9" i="9" s="1"/>
  <c r="AD8" i="9"/>
  <c r="Q9" i="7"/>
  <c r="Z9" i="9" s="1"/>
  <c r="AI8" i="9"/>
  <c r="AU8" i="9"/>
  <c r="AR9" i="7"/>
  <c r="BA9" i="9" s="1"/>
  <c r="P9" i="7"/>
  <c r="Y9" i="9" s="1"/>
  <c r="W9" i="7"/>
  <c r="AF9" i="9" s="1"/>
  <c r="AA8" i="9"/>
  <c r="AM9" i="7"/>
  <c r="AV9" i="9" s="1"/>
  <c r="W8" i="9"/>
  <c r="AM8" i="9"/>
  <c r="O8" i="9"/>
  <c r="AN8" i="9"/>
  <c r="AB9" i="7"/>
  <c r="AK9" i="9" s="1"/>
  <c r="AN9" i="7"/>
  <c r="AW9" i="9" s="1"/>
  <c r="AT8" i="9"/>
  <c r="AJ9" i="7"/>
  <c r="AS9" i="9" s="1"/>
  <c r="AO9" i="7"/>
  <c r="AX9" i="9" s="1"/>
  <c r="U8" i="9"/>
  <c r="S8" i="9"/>
  <c r="J9" i="7"/>
  <c r="S9" i="9" s="1"/>
  <c r="Y9" i="7"/>
  <c r="AH9" i="9" s="1"/>
  <c r="T8" i="9"/>
  <c r="M14" i="9" l="1" a="1"/>
  <c r="T56" i="9" s="1"/>
  <c r="T47" i="9" l="1"/>
  <c r="S34" i="9"/>
  <c r="U18" i="9"/>
  <c r="P41" i="9"/>
  <c r="P31" i="9"/>
  <c r="Q43" i="9"/>
  <c r="M44" i="9"/>
  <c r="Q27" i="9"/>
  <c r="T19" i="9"/>
  <c r="M24" i="9"/>
  <c r="N34" i="9"/>
  <c r="S51" i="9"/>
  <c r="Q32" i="9"/>
  <c r="M16" i="9"/>
  <c r="S30" i="9"/>
  <c r="Q29" i="9"/>
  <c r="R35" i="9"/>
  <c r="M27" i="9"/>
  <c r="P54" i="9"/>
  <c r="N39" i="9"/>
  <c r="R50" i="9"/>
  <c r="T52" i="9"/>
  <c r="O51" i="9"/>
  <c r="M21" i="9"/>
  <c r="M35" i="9"/>
  <c r="U37" i="9"/>
  <c r="S37" i="9"/>
  <c r="N15" i="9"/>
  <c r="T32" i="9"/>
  <c r="S17" i="9"/>
  <c r="O28" i="9"/>
  <c r="M15" i="9"/>
  <c r="T29" i="9"/>
  <c r="P40" i="9"/>
  <c r="R18" i="9"/>
  <c r="S16" i="9"/>
  <c r="U28" i="9"/>
  <c r="N41" i="9"/>
  <c r="U52" i="9"/>
  <c r="Q24" i="9"/>
  <c r="N40" i="9"/>
  <c r="O37" i="9"/>
  <c r="R22" i="9"/>
  <c r="O38" i="9"/>
  <c r="M26" i="9"/>
  <c r="U17" i="9"/>
  <c r="U56" i="9"/>
  <c r="M29" i="9"/>
  <c r="N36" i="9"/>
  <c r="S45" i="9"/>
  <c r="T24" i="9"/>
  <c r="R40" i="9"/>
  <c r="N35" i="9"/>
  <c r="P39" i="9"/>
  <c r="R30" i="9"/>
  <c r="O47" i="9"/>
  <c r="P38" i="9"/>
  <c r="Q25" i="9"/>
  <c r="M17" i="9"/>
  <c r="S28" i="9"/>
  <c r="P35" i="9"/>
  <c r="O27" i="9"/>
  <c r="M55" i="9"/>
  <c r="O55" i="9"/>
  <c r="T55" i="9"/>
  <c r="U38" i="9"/>
  <c r="R23" i="9"/>
  <c r="P46" i="9"/>
  <c r="T35" i="9"/>
  <c r="Q34" i="9"/>
  <c r="U20" i="9"/>
  <c r="R36" i="9"/>
  <c r="Q19" i="9"/>
  <c r="Q31" i="9"/>
  <c r="U27" i="9"/>
  <c r="R42" i="9"/>
  <c r="U42" i="9"/>
  <c r="U21" i="9"/>
  <c r="O31" i="9"/>
  <c r="O52" i="9"/>
  <c r="M43" i="9"/>
  <c r="P42" i="9"/>
  <c r="T37" i="9"/>
  <c r="Q21" i="9"/>
  <c r="P24" i="9"/>
  <c r="M54" i="9"/>
  <c r="T30" i="9"/>
  <c r="R32" i="9"/>
  <c r="Q16" i="9"/>
  <c r="S33" i="9"/>
  <c r="N14" i="9"/>
  <c r="U29" i="9"/>
  <c r="U43" i="9"/>
  <c r="P49" i="9"/>
  <c r="O30" i="9"/>
  <c r="R45" i="9"/>
  <c r="S53" i="9"/>
  <c r="U49" i="9"/>
  <c r="T33" i="9"/>
  <c r="R44" i="9"/>
  <c r="U45" i="9"/>
  <c r="T49" i="9"/>
  <c r="U33" i="9"/>
  <c r="N47" i="9"/>
  <c r="M31" i="9"/>
  <c r="Q42" i="9"/>
  <c r="T43" i="9"/>
  <c r="S54" i="9"/>
  <c r="O54" i="9"/>
  <c r="M36" i="9"/>
  <c r="U22" i="9"/>
  <c r="O19" i="9"/>
  <c r="M46" i="9"/>
  <c r="P27" i="9"/>
  <c r="T14" i="9"/>
  <c r="R24" i="9"/>
  <c r="O41" i="9"/>
  <c r="P21" i="9"/>
  <c r="P47" i="9"/>
  <c r="P44" i="9"/>
  <c r="S46" i="9"/>
  <c r="P32" i="9"/>
  <c r="N23" i="9"/>
  <c r="N29" i="9"/>
  <c r="T26" i="9"/>
  <c r="Q14" i="9"/>
  <c r="M23" i="9"/>
  <c r="Q22" i="9"/>
  <c r="R26" i="9"/>
  <c r="O25" i="9"/>
  <c r="Q46" i="9"/>
  <c r="O29" i="9"/>
  <c r="R34" i="9"/>
  <c r="R28" i="9"/>
  <c r="Q40" i="9"/>
  <c r="R21" i="9"/>
  <c r="Q37" i="9"/>
  <c r="P30" i="9"/>
  <c r="S44" i="9"/>
  <c r="P18" i="9"/>
  <c r="Q26" i="9"/>
  <c r="R37" i="9"/>
  <c r="R17" i="9"/>
  <c r="N17" i="9"/>
  <c r="O53" i="9"/>
  <c r="O22" i="9"/>
  <c r="M50" i="9"/>
  <c r="M14" i="9"/>
  <c r="N55" i="9"/>
  <c r="M32" i="9"/>
  <c r="P53" i="9"/>
  <c r="P33" i="9"/>
  <c r="T51" i="9"/>
  <c r="T44" i="9"/>
  <c r="T42" i="9"/>
  <c r="S26" i="9"/>
  <c r="N52" i="9"/>
  <c r="T38" i="9"/>
  <c r="O18" i="9"/>
  <c r="M45" i="9"/>
  <c r="N50" i="9"/>
  <c r="S20" i="9"/>
  <c r="P19" i="9"/>
  <c r="T46" i="9"/>
  <c r="U39" i="9"/>
  <c r="S35" i="9"/>
  <c r="S56" i="9"/>
  <c r="Q17" i="9"/>
  <c r="R51" i="9"/>
  <c r="U50" i="9"/>
  <c r="Q56" i="9"/>
  <c r="T16" i="9"/>
  <c r="O45" i="9"/>
  <c r="T34" i="9"/>
  <c r="U24" i="9"/>
  <c r="R52" i="9"/>
  <c r="P50" i="9"/>
  <c r="U31" i="9"/>
  <c r="R54" i="9"/>
  <c r="Q47" i="9"/>
  <c r="O26" i="9"/>
  <c r="T54" i="9"/>
  <c r="O33" i="9"/>
  <c r="S31" i="9"/>
  <c r="U36" i="9"/>
  <c r="Q44" i="9"/>
  <c r="P15" i="9"/>
  <c r="U44" i="9"/>
  <c r="S52" i="9"/>
  <c r="T21" i="9"/>
  <c r="P43" i="9"/>
  <c r="S29" i="9"/>
  <c r="T45" i="9"/>
  <c r="Q30" i="9"/>
  <c r="Q20" i="9"/>
  <c r="M28" i="9"/>
  <c r="U30" i="9"/>
  <c r="S22" i="9"/>
  <c r="Q18" i="9"/>
  <c r="M38" i="9"/>
  <c r="S48" i="9"/>
  <c r="T17" i="9"/>
  <c r="T39" i="9"/>
  <c r="M37" i="9"/>
  <c r="N46" i="9"/>
  <c r="Q33" i="9"/>
  <c r="M33" i="9"/>
  <c r="P17" i="9"/>
  <c r="M56" i="9"/>
  <c r="M47" i="9"/>
  <c r="S19" i="9"/>
  <c r="N56" i="9"/>
  <c r="T22" i="9"/>
  <c r="Q15" i="9"/>
  <c r="N53" i="9"/>
  <c r="O49" i="9"/>
  <c r="R41" i="9"/>
  <c r="N43" i="9"/>
  <c r="N19" i="9"/>
  <c r="U34" i="9"/>
  <c r="U41" i="9"/>
  <c r="M34" i="9"/>
  <c r="R14" i="9"/>
  <c r="N26" i="9"/>
  <c r="S25" i="9"/>
  <c r="M49" i="9"/>
  <c r="T27" i="9"/>
  <c r="N22" i="9"/>
  <c r="T40" i="9"/>
  <c r="O50" i="9"/>
  <c r="N31" i="9"/>
  <c r="P29" i="9"/>
  <c r="S47" i="9"/>
  <c r="Q28" i="9"/>
  <c r="R31" i="9"/>
  <c r="T31" i="9"/>
  <c r="S36" i="9"/>
  <c r="R15" i="9"/>
  <c r="O34" i="9"/>
  <c r="O32" i="9"/>
  <c r="S27" i="9"/>
  <c r="M30" i="9"/>
  <c r="Q41" i="9"/>
  <c r="R53" i="9"/>
  <c r="U25" i="9"/>
  <c r="O48" i="9"/>
  <c r="O17" i="9"/>
  <c r="Q55" i="9"/>
  <c r="P26" i="9"/>
  <c r="T36" i="9"/>
  <c r="O46" i="9"/>
  <c r="N54" i="9"/>
  <c r="M25" i="9"/>
  <c r="R25" i="9"/>
  <c r="R56" i="9"/>
  <c r="M41" i="9"/>
  <c r="U16" i="9"/>
  <c r="O44" i="9"/>
  <c r="R55" i="9"/>
  <c r="U53" i="9"/>
  <c r="T20" i="9"/>
  <c r="N37" i="9"/>
  <c r="P25" i="9"/>
  <c r="N18" i="9"/>
  <c r="N16" i="9"/>
  <c r="N45" i="9"/>
  <c r="Q36" i="9"/>
  <c r="S15" i="9"/>
  <c r="N42" i="9"/>
  <c r="M20" i="9"/>
  <c r="T41" i="9"/>
  <c r="N28" i="9"/>
  <c r="P48" i="9"/>
  <c r="S41" i="9"/>
  <c r="P55" i="9"/>
  <c r="R29" i="9"/>
  <c r="R19" i="9"/>
  <c r="P56" i="9"/>
  <c r="N33" i="9"/>
  <c r="O16" i="9"/>
  <c r="R49" i="9"/>
  <c r="N30" i="9"/>
  <c r="N49" i="9"/>
  <c r="S14" i="9"/>
  <c r="T23" i="9"/>
  <c r="M52" i="9"/>
  <c r="R33" i="9"/>
  <c r="U15" i="9"/>
  <c r="N38" i="9"/>
  <c r="S49" i="9"/>
  <c r="P45" i="9"/>
  <c r="U23" i="9"/>
  <c r="O14" i="9"/>
  <c r="O43" i="9"/>
  <c r="M51" i="9"/>
  <c r="Q50" i="9"/>
  <c r="S38" i="9"/>
  <c r="O36" i="9"/>
  <c r="P52" i="9"/>
  <c r="T53" i="9"/>
  <c r="Q38" i="9"/>
  <c r="U46" i="9"/>
  <c r="M53" i="9"/>
  <c r="S43" i="9"/>
  <c r="U54" i="9"/>
  <c r="Q52" i="9"/>
  <c r="P23" i="9"/>
  <c r="S55" i="9"/>
  <c r="S32" i="9"/>
  <c r="N51" i="9"/>
  <c r="M22" i="9"/>
  <c r="N21" i="9"/>
  <c r="P36" i="9"/>
  <c r="Q54" i="9"/>
  <c r="U26" i="9"/>
  <c r="S39" i="9"/>
  <c r="U48" i="9"/>
  <c r="Q51" i="9"/>
  <c r="R46" i="9"/>
  <c r="O56" i="9"/>
  <c r="O24" i="9"/>
  <c r="U19" i="9"/>
  <c r="S18" i="9"/>
  <c r="U55" i="9"/>
  <c r="P16" i="9"/>
  <c r="P14" i="9"/>
  <c r="U51" i="9"/>
  <c r="P51" i="9"/>
  <c r="N24" i="9"/>
  <c r="R47" i="9"/>
  <c r="S23" i="9"/>
  <c r="P37" i="9"/>
  <c r="P28" i="9"/>
  <c r="U40" i="9"/>
  <c r="T15" i="9"/>
  <c r="M18" i="9"/>
  <c r="O40" i="9"/>
  <c r="M39" i="9"/>
  <c r="N44" i="9"/>
  <c r="Q23" i="9"/>
  <c r="T25" i="9"/>
  <c r="O23" i="9"/>
  <c r="O21" i="9"/>
  <c r="O15" i="9"/>
  <c r="U35" i="9"/>
  <c r="T18" i="9"/>
  <c r="R48" i="9"/>
  <c r="T48" i="9"/>
  <c r="Q53" i="9"/>
  <c r="R38" i="9"/>
  <c r="R39" i="9"/>
  <c r="N32" i="9"/>
  <c r="S40" i="9"/>
  <c r="N20" i="9"/>
  <c r="U14" i="9"/>
  <c r="Q48" i="9"/>
  <c r="R43" i="9"/>
  <c r="T28" i="9"/>
  <c r="Q39" i="9"/>
  <c r="S24" i="9"/>
  <c r="N25" i="9"/>
  <c r="T50" i="9"/>
  <c r="S21" i="9"/>
  <c r="R20" i="9"/>
  <c r="Q35" i="9"/>
  <c r="M40" i="9"/>
  <c r="U32" i="9"/>
  <c r="O39" i="9"/>
  <c r="M48" i="9"/>
  <c r="Q49" i="9"/>
  <c r="P20" i="9"/>
  <c r="O42" i="9"/>
  <c r="P22" i="9"/>
  <c r="N48" i="9"/>
  <c r="M19" i="9"/>
  <c r="R16" i="9"/>
  <c r="O20" i="9"/>
  <c r="Q45" i="9"/>
  <c r="P34" i="9"/>
  <c r="O35" i="9"/>
  <c r="M42" i="9"/>
  <c r="S50" i="9"/>
  <c r="N27" i="9"/>
  <c r="S42" i="9"/>
  <c r="R27" i="9"/>
  <c r="U4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Platteau, Jonathan</author>
  </authors>
  <commentList>
    <comment ref="D10" authorId="0" shapeId="0" xr:uid="{7D81E6D2-70CA-41DC-A6C4-215799223B57}">
      <text>
        <r>
          <rPr>
            <b/>
            <sz val="9"/>
            <color rgb="FF000000"/>
            <rFont val="Tahoma"/>
            <family val="2"/>
          </rPr>
          <t>Platteau, Jonathan:</t>
        </r>
        <r>
          <rPr>
            <sz val="9"/>
            <color rgb="FF000000"/>
            <rFont val="Tahoma"/>
            <family val="2"/>
          </rPr>
          <t xml:space="preserve">
</t>
        </r>
        <r>
          <rPr>
            <sz val="9"/>
            <color rgb="FF000000"/>
            <rFont val="Tahoma"/>
            <family val="2"/>
          </rPr>
          <t>aantal wedstrijden waarvan winnaar/gelijkspel correct voorspeld en aantal waar ook doelpunten volledig correct zijn voorspeld</t>
        </r>
      </text>
    </comment>
  </commentList>
</comments>
</file>

<file path=xl/sharedStrings.xml><?xml version="1.0" encoding="utf-8"?>
<sst xmlns="http://schemas.openxmlformats.org/spreadsheetml/2006/main" count="6577" uniqueCount="3125">
  <si>
    <t>English</t>
  </si>
  <si>
    <t>Albanian</t>
  </si>
  <si>
    <t>Arabic</t>
  </si>
  <si>
    <t>Armenian</t>
  </si>
  <si>
    <t>Azerbaijan</t>
  </si>
  <si>
    <t>Bulgarian</t>
  </si>
  <si>
    <t>Català</t>
  </si>
  <si>
    <t>Chinese (Simplified)</t>
  </si>
  <si>
    <t>Chinese (Traditional)</t>
  </si>
  <si>
    <t>Croatian</t>
  </si>
  <si>
    <t>Czech</t>
  </si>
  <si>
    <t>Danish</t>
  </si>
  <si>
    <t>Dutch</t>
  </si>
  <si>
    <t>French</t>
  </si>
  <si>
    <t>Georgian</t>
  </si>
  <si>
    <t>German</t>
  </si>
  <si>
    <t>Greek</t>
  </si>
  <si>
    <t>Hebrew</t>
  </si>
  <si>
    <t>Hungarian</t>
  </si>
  <si>
    <t>Indonesia</t>
  </si>
  <si>
    <t>Icelandic</t>
  </si>
  <si>
    <t>Italian</t>
  </si>
  <si>
    <t>Korean</t>
  </si>
  <si>
    <t>Lithuanian</t>
  </si>
  <si>
    <t>Macedonian</t>
  </si>
  <si>
    <t>Maltese</t>
  </si>
  <si>
    <t>Norwegian</t>
  </si>
  <si>
    <t>Persian</t>
  </si>
  <si>
    <t>Polish</t>
  </si>
  <si>
    <t>Portuguese</t>
  </si>
  <si>
    <t>Romanian</t>
  </si>
  <si>
    <t>Serbian</t>
  </si>
  <si>
    <t>Slovak</t>
  </si>
  <si>
    <t>Slovenian</t>
  </si>
  <si>
    <t>Spanish</t>
  </si>
  <si>
    <t>Swedish</t>
  </si>
  <si>
    <t>Thai</t>
  </si>
  <si>
    <t>Turkish</t>
  </si>
  <si>
    <t>Vietnamese</t>
  </si>
  <si>
    <t>Ukrainian</t>
  </si>
  <si>
    <t>Urdu</t>
  </si>
  <si>
    <t>Group Stage</t>
  </si>
  <si>
    <t>Grupet</t>
  </si>
  <si>
    <t>الدور الأول</t>
  </si>
  <si>
    <t>Խմբային փուլ</t>
  </si>
  <si>
    <t>Qrup Mərhələsi</t>
  </si>
  <si>
    <t>Групова фаза</t>
  </si>
  <si>
    <t>Fase de grups</t>
  </si>
  <si>
    <t>小组赛阶段</t>
  </si>
  <si>
    <t>分組賽</t>
  </si>
  <si>
    <t>Prvi krug</t>
  </si>
  <si>
    <t>Základní skupiny</t>
  </si>
  <si>
    <t>Gruppespil</t>
  </si>
  <si>
    <t>Groepsfase</t>
  </si>
  <si>
    <t>Phase de groupes</t>
  </si>
  <si>
    <t>ჯგუფური ეტაპი</t>
  </si>
  <si>
    <t>Gruppenphase</t>
  </si>
  <si>
    <t>Φάση Ομίλων</t>
  </si>
  <si>
    <t>שלב הבתים</t>
  </si>
  <si>
    <t>Csoportkörök</t>
  </si>
  <si>
    <t>Babak Kualifikasi</t>
  </si>
  <si>
    <t>Riðlakeppnin</t>
  </si>
  <si>
    <t>Fase a gironi</t>
  </si>
  <si>
    <t>조별 리그</t>
  </si>
  <si>
    <t>Grupės Etapas</t>
  </si>
  <si>
    <t>Фаза по групи</t>
  </si>
  <si>
    <t>Fażi tal-Gruppi</t>
  </si>
  <si>
    <t>Gruppespill</t>
  </si>
  <si>
    <t>مرحله گروهی</t>
  </si>
  <si>
    <t>Faza Grupowa</t>
  </si>
  <si>
    <t>Fase de grupos</t>
  </si>
  <si>
    <t>Faza Grupelor</t>
  </si>
  <si>
    <t>Grupno takmičenje</t>
  </si>
  <si>
    <t>Skupinová fáza</t>
  </si>
  <si>
    <t>Skupinski del</t>
  </si>
  <si>
    <t>Gruppspel</t>
  </si>
  <si>
    <t>รอบแรก</t>
  </si>
  <si>
    <t>Grup Aşaması</t>
  </si>
  <si>
    <t>Vòng Bảng</t>
  </si>
  <si>
    <t>Груповий етап</t>
  </si>
  <si>
    <t>گروپ بندی</t>
  </si>
  <si>
    <t>Round of 16</t>
  </si>
  <si>
    <t>Rundi I 16</t>
  </si>
  <si>
    <t>دور الستة عشر</t>
  </si>
  <si>
    <t>1/8 Եզրափակիչ</t>
  </si>
  <si>
    <t>16-da bir raund</t>
  </si>
  <si>
    <t>1/8 - финали</t>
  </si>
  <si>
    <t>Vuitens de final</t>
  </si>
  <si>
    <r>
      <rPr>
        <sz val="10"/>
        <rFont val="Calibri"/>
        <family val="2"/>
        <charset val="204"/>
      </rPr>
      <t>16</t>
    </r>
    <r>
      <rPr>
        <sz val="10"/>
        <rFont val="Noto Sans CJK SC"/>
        <family val="2"/>
      </rPr>
      <t>强赛</t>
    </r>
  </si>
  <si>
    <t>十六強</t>
  </si>
  <si>
    <t>Drugi krug</t>
  </si>
  <si>
    <t>Osmifinále</t>
  </si>
  <si>
    <t>Runde af 16</t>
  </si>
  <si>
    <t>Achtste finales</t>
  </si>
  <si>
    <t>1/8e de finales</t>
  </si>
  <si>
    <t>მერვედფინალი</t>
  </si>
  <si>
    <t>Achtelfinale</t>
  </si>
  <si>
    <t>Φάση των 16</t>
  </si>
  <si>
    <t>שמינית גמר</t>
  </si>
  <si>
    <t>Nyolcaddöntők</t>
  </si>
  <si>
    <t>Per Delapan Final</t>
  </si>
  <si>
    <t>16 liða úrslit</t>
  </si>
  <si>
    <t>Ottavi di finale</t>
  </si>
  <si>
    <r>
      <rPr>
        <sz val="10"/>
        <rFont val="Calibri"/>
        <family val="2"/>
        <charset val="204"/>
      </rPr>
      <t>16</t>
    </r>
    <r>
      <rPr>
        <sz val="10"/>
        <rFont val="Noto Sans CJK SC"/>
        <family val="2"/>
      </rPr>
      <t>강전</t>
    </r>
  </si>
  <si>
    <t>16-tuko Raundas</t>
  </si>
  <si>
    <t>1/8 финале</t>
  </si>
  <si>
    <t>L-Aħħar Sittax</t>
  </si>
  <si>
    <t>8-dels finale</t>
  </si>
  <si>
    <t xml:space="preserve"> یک هشتم نهائی</t>
  </si>
  <si>
    <t>1/8 Finału</t>
  </si>
  <si>
    <t>Oitavos de Final</t>
  </si>
  <si>
    <t>Optimi</t>
  </si>
  <si>
    <t>Šesnaestina finala</t>
  </si>
  <si>
    <t>Osemfinále</t>
  </si>
  <si>
    <t>Osminafinala</t>
  </si>
  <si>
    <t>Octavos de final</t>
  </si>
  <si>
    <t>Åttondelsfinal</t>
  </si>
  <si>
    <t>รอบสอง</t>
  </si>
  <si>
    <t>Son 16</t>
  </si>
  <si>
    <t>Vòng 1/16</t>
  </si>
  <si>
    <t>1/8 фіналу</t>
  </si>
  <si>
    <t>سولھواں دور</t>
  </si>
  <si>
    <t>Quarterfinals</t>
  </si>
  <si>
    <t>Qerekfinalja</t>
  </si>
  <si>
    <t>دور الربع نهائي</t>
  </si>
  <si>
    <t>1/4 Եզրափակիչ</t>
  </si>
  <si>
    <t>Dörddə bir Final</t>
  </si>
  <si>
    <t>1/4 - финали</t>
  </si>
  <si>
    <t>Quarts de final</t>
  </si>
  <si>
    <r>
      <rPr>
        <sz val="10"/>
        <rFont val="Calibri"/>
        <family val="2"/>
        <charset val="204"/>
      </rPr>
      <t>8</t>
    </r>
    <r>
      <rPr>
        <sz val="10"/>
        <rFont val="Noto Sans CJK SC"/>
        <family val="2"/>
      </rPr>
      <t>强赛</t>
    </r>
  </si>
  <si>
    <t>八強</t>
  </si>
  <si>
    <t>Četvrtfinale</t>
  </si>
  <si>
    <t>Čtvrtfinále</t>
  </si>
  <si>
    <t>Kvartfinale</t>
  </si>
  <si>
    <t>Kwartfinales</t>
  </si>
  <si>
    <t>1/4 de finales</t>
  </si>
  <si>
    <t>მეოთხედფინალი</t>
  </si>
  <si>
    <t>Viertelfinale</t>
  </si>
  <si>
    <t>Προημιτελικοί</t>
  </si>
  <si>
    <t>רבע גמר</t>
  </si>
  <si>
    <t>Negyeddöntők</t>
  </si>
  <si>
    <t>Perempat Final</t>
  </si>
  <si>
    <t>8 liða úrslit</t>
  </si>
  <si>
    <t>Quarti di finale</t>
  </si>
  <si>
    <r>
      <rPr>
        <sz val="10"/>
        <rFont val="Calibri"/>
        <family val="2"/>
        <charset val="204"/>
      </rPr>
      <t>8</t>
    </r>
    <r>
      <rPr>
        <sz val="10"/>
        <rFont val="Noto Sans CJK SC"/>
        <family val="2"/>
      </rPr>
      <t>강전</t>
    </r>
  </si>
  <si>
    <t>Ketvirtfinaliai</t>
  </si>
  <si>
    <t>1/4 финале</t>
  </si>
  <si>
    <t>Kwarti-Finali</t>
  </si>
  <si>
    <t>یک چهارم نهائی</t>
  </si>
  <si>
    <t>Ćwierćfinały</t>
  </si>
  <si>
    <t>Quartos de Final</t>
  </si>
  <si>
    <t>Sferturi de finala</t>
  </si>
  <si>
    <t>Štvrťfinále</t>
  </si>
  <si>
    <t>Četrtfinale</t>
  </si>
  <si>
    <t>Cuartos de Final</t>
  </si>
  <si>
    <t>Kvartsfinal</t>
  </si>
  <si>
    <t>รอบก่อนรองชนะเลิศ</t>
  </si>
  <si>
    <t>Çeyrek Final</t>
  </si>
  <si>
    <t>Tứ kết</t>
  </si>
  <si>
    <t>Чвертьфінал</t>
  </si>
  <si>
    <t>کواٹر فائنل</t>
  </si>
  <si>
    <t>Semi-Finals</t>
  </si>
  <si>
    <t>Gjysmëfinalja</t>
  </si>
  <si>
    <t>دور النصف نهائي</t>
  </si>
  <si>
    <t>Կիսաեզրափակիչ</t>
  </si>
  <si>
    <t>Yarım Final</t>
  </si>
  <si>
    <t>1/2 - финали</t>
  </si>
  <si>
    <t>Semifinals</t>
  </si>
  <si>
    <t>半决赛</t>
  </si>
  <si>
    <t>準決賽</t>
  </si>
  <si>
    <t>Polufinale</t>
  </si>
  <si>
    <t>Semifinále</t>
  </si>
  <si>
    <t>Semifinale</t>
  </si>
  <si>
    <t>Halve finales</t>
  </si>
  <si>
    <t>1/2 finales</t>
  </si>
  <si>
    <t>ნახევარფინალი</t>
  </si>
  <si>
    <t>Halbfinale</t>
  </si>
  <si>
    <t>Ημιτελικοί</t>
  </si>
  <si>
    <t>חצי גמר</t>
  </si>
  <si>
    <t>Elődöntők</t>
  </si>
  <si>
    <t>Semi Final</t>
  </si>
  <si>
    <t>Undanúrslit</t>
  </si>
  <si>
    <t>Semifinali</t>
  </si>
  <si>
    <t>준결승전</t>
  </si>
  <si>
    <t>Pusfinaliai</t>
  </si>
  <si>
    <t>1/2 финале</t>
  </si>
  <si>
    <t>Semi-Finali</t>
  </si>
  <si>
    <t>نیمه نهائی</t>
  </si>
  <si>
    <t>Półfinały</t>
  </si>
  <si>
    <t>Semi-final</t>
  </si>
  <si>
    <t>Polfinale</t>
  </si>
  <si>
    <t>Semifinales</t>
  </si>
  <si>
    <t>Semifinal</t>
  </si>
  <si>
    <t>รอบรองชนะเลิศ</t>
  </si>
  <si>
    <t>Yarı Final</t>
  </si>
  <si>
    <t>Bán kết</t>
  </si>
  <si>
    <t>Півфінал</t>
  </si>
  <si>
    <t>سیمی فائنل</t>
  </si>
  <si>
    <t>Third-Place Play-Off</t>
  </si>
  <si>
    <t>Takimi për vendin e tretë</t>
  </si>
  <si>
    <t>تحديد المركزين الثالث والرابع</t>
  </si>
  <si>
    <t>3-րդ տեղի համար եզրափակիչ</t>
  </si>
  <si>
    <t>Üçüncü Yer Uğrunda</t>
  </si>
  <si>
    <t>Мач за трето място</t>
  </si>
  <si>
    <t>3r i 4t lloc</t>
  </si>
  <si>
    <t>季军赛</t>
  </si>
  <si>
    <t>季軍賽</t>
  </si>
  <si>
    <t>Za treće mjesto</t>
  </si>
  <si>
    <t>Zápas o 3.místo</t>
  </si>
  <si>
    <t>Tredjeplads Kamp</t>
  </si>
  <si>
    <t>Derde en vierde plaats</t>
  </si>
  <si>
    <t>Match pour la troisième place</t>
  </si>
  <si>
    <t>მესამე ადგილი</t>
  </si>
  <si>
    <t>Spiel um den dritten Platz</t>
  </si>
  <si>
    <t>Μικρός Τελικός</t>
  </si>
  <si>
    <t>מקום 3-4</t>
  </si>
  <si>
    <t>Bronzmeccs</t>
  </si>
  <si>
    <t>Perebutan Tempat Ketiga</t>
  </si>
  <si>
    <t>Leikur um 3.sæti</t>
  </si>
  <si>
    <t>Finale 3°- 4° posto</t>
  </si>
  <si>
    <r>
      <rPr>
        <sz val="10"/>
        <rFont val="Calibri"/>
        <family val="2"/>
        <charset val="204"/>
      </rPr>
      <t>3,4</t>
    </r>
    <r>
      <rPr>
        <sz val="10"/>
        <rFont val="Noto Sans CJK SC"/>
        <family val="2"/>
      </rPr>
      <t>위전</t>
    </r>
  </si>
  <si>
    <t>Rungtynės dėl Trečios Vietos</t>
  </si>
  <si>
    <t>Натпревар за трето место</t>
  </si>
  <si>
    <t>Final għat-Tielet u r-Raba' Post</t>
  </si>
  <si>
    <t>Bronsefinale</t>
  </si>
  <si>
    <t>رده بندی</t>
  </si>
  <si>
    <t>Mecz o trzecie miejsce</t>
  </si>
  <si>
    <t>3º/4º lugar</t>
  </si>
  <si>
    <t>Finala mica</t>
  </si>
  <si>
    <t xml:space="preserve">Zápas o 3. miesto </t>
  </si>
  <si>
    <t>Za tretje mesto</t>
  </si>
  <si>
    <t>Tercer puesto</t>
  </si>
  <si>
    <t>Match om tredje pris</t>
  </si>
  <si>
    <t>รอบชิงที่ 3</t>
  </si>
  <si>
    <t>Üçüncülük Maçı</t>
  </si>
  <si>
    <t>Tranh hạng 3</t>
  </si>
  <si>
    <t>Матч за третє місце</t>
  </si>
  <si>
    <t>تیسرے مقام کے لئے کھیل</t>
  </si>
  <si>
    <t>Final</t>
  </si>
  <si>
    <t>Finalja</t>
  </si>
  <si>
    <t>المباراة النهائية</t>
  </si>
  <si>
    <t>Եզրափակիչ</t>
  </si>
  <si>
    <t>Финал</t>
  </si>
  <si>
    <t>总决赛</t>
  </si>
  <si>
    <t>總決賽</t>
  </si>
  <si>
    <t>Finale</t>
  </si>
  <si>
    <t>Finále</t>
  </si>
  <si>
    <t>ფინალი</t>
  </si>
  <si>
    <t>Τελικός</t>
  </si>
  <si>
    <t>גמר</t>
  </si>
  <si>
    <t>Döntő</t>
  </si>
  <si>
    <t>Úrslit</t>
  </si>
  <si>
    <t>결승전</t>
  </si>
  <si>
    <t>Finalas</t>
  </si>
  <si>
    <t>Финале</t>
  </si>
  <si>
    <t>Finali</t>
  </si>
  <si>
    <t>فینال</t>
  </si>
  <si>
    <t>Finał</t>
  </si>
  <si>
    <t>FINALA</t>
  </si>
  <si>
    <t>รอบชิงชนะเลิศ</t>
  </si>
  <si>
    <t>Chung Kết</t>
  </si>
  <si>
    <t>Фінал</t>
  </si>
  <si>
    <t>فائنل</t>
  </si>
  <si>
    <t>Group</t>
  </si>
  <si>
    <t>Grupi</t>
  </si>
  <si>
    <t>المجموعة</t>
  </si>
  <si>
    <t>Խումբ</t>
  </si>
  <si>
    <t>Qrup</t>
  </si>
  <si>
    <t>Група</t>
  </si>
  <si>
    <t>Grup</t>
  </si>
  <si>
    <t>小组</t>
  </si>
  <si>
    <t>小組</t>
  </si>
  <si>
    <t>Grupa</t>
  </si>
  <si>
    <t>Skupina</t>
  </si>
  <si>
    <t>Gruppe</t>
  </si>
  <si>
    <t>Groep</t>
  </si>
  <si>
    <t>Groupe</t>
  </si>
  <si>
    <t>ჯგუფი</t>
  </si>
  <si>
    <t>Όμιλος</t>
  </si>
  <si>
    <t>בית</t>
  </si>
  <si>
    <t>Csoport</t>
  </si>
  <si>
    <t>Kelompok</t>
  </si>
  <si>
    <t>Riðill</t>
  </si>
  <si>
    <t>Gruppo</t>
  </si>
  <si>
    <t>그룹</t>
  </si>
  <si>
    <t>Grupė</t>
  </si>
  <si>
    <t>Grupp</t>
  </si>
  <si>
    <t>گروه</t>
  </si>
  <si>
    <t>Grupo</t>
  </si>
  <si>
    <t>สาย</t>
  </si>
  <si>
    <t>Bảng</t>
  </si>
  <si>
    <t>PL</t>
  </si>
  <si>
    <t>L</t>
  </si>
  <si>
    <t>لعب</t>
  </si>
  <si>
    <t>Խ</t>
  </si>
  <si>
    <t>O</t>
  </si>
  <si>
    <t>М</t>
  </si>
  <si>
    <t>J</t>
  </si>
  <si>
    <t>场次</t>
  </si>
  <si>
    <t>賽</t>
  </si>
  <si>
    <t>Z</t>
  </si>
  <si>
    <t>SP</t>
  </si>
  <si>
    <t>WG</t>
  </si>
  <si>
    <t>თ</t>
  </si>
  <si>
    <t>ΑΓ</t>
  </si>
  <si>
    <t>משחקים</t>
  </si>
  <si>
    <t>M</t>
  </si>
  <si>
    <t>Main</t>
  </si>
  <si>
    <t>G</t>
  </si>
  <si>
    <t>경기</t>
  </si>
  <si>
    <t>Žst</t>
  </si>
  <si>
    <t>О</t>
  </si>
  <si>
    <t>S</t>
  </si>
  <si>
    <t>بازی</t>
  </si>
  <si>
    <t>UT</t>
  </si>
  <si>
    <t>Sp</t>
  </si>
  <si>
    <t>แข่ง</t>
  </si>
  <si>
    <t>Trận</t>
  </si>
  <si>
    <t>І</t>
  </si>
  <si>
    <t>کھیلے گئے مقابلے</t>
  </si>
  <si>
    <t>W</t>
  </si>
  <si>
    <t>F</t>
  </si>
  <si>
    <t>فاز</t>
  </si>
  <si>
    <t>Հ</t>
  </si>
  <si>
    <t>Q</t>
  </si>
  <si>
    <t>П</t>
  </si>
  <si>
    <t>胜</t>
  </si>
  <si>
    <t>勝</t>
  </si>
  <si>
    <t>V</t>
  </si>
  <si>
    <t>მოგ</t>
  </si>
  <si>
    <t>Ν</t>
  </si>
  <si>
    <t>נצחונות</t>
  </si>
  <si>
    <t>GY</t>
  </si>
  <si>
    <t>Menang</t>
  </si>
  <si>
    <t>U</t>
  </si>
  <si>
    <t>승</t>
  </si>
  <si>
    <t>R</t>
  </si>
  <si>
    <t>برد</t>
  </si>
  <si>
    <t>P</t>
  </si>
  <si>
    <t>ชนะ</t>
  </si>
  <si>
    <t>T</t>
  </si>
  <si>
    <t>В</t>
  </si>
  <si>
    <t>جیت</t>
  </si>
  <si>
    <t>DRAW</t>
  </si>
  <si>
    <t>BAR</t>
  </si>
  <si>
    <t>تعادل</t>
  </si>
  <si>
    <t>Ո</t>
  </si>
  <si>
    <t>H</t>
  </si>
  <si>
    <t>Р</t>
  </si>
  <si>
    <t>E</t>
  </si>
  <si>
    <t>平</t>
  </si>
  <si>
    <t>和</t>
  </si>
  <si>
    <t>Uafgjort</t>
  </si>
  <si>
    <t>N</t>
  </si>
  <si>
    <t>ფრე</t>
  </si>
  <si>
    <t>Ι</t>
  </si>
  <si>
    <t>תיקו</t>
  </si>
  <si>
    <t>D</t>
  </si>
  <si>
    <t>Seri</t>
  </si>
  <si>
    <t>Jafnt</t>
  </si>
  <si>
    <t>무</t>
  </si>
  <si>
    <t>Lyg</t>
  </si>
  <si>
    <t>Н</t>
  </si>
  <si>
    <t>I</t>
  </si>
  <si>
    <t>مساوی</t>
  </si>
  <si>
    <t>NER.</t>
  </si>
  <si>
    <t>เสมอ</t>
  </si>
  <si>
    <t>B</t>
  </si>
  <si>
    <t>برابر</t>
  </si>
  <si>
    <t>خسر</t>
  </si>
  <si>
    <t>Պ</t>
  </si>
  <si>
    <t>З</t>
  </si>
  <si>
    <t>负</t>
  </si>
  <si>
    <t>負</t>
  </si>
  <si>
    <t>წაგ</t>
  </si>
  <si>
    <t xml:space="preserve">Η </t>
  </si>
  <si>
    <t>הפסדים</t>
  </si>
  <si>
    <t>Kalah</t>
  </si>
  <si>
    <t>패</t>
  </si>
  <si>
    <t>И</t>
  </si>
  <si>
    <t>باخت</t>
  </si>
  <si>
    <t>แพ้</t>
  </si>
  <si>
    <t>ہارے گئے مقابلے</t>
  </si>
  <si>
    <t>GF - GA</t>
  </si>
  <si>
    <t>GSH-GP</t>
  </si>
  <si>
    <t>عليه - له</t>
  </si>
  <si>
    <t>ԽԳ-ԲԳ</t>
  </si>
  <si>
    <t>QV - QB</t>
  </si>
  <si>
    <t>Гол. Разл.</t>
  </si>
  <si>
    <t>GF - GC</t>
  </si>
  <si>
    <t>得失球</t>
  </si>
  <si>
    <r>
      <rPr>
        <sz val="10"/>
        <rFont val="Noto Sans CJK SC"/>
        <family val="2"/>
      </rPr>
      <t xml:space="preserve">得球 </t>
    </r>
    <r>
      <rPr>
        <sz val="10"/>
        <rFont val="Calibri"/>
        <family val="2"/>
        <charset val="204"/>
      </rPr>
      <t xml:space="preserve">- </t>
    </r>
    <r>
      <rPr>
        <sz val="10"/>
        <rFont val="Noto Sans CJK SC"/>
        <family val="2"/>
      </rPr>
      <t>失球</t>
    </r>
  </si>
  <si>
    <t>GV - GI</t>
  </si>
  <si>
    <t>MF - MI</t>
  </si>
  <si>
    <t>DV-DT</t>
  </si>
  <si>
    <t>BP - BC</t>
  </si>
  <si>
    <t>გგ - მგ</t>
  </si>
  <si>
    <t>ET - KT</t>
  </si>
  <si>
    <t>Υ-Κ</t>
  </si>
  <si>
    <t>יחס שערים</t>
  </si>
  <si>
    <t>Gólkül.</t>
  </si>
  <si>
    <t xml:space="preserve">Skor </t>
  </si>
  <si>
    <t>S - F</t>
  </si>
  <si>
    <t>GF - GS</t>
  </si>
  <si>
    <t>골득실</t>
  </si>
  <si>
    <t>Įm - Pr</t>
  </si>
  <si>
    <t>Разлика</t>
  </si>
  <si>
    <t>GF - GK</t>
  </si>
  <si>
    <t>Mål</t>
  </si>
  <si>
    <t>خورده-زده</t>
  </si>
  <si>
    <t>Z - S</t>
  </si>
  <si>
    <t>GM - GS</t>
  </si>
  <si>
    <t>GM - GP</t>
  </si>
  <si>
    <t>GD - GP</t>
  </si>
  <si>
    <t>GS-GI</t>
  </si>
  <si>
    <t>GM – IM</t>
  </si>
  <si>
    <t>ได้ - เสีย</t>
  </si>
  <si>
    <t>A - Y</t>
  </si>
  <si>
    <t>Hiệu số</t>
  </si>
  <si>
    <t xml:space="preserve">М </t>
  </si>
  <si>
    <t>گول کئے- انکے خلاف گول کئے گئے</t>
  </si>
  <si>
    <t>PNT</t>
  </si>
  <si>
    <t>PIK</t>
  </si>
  <si>
    <t>النقاط</t>
  </si>
  <si>
    <t>Մ</t>
  </si>
  <si>
    <t>Xal</t>
  </si>
  <si>
    <t>Т</t>
  </si>
  <si>
    <t>Punts</t>
  </si>
  <si>
    <t>积分</t>
  </si>
  <si>
    <t>分數</t>
  </si>
  <si>
    <t>Body</t>
  </si>
  <si>
    <t>PTS</t>
  </si>
  <si>
    <t>ქულა</t>
  </si>
  <si>
    <t>PKT</t>
  </si>
  <si>
    <t>ΒΘ</t>
  </si>
  <si>
    <t>נקודות</t>
  </si>
  <si>
    <t>Nilai</t>
  </si>
  <si>
    <t>Stig</t>
  </si>
  <si>
    <t>Punti</t>
  </si>
  <si>
    <t>승점</t>
  </si>
  <si>
    <t>Tšk</t>
  </si>
  <si>
    <t>Б</t>
  </si>
  <si>
    <t>امتیاز</t>
  </si>
  <si>
    <t>Pkt</t>
  </si>
  <si>
    <t>BOD</t>
  </si>
  <si>
    <t>คะแนน</t>
  </si>
  <si>
    <t>Điểm</t>
  </si>
  <si>
    <t>نشان</t>
  </si>
  <si>
    <t>Sun</t>
  </si>
  <si>
    <t>Diel</t>
  </si>
  <si>
    <t>الأحد</t>
  </si>
  <si>
    <t>Կիր.</t>
  </si>
  <si>
    <t>Нед</t>
  </si>
  <si>
    <t>Diu</t>
  </si>
  <si>
    <t>周日</t>
  </si>
  <si>
    <t>Ned</t>
  </si>
  <si>
    <t>Ne</t>
  </si>
  <si>
    <t>Søn</t>
  </si>
  <si>
    <t>Zo</t>
  </si>
  <si>
    <t>Dim</t>
  </si>
  <si>
    <t>კვირა</t>
  </si>
  <si>
    <t>Κυρ</t>
  </si>
  <si>
    <t>ראשון</t>
  </si>
  <si>
    <t>Vas</t>
  </si>
  <si>
    <t>Min</t>
  </si>
  <si>
    <t>Dom</t>
  </si>
  <si>
    <t>일</t>
  </si>
  <si>
    <t>Sekm</t>
  </si>
  <si>
    <t>Ħad</t>
  </si>
  <si>
    <t>یکشنبه</t>
  </si>
  <si>
    <t>Nd</t>
  </si>
  <si>
    <t>Dum</t>
  </si>
  <si>
    <t>Sön</t>
  </si>
  <si>
    <t>อาทิตย์</t>
  </si>
  <si>
    <t>Paz</t>
  </si>
  <si>
    <t>CN</t>
  </si>
  <si>
    <t>Нд</t>
  </si>
  <si>
    <t>اتوار</t>
  </si>
  <si>
    <t>Mon</t>
  </si>
  <si>
    <t>Hënë</t>
  </si>
  <si>
    <t>الاثنين</t>
  </si>
  <si>
    <t>Երկ.</t>
  </si>
  <si>
    <t>BE</t>
  </si>
  <si>
    <t>Пон</t>
  </si>
  <si>
    <t>Dil</t>
  </si>
  <si>
    <t>周一</t>
  </si>
  <si>
    <t>Pon</t>
  </si>
  <si>
    <t>Po</t>
  </si>
  <si>
    <t>Man</t>
  </si>
  <si>
    <t>Ma</t>
  </si>
  <si>
    <t>Lun</t>
  </si>
  <si>
    <t>ორშ</t>
  </si>
  <si>
    <t>Δευ</t>
  </si>
  <si>
    <t>שני</t>
  </si>
  <si>
    <t>Hét</t>
  </si>
  <si>
    <t>Sen</t>
  </si>
  <si>
    <t>Mán</t>
  </si>
  <si>
    <t>월</t>
  </si>
  <si>
    <t>Pirm</t>
  </si>
  <si>
    <t>Tne</t>
  </si>
  <si>
    <t>دوشنبه</t>
  </si>
  <si>
    <t>Pn</t>
  </si>
  <si>
    <t>Seg</t>
  </si>
  <si>
    <t>Mån</t>
  </si>
  <si>
    <t>จันทร์</t>
  </si>
  <si>
    <t>Pzt</t>
  </si>
  <si>
    <t>T2</t>
  </si>
  <si>
    <t>Пн</t>
  </si>
  <si>
    <t>پیر</t>
  </si>
  <si>
    <t>Tue</t>
  </si>
  <si>
    <t>Mar</t>
  </si>
  <si>
    <t>الثلاثاء</t>
  </si>
  <si>
    <t>Երեք.</t>
  </si>
  <si>
    <t>ÇA</t>
  </si>
  <si>
    <t>Вт</t>
  </si>
  <si>
    <t>周二</t>
  </si>
  <si>
    <t>Uto</t>
  </si>
  <si>
    <t>Út</t>
  </si>
  <si>
    <t>Tir</t>
  </si>
  <si>
    <t>Di</t>
  </si>
  <si>
    <t>სამშ</t>
  </si>
  <si>
    <t>Τρι</t>
  </si>
  <si>
    <t>שלישי</t>
  </si>
  <si>
    <t>Ke</t>
  </si>
  <si>
    <t>Sel</t>
  </si>
  <si>
    <t>Þri</t>
  </si>
  <si>
    <t>화</t>
  </si>
  <si>
    <t>Antr</t>
  </si>
  <si>
    <t>Вто</t>
  </si>
  <si>
    <t>Tli</t>
  </si>
  <si>
    <t>Tirs</t>
  </si>
  <si>
    <t>سه شنبه</t>
  </si>
  <si>
    <t>Wt</t>
  </si>
  <si>
    <t>Ter</t>
  </si>
  <si>
    <t>Ut</t>
  </si>
  <si>
    <t>Tor</t>
  </si>
  <si>
    <t>Tis</t>
  </si>
  <si>
    <t>อังคาร</t>
  </si>
  <si>
    <t>Sal</t>
  </si>
  <si>
    <t>T3</t>
  </si>
  <si>
    <t>منگل</t>
  </si>
  <si>
    <t>Wed</t>
  </si>
  <si>
    <t>Mër</t>
  </si>
  <si>
    <t>الأربعاء</t>
  </si>
  <si>
    <t>Չոր.</t>
  </si>
  <si>
    <t>Ç</t>
  </si>
  <si>
    <t>Сря</t>
  </si>
  <si>
    <t>Dix</t>
  </si>
  <si>
    <t>周三</t>
  </si>
  <si>
    <t>Sri</t>
  </si>
  <si>
    <t>St</t>
  </si>
  <si>
    <t>Ons</t>
  </si>
  <si>
    <t>Wo</t>
  </si>
  <si>
    <t>Mer</t>
  </si>
  <si>
    <t>ოთხშ</t>
  </si>
  <si>
    <t>Τετ</t>
  </si>
  <si>
    <t>רביעי</t>
  </si>
  <si>
    <t>Sze</t>
  </si>
  <si>
    <t>Rab</t>
  </si>
  <si>
    <t>Mið</t>
  </si>
  <si>
    <t>수</t>
  </si>
  <si>
    <t>Treč</t>
  </si>
  <si>
    <t>Сре</t>
  </si>
  <si>
    <t>Erb</t>
  </si>
  <si>
    <t>چهارشنبه</t>
  </si>
  <si>
    <t>Śr</t>
  </si>
  <si>
    <t>Qua</t>
  </si>
  <si>
    <t>Mie</t>
  </si>
  <si>
    <t>Sre</t>
  </si>
  <si>
    <t>พุธ</t>
  </si>
  <si>
    <t>Çar</t>
  </si>
  <si>
    <t>T4</t>
  </si>
  <si>
    <t>Ср</t>
  </si>
  <si>
    <t>بدھ</t>
  </si>
  <si>
    <t>Thu</t>
  </si>
  <si>
    <t>Enjt</t>
  </si>
  <si>
    <t>الخميس</t>
  </si>
  <si>
    <t>Հինգ.</t>
  </si>
  <si>
    <t>CA</t>
  </si>
  <si>
    <t>Четв</t>
  </si>
  <si>
    <t>Dij</t>
  </si>
  <si>
    <t>周四</t>
  </si>
  <si>
    <t>Čet</t>
  </si>
  <si>
    <t>Čt</t>
  </si>
  <si>
    <t>Do</t>
  </si>
  <si>
    <t>Jeu</t>
  </si>
  <si>
    <t>ხუთშ</t>
  </si>
  <si>
    <t>Πεμ</t>
  </si>
  <si>
    <t>חמישי</t>
  </si>
  <si>
    <t>Csü</t>
  </si>
  <si>
    <t>Kam</t>
  </si>
  <si>
    <t>Fim</t>
  </si>
  <si>
    <t>Gio</t>
  </si>
  <si>
    <t>목</t>
  </si>
  <si>
    <t>Ketv</t>
  </si>
  <si>
    <t>Чет</t>
  </si>
  <si>
    <t>Ħam</t>
  </si>
  <si>
    <t>Tors</t>
  </si>
  <si>
    <t>پنجشنبه</t>
  </si>
  <si>
    <t>Cz</t>
  </si>
  <si>
    <t>Qui</t>
  </si>
  <si>
    <t>Joi</t>
  </si>
  <si>
    <t>Št</t>
  </si>
  <si>
    <t>พฤหัส</t>
  </si>
  <si>
    <t>Per</t>
  </si>
  <si>
    <t>T5</t>
  </si>
  <si>
    <t>Чт</t>
  </si>
  <si>
    <t>جمعرات</t>
  </si>
  <si>
    <t>Fri</t>
  </si>
  <si>
    <t>Pre</t>
  </si>
  <si>
    <t>الجمعة</t>
  </si>
  <si>
    <t>Ուրբ.</t>
  </si>
  <si>
    <t>C</t>
  </si>
  <si>
    <t>Пет</t>
  </si>
  <si>
    <t>Div</t>
  </si>
  <si>
    <t>周五</t>
  </si>
  <si>
    <t>Pet</t>
  </si>
  <si>
    <t>Pá</t>
  </si>
  <si>
    <t>Fre</t>
  </si>
  <si>
    <t>Vr</t>
  </si>
  <si>
    <t>Ven</t>
  </si>
  <si>
    <t>პარ</t>
  </si>
  <si>
    <t>Παρ</t>
  </si>
  <si>
    <t>שישי</t>
  </si>
  <si>
    <t>Pé</t>
  </si>
  <si>
    <t>Jum</t>
  </si>
  <si>
    <t>Fös</t>
  </si>
  <si>
    <t>금</t>
  </si>
  <si>
    <t>Penk</t>
  </si>
  <si>
    <t>Ġim</t>
  </si>
  <si>
    <t>جمعه</t>
  </si>
  <si>
    <t>Pt</t>
  </si>
  <si>
    <t>Sex</t>
  </si>
  <si>
    <t>Vin</t>
  </si>
  <si>
    <t>Pi</t>
  </si>
  <si>
    <t>ศุกร์</t>
  </si>
  <si>
    <t>Cum</t>
  </si>
  <si>
    <t>T6</t>
  </si>
  <si>
    <t>Пт</t>
  </si>
  <si>
    <t>جمعہ</t>
  </si>
  <si>
    <t>Sat</t>
  </si>
  <si>
    <t>Sht</t>
  </si>
  <si>
    <t>السبت</t>
  </si>
  <si>
    <t>Շաբ.</t>
  </si>
  <si>
    <t>Ş</t>
  </si>
  <si>
    <t>Съб</t>
  </si>
  <si>
    <t>Dis</t>
  </si>
  <si>
    <t>周六</t>
  </si>
  <si>
    <t>Sub</t>
  </si>
  <si>
    <t>So</t>
  </si>
  <si>
    <t>Lør</t>
  </si>
  <si>
    <t>Za</t>
  </si>
  <si>
    <t>Sam</t>
  </si>
  <si>
    <t>შაბ</t>
  </si>
  <si>
    <t>Σαβ</t>
  </si>
  <si>
    <t>שבת</t>
  </si>
  <si>
    <t>Szo</t>
  </si>
  <si>
    <t>Sab</t>
  </si>
  <si>
    <t>Lau</t>
  </si>
  <si>
    <t>토</t>
  </si>
  <si>
    <t>Šešt</t>
  </si>
  <si>
    <t>Саб</t>
  </si>
  <si>
    <t>Sib</t>
  </si>
  <si>
    <t>شنبه</t>
  </si>
  <si>
    <t>Sob</t>
  </si>
  <si>
    <t>Lör</t>
  </si>
  <si>
    <t>เสาร์</t>
  </si>
  <si>
    <t>Cmt</t>
  </si>
  <si>
    <t>T7</t>
  </si>
  <si>
    <t>Сб</t>
  </si>
  <si>
    <t>سنیچر</t>
  </si>
  <si>
    <t>Jan</t>
  </si>
  <si>
    <t>كانون ثاني</t>
  </si>
  <si>
    <t>Հունվ.</t>
  </si>
  <si>
    <t>Yan</t>
  </si>
  <si>
    <t>Януари</t>
  </si>
  <si>
    <t>Gen</t>
  </si>
  <si>
    <t>一月</t>
  </si>
  <si>
    <t>Sij</t>
  </si>
  <si>
    <t>Janv</t>
  </si>
  <si>
    <t>იან</t>
  </si>
  <si>
    <t>Ιαν</t>
  </si>
  <si>
    <t>ינואר</t>
  </si>
  <si>
    <r>
      <rPr>
        <sz val="10"/>
        <rFont val="Calibri"/>
        <family val="2"/>
        <charset val="204"/>
      </rPr>
      <t>1</t>
    </r>
    <r>
      <rPr>
        <sz val="10"/>
        <rFont val="Noto Sans CJK SC"/>
        <family val="2"/>
      </rPr>
      <t>월</t>
    </r>
  </si>
  <si>
    <t>Saus</t>
  </si>
  <si>
    <t>Јан</t>
  </si>
  <si>
    <t>زانویه</t>
  </si>
  <si>
    <t>Sty</t>
  </si>
  <si>
    <t>Ian</t>
  </si>
  <si>
    <t>Ene</t>
  </si>
  <si>
    <t>jan</t>
  </si>
  <si>
    <t>มกราคม</t>
  </si>
  <si>
    <t>Oca</t>
  </si>
  <si>
    <t>Tháng 1</t>
  </si>
  <si>
    <t>Січ</t>
  </si>
  <si>
    <t>جنوری</t>
  </si>
  <si>
    <t>Feb</t>
  </si>
  <si>
    <t>Shk</t>
  </si>
  <si>
    <t>شباط</t>
  </si>
  <si>
    <t>Փետր.</t>
  </si>
  <si>
    <t>Fev</t>
  </si>
  <si>
    <t>Февруари</t>
  </si>
  <si>
    <t>二月</t>
  </si>
  <si>
    <t>Vel</t>
  </si>
  <si>
    <t>Févr</t>
  </si>
  <si>
    <t>თებ</t>
  </si>
  <si>
    <t>Φεβ</t>
  </si>
  <si>
    <t>פברואר</t>
  </si>
  <si>
    <t>Peb</t>
  </si>
  <si>
    <r>
      <rPr>
        <sz val="10"/>
        <rFont val="Calibri"/>
        <family val="2"/>
        <charset val="204"/>
      </rPr>
      <t>2</t>
    </r>
    <r>
      <rPr>
        <sz val="10"/>
        <rFont val="Noto Sans CJK SC"/>
        <family val="2"/>
      </rPr>
      <t>월</t>
    </r>
  </si>
  <si>
    <t>Фев</t>
  </si>
  <si>
    <t>Fra</t>
  </si>
  <si>
    <t>فوریه</t>
  </si>
  <si>
    <t>Lut</t>
  </si>
  <si>
    <t>กุมภาพันธ์</t>
  </si>
  <si>
    <t>Şub</t>
  </si>
  <si>
    <t>Tháng 2</t>
  </si>
  <si>
    <t>Лют</t>
  </si>
  <si>
    <t>فروری</t>
  </si>
  <si>
    <t>آذار</t>
  </si>
  <si>
    <t>Մարտ</t>
  </si>
  <si>
    <t>Март</t>
  </si>
  <si>
    <t>三月</t>
  </si>
  <si>
    <t>Ožu</t>
  </si>
  <si>
    <t>Mrt</t>
  </si>
  <si>
    <t>Mars</t>
  </si>
  <si>
    <t>მარ</t>
  </si>
  <si>
    <t>Mrz</t>
  </si>
  <si>
    <t>Μαρ</t>
  </si>
  <si>
    <t>מרץ</t>
  </si>
  <si>
    <t>Már</t>
  </si>
  <si>
    <r>
      <rPr>
        <sz val="10"/>
        <rFont val="Calibri"/>
        <family val="2"/>
        <charset val="204"/>
      </rPr>
      <t>3</t>
    </r>
    <r>
      <rPr>
        <sz val="10"/>
        <rFont val="Noto Sans CJK SC"/>
        <family val="2"/>
      </rPr>
      <t>월</t>
    </r>
  </si>
  <si>
    <t>Kov</t>
  </si>
  <si>
    <t>Мар</t>
  </si>
  <si>
    <t>مارس</t>
  </si>
  <si>
    <t>mar</t>
  </si>
  <si>
    <t>มีนาคม</t>
  </si>
  <si>
    <t>Tháng 3</t>
  </si>
  <si>
    <t>Бер</t>
  </si>
  <si>
    <t>مارچ</t>
  </si>
  <si>
    <t>Apr</t>
  </si>
  <si>
    <t>Pri</t>
  </si>
  <si>
    <t>نيسان</t>
  </si>
  <si>
    <t>Ապրիլ</t>
  </si>
  <si>
    <t>Април</t>
  </si>
  <si>
    <t>Abr</t>
  </si>
  <si>
    <t>四月</t>
  </si>
  <si>
    <t>Tra</t>
  </si>
  <si>
    <t>Avr</t>
  </si>
  <si>
    <t>აპრ</t>
  </si>
  <si>
    <t>Απρ</t>
  </si>
  <si>
    <t>אפריל</t>
  </si>
  <si>
    <t>Ápr</t>
  </si>
  <si>
    <r>
      <rPr>
        <sz val="10"/>
        <rFont val="Calibri"/>
        <family val="2"/>
        <charset val="204"/>
      </rPr>
      <t>4</t>
    </r>
    <r>
      <rPr>
        <sz val="10"/>
        <rFont val="Noto Sans CJK SC"/>
        <family val="2"/>
      </rPr>
      <t>월</t>
    </r>
  </si>
  <si>
    <t>Bal</t>
  </si>
  <si>
    <t>Апр</t>
  </si>
  <si>
    <t>آوریل</t>
  </si>
  <si>
    <t>Kwi</t>
  </si>
  <si>
    <t>apr</t>
  </si>
  <si>
    <t>เมษายน</t>
  </si>
  <si>
    <t>Nis</t>
  </si>
  <si>
    <t>Tháng 4</t>
  </si>
  <si>
    <t>Квіт</t>
  </si>
  <si>
    <t>اپریل</t>
  </si>
  <si>
    <t>May</t>
  </si>
  <si>
    <t>Maj</t>
  </si>
  <si>
    <t>أياد</t>
  </si>
  <si>
    <t>Մայիս</t>
  </si>
  <si>
    <t>Май</t>
  </si>
  <si>
    <t>Mai</t>
  </si>
  <si>
    <t>五月</t>
  </si>
  <si>
    <t>Svi</t>
  </si>
  <si>
    <t>Mei</t>
  </si>
  <si>
    <t>მაი</t>
  </si>
  <si>
    <t>Μαϊ</t>
  </si>
  <si>
    <t>מאי</t>
  </si>
  <si>
    <t>Máj</t>
  </si>
  <si>
    <t>Maí</t>
  </si>
  <si>
    <t>Mag</t>
  </si>
  <si>
    <r>
      <rPr>
        <sz val="10"/>
        <rFont val="Calibri"/>
        <family val="2"/>
        <charset val="204"/>
      </rPr>
      <t>5</t>
    </r>
    <r>
      <rPr>
        <sz val="10"/>
        <rFont val="Noto Sans CJK SC"/>
        <family val="2"/>
      </rPr>
      <t>월</t>
    </r>
  </si>
  <si>
    <t>Geg</t>
  </si>
  <si>
    <t>Мај</t>
  </si>
  <si>
    <t>Mej</t>
  </si>
  <si>
    <t>می</t>
  </si>
  <si>
    <t>maj</t>
  </si>
  <si>
    <t>พฤษภาคม</t>
  </si>
  <si>
    <t>Tháng 5</t>
  </si>
  <si>
    <t>Трав</t>
  </si>
  <si>
    <t>مئی</t>
  </si>
  <si>
    <t>Jun</t>
  </si>
  <si>
    <t>Qer</t>
  </si>
  <si>
    <t>حزيران</t>
  </si>
  <si>
    <t>Հունիս</t>
  </si>
  <si>
    <t>İyn</t>
  </si>
  <si>
    <t>Юни</t>
  </si>
  <si>
    <t>六月</t>
  </si>
  <si>
    <t>Lip</t>
  </si>
  <si>
    <t>Čer</t>
  </si>
  <si>
    <t>Juin</t>
  </si>
  <si>
    <t>ივნ</t>
  </si>
  <si>
    <t>Ιουν</t>
  </si>
  <si>
    <t>יוני</t>
  </si>
  <si>
    <t>Jún</t>
  </si>
  <si>
    <t>Giu</t>
  </si>
  <si>
    <r>
      <rPr>
        <sz val="10"/>
        <rFont val="Calibri"/>
        <family val="2"/>
        <charset val="204"/>
      </rPr>
      <t>6</t>
    </r>
    <r>
      <rPr>
        <sz val="10"/>
        <rFont val="Noto Sans CJK SC"/>
        <family val="2"/>
      </rPr>
      <t>월</t>
    </r>
  </si>
  <si>
    <t>Birž</t>
  </si>
  <si>
    <t>Јун</t>
  </si>
  <si>
    <t>Ġun</t>
  </si>
  <si>
    <t>ژوئن</t>
  </si>
  <si>
    <t>Cze</t>
  </si>
  <si>
    <t>Iun</t>
  </si>
  <si>
    <t>jun</t>
  </si>
  <si>
    <t>มิถุนายน</t>
  </si>
  <si>
    <t>Haz</t>
  </si>
  <si>
    <t>Tháng 6</t>
  </si>
  <si>
    <t>Черв</t>
  </si>
  <si>
    <t>جون</t>
  </si>
  <si>
    <t>Jul</t>
  </si>
  <si>
    <t>Kor</t>
  </si>
  <si>
    <t>تموز</t>
  </si>
  <si>
    <t>Հուլիս</t>
  </si>
  <si>
    <t>İyl</t>
  </si>
  <si>
    <t>Юли</t>
  </si>
  <si>
    <t>七月</t>
  </si>
  <si>
    <t>Srp</t>
  </si>
  <si>
    <t>Čec</t>
  </si>
  <si>
    <t>Juil</t>
  </si>
  <si>
    <t>ივლ</t>
  </si>
  <si>
    <t>Ιουλ</t>
  </si>
  <si>
    <t>יולי</t>
  </si>
  <si>
    <t>Júl</t>
  </si>
  <si>
    <t>Lug</t>
  </si>
  <si>
    <r>
      <rPr>
        <sz val="10"/>
        <rFont val="Calibri"/>
        <family val="2"/>
        <charset val="204"/>
      </rPr>
      <t>7</t>
    </r>
    <r>
      <rPr>
        <sz val="10"/>
        <rFont val="Noto Sans CJK SC"/>
        <family val="2"/>
      </rPr>
      <t>월</t>
    </r>
  </si>
  <si>
    <t>Lie</t>
  </si>
  <si>
    <t>Јул</t>
  </si>
  <si>
    <t>Lul</t>
  </si>
  <si>
    <t>ژولای</t>
  </si>
  <si>
    <t>Iul</t>
  </si>
  <si>
    <t>jul</t>
  </si>
  <si>
    <t>กรกฎาคม</t>
  </si>
  <si>
    <t>Tem</t>
  </si>
  <si>
    <t>Tháng 7</t>
  </si>
  <si>
    <t>Лип</t>
  </si>
  <si>
    <t>جولائی</t>
  </si>
  <si>
    <t>Aug</t>
  </si>
  <si>
    <t>Gus</t>
  </si>
  <si>
    <t>آب</t>
  </si>
  <si>
    <t>Օգոս.</t>
  </si>
  <si>
    <t>Avq</t>
  </si>
  <si>
    <t>Август</t>
  </si>
  <si>
    <t>Ago</t>
  </si>
  <si>
    <t>八月</t>
  </si>
  <si>
    <t>Kol</t>
  </si>
  <si>
    <t>Août</t>
  </si>
  <si>
    <t>აგვ</t>
  </si>
  <si>
    <t>Αυγ</t>
  </si>
  <si>
    <t>אוגוסט</t>
  </si>
  <si>
    <t>Agu</t>
  </si>
  <si>
    <t>Ágú</t>
  </si>
  <si>
    <r>
      <rPr>
        <sz val="10"/>
        <rFont val="Calibri"/>
        <family val="2"/>
        <charset val="204"/>
      </rPr>
      <t>8</t>
    </r>
    <r>
      <rPr>
        <sz val="10"/>
        <rFont val="Noto Sans CJK SC"/>
        <family val="2"/>
      </rPr>
      <t>월</t>
    </r>
  </si>
  <si>
    <t>Rugp</t>
  </si>
  <si>
    <t>Авг</t>
  </si>
  <si>
    <t>Aww</t>
  </si>
  <si>
    <t>اگوست</t>
  </si>
  <si>
    <t>Się</t>
  </si>
  <si>
    <t>Avg</t>
  </si>
  <si>
    <t>สิงหาคม</t>
  </si>
  <si>
    <t>Ağu</t>
  </si>
  <si>
    <t>Tháng 8</t>
  </si>
  <si>
    <t>Серп</t>
  </si>
  <si>
    <t>اگست</t>
  </si>
  <si>
    <t>Sep</t>
  </si>
  <si>
    <t>Shta</t>
  </si>
  <si>
    <t>أيلول</t>
  </si>
  <si>
    <t>Սեպտ.</t>
  </si>
  <si>
    <t>Септември</t>
  </si>
  <si>
    <t>Set</t>
  </si>
  <si>
    <t>九月</t>
  </si>
  <si>
    <t>Ruj</t>
  </si>
  <si>
    <t>Sept</t>
  </si>
  <si>
    <t>სექ</t>
  </si>
  <si>
    <t>Σεπ</t>
  </si>
  <si>
    <t>ספטמבר</t>
  </si>
  <si>
    <t>Szep</t>
  </si>
  <si>
    <r>
      <rPr>
        <sz val="10"/>
        <rFont val="Calibri"/>
        <family val="2"/>
        <charset val="204"/>
      </rPr>
      <t>9</t>
    </r>
    <r>
      <rPr>
        <sz val="10"/>
        <rFont val="Noto Sans CJK SC"/>
        <family val="2"/>
      </rPr>
      <t>월</t>
    </r>
  </si>
  <si>
    <t>Rugs</t>
  </si>
  <si>
    <t>Сеп</t>
  </si>
  <si>
    <t>سپتامبر</t>
  </si>
  <si>
    <t>Wrz</t>
  </si>
  <si>
    <t>sep</t>
  </si>
  <si>
    <t>กันยายน</t>
  </si>
  <si>
    <t>Eyl</t>
  </si>
  <si>
    <t>Tháng 9</t>
  </si>
  <si>
    <t>Вер</t>
  </si>
  <si>
    <t>ستمبر</t>
  </si>
  <si>
    <t>Oct</t>
  </si>
  <si>
    <t>Tet</t>
  </si>
  <si>
    <t>تشرين أول</t>
  </si>
  <si>
    <t>Հոկտ.</t>
  </si>
  <si>
    <t>Okt</t>
  </si>
  <si>
    <t>Октомври</t>
  </si>
  <si>
    <t>十月</t>
  </si>
  <si>
    <t>Lis</t>
  </si>
  <si>
    <t>ოქტ</t>
  </si>
  <si>
    <t>Οκτ</t>
  </si>
  <si>
    <t>אוקטובר</t>
  </si>
  <si>
    <t>Ott</t>
  </si>
  <si>
    <r>
      <rPr>
        <sz val="10"/>
        <rFont val="Calibri"/>
        <family val="2"/>
        <charset val="204"/>
      </rPr>
      <t>10</t>
    </r>
    <r>
      <rPr>
        <sz val="10"/>
        <rFont val="Noto Sans CJK SC"/>
        <family val="2"/>
      </rPr>
      <t>월</t>
    </r>
  </si>
  <si>
    <t>Spa</t>
  </si>
  <si>
    <t>Окт</t>
  </si>
  <si>
    <t>اکتبر</t>
  </si>
  <si>
    <t>Paź</t>
  </si>
  <si>
    <t>Out</t>
  </si>
  <si>
    <t>okt</t>
  </si>
  <si>
    <t>ตุลาคม</t>
  </si>
  <si>
    <t>Eki</t>
  </si>
  <si>
    <t>Tháng 10</t>
  </si>
  <si>
    <t>Жовт</t>
  </si>
  <si>
    <t>اکتوبر</t>
  </si>
  <si>
    <t>Nov</t>
  </si>
  <si>
    <t>Nën</t>
  </si>
  <si>
    <t>تشرين ثاني</t>
  </si>
  <si>
    <t>Նոյեմ.</t>
  </si>
  <si>
    <t>Noy</t>
  </si>
  <si>
    <t>Ноември</t>
  </si>
  <si>
    <t>十一月</t>
  </si>
  <si>
    <t>Stu</t>
  </si>
  <si>
    <t>ნოე</t>
  </si>
  <si>
    <t>Νοε</t>
  </si>
  <si>
    <t>נובמבר</t>
  </si>
  <si>
    <t>Nop</t>
  </si>
  <si>
    <t>Nóv</t>
  </si>
  <si>
    <r>
      <rPr>
        <sz val="10"/>
        <rFont val="Calibri"/>
        <family val="2"/>
        <charset val="204"/>
      </rPr>
      <t>11</t>
    </r>
    <r>
      <rPr>
        <sz val="10"/>
        <rFont val="Noto Sans CJK SC"/>
        <family val="2"/>
      </rPr>
      <t>월</t>
    </r>
  </si>
  <si>
    <t>Lapk</t>
  </si>
  <si>
    <t>Ное</t>
  </si>
  <si>
    <t>نوامبر</t>
  </si>
  <si>
    <t>Noi</t>
  </si>
  <si>
    <t>nov</t>
  </si>
  <si>
    <t>พฤศจิกายน</t>
  </si>
  <si>
    <t>Kas</t>
  </si>
  <si>
    <t>Tháng 11</t>
  </si>
  <si>
    <t>Лист</t>
  </si>
  <si>
    <t>نومبر</t>
  </si>
  <si>
    <t>Dec</t>
  </si>
  <si>
    <t>Dhj</t>
  </si>
  <si>
    <t>كانون أول</t>
  </si>
  <si>
    <t>Դեկտ.</t>
  </si>
  <si>
    <t>Dek</t>
  </si>
  <si>
    <t>Декември</t>
  </si>
  <si>
    <t>Des</t>
  </si>
  <si>
    <t>十二月</t>
  </si>
  <si>
    <t>Pro</t>
  </si>
  <si>
    <t>Déc</t>
  </si>
  <si>
    <t>დეკ</t>
  </si>
  <si>
    <t>Dez</t>
  </si>
  <si>
    <t>Δεκ</t>
  </si>
  <si>
    <t>דצמבר</t>
  </si>
  <si>
    <t>Dic</t>
  </si>
  <si>
    <r>
      <rPr>
        <sz val="10"/>
        <rFont val="Calibri"/>
        <family val="2"/>
        <charset val="204"/>
      </rPr>
      <t>12</t>
    </r>
    <r>
      <rPr>
        <sz val="10"/>
        <rFont val="Noto Sans CJK SC"/>
        <family val="2"/>
      </rPr>
      <t>월</t>
    </r>
  </si>
  <si>
    <t>Gruo</t>
  </si>
  <si>
    <t>Дек</t>
  </si>
  <si>
    <t>Deċ</t>
  </si>
  <si>
    <t>دسامبر</t>
  </si>
  <si>
    <t>Gru</t>
  </si>
  <si>
    <t>dec</t>
  </si>
  <si>
    <t>ธันวาคม</t>
  </si>
  <si>
    <t>Ara</t>
  </si>
  <si>
    <t>Tháng 12</t>
  </si>
  <si>
    <t>Груд</t>
  </si>
  <si>
    <t>دسمبر</t>
  </si>
  <si>
    <t>Team</t>
  </si>
  <si>
    <t>Ekipi</t>
  </si>
  <si>
    <t>المنتخب</t>
  </si>
  <si>
    <t>Հավաքական</t>
  </si>
  <si>
    <t>Komanda</t>
  </si>
  <si>
    <t>Отбор</t>
  </si>
  <si>
    <t>Equip</t>
  </si>
  <si>
    <t>球队</t>
  </si>
  <si>
    <t>隊伍</t>
  </si>
  <si>
    <t>Hold</t>
  </si>
  <si>
    <t>Équipe</t>
  </si>
  <si>
    <t>ნაკრები</t>
  </si>
  <si>
    <t>Ομάδα</t>
  </si>
  <si>
    <t>קבוצה</t>
  </si>
  <si>
    <t>Csapat</t>
  </si>
  <si>
    <t>Tim</t>
  </si>
  <si>
    <t>Lið</t>
  </si>
  <si>
    <t>Squadra</t>
  </si>
  <si>
    <t>팀</t>
  </si>
  <si>
    <t>Тим</t>
  </si>
  <si>
    <t>Lag</t>
  </si>
  <si>
    <t>تیم</t>
  </si>
  <si>
    <t>Drużyna</t>
  </si>
  <si>
    <t>Equipa</t>
  </si>
  <si>
    <t>Echipa</t>
  </si>
  <si>
    <t>Reprezentacija</t>
  </si>
  <si>
    <t>Mužstvo</t>
  </si>
  <si>
    <t>Moštvo</t>
  </si>
  <si>
    <t>Equipo</t>
  </si>
  <si>
    <t>ทึม</t>
  </si>
  <si>
    <t>Takım</t>
  </si>
  <si>
    <t>Đội</t>
  </si>
  <si>
    <t>Команда</t>
  </si>
  <si>
    <t>ٹیم</t>
  </si>
  <si>
    <t>Albania</t>
  </si>
  <si>
    <t>Shqipëri</t>
  </si>
  <si>
    <t>ألبانيا</t>
  </si>
  <si>
    <t>Ալբանիա</t>
  </si>
  <si>
    <t>Albaniya</t>
  </si>
  <si>
    <t>Албания</t>
  </si>
  <si>
    <t>Albània</t>
  </si>
  <si>
    <t>阿尔巴尼亚</t>
  </si>
  <si>
    <t>阿爾巴尼亞</t>
  </si>
  <si>
    <t>Albanija</t>
  </si>
  <si>
    <t>Albánie</t>
  </si>
  <si>
    <t>Albanien</t>
  </si>
  <si>
    <t>Albanië</t>
  </si>
  <si>
    <t>Albanie</t>
  </si>
  <si>
    <t>Αλβανία</t>
  </si>
  <si>
    <t>אלבניה</t>
  </si>
  <si>
    <t>Albánia</t>
  </si>
  <si>
    <t>Albanía</t>
  </si>
  <si>
    <t>알바니아</t>
  </si>
  <si>
    <t>Албанија</t>
  </si>
  <si>
    <t>آلبانی</t>
  </si>
  <si>
    <t>Albânia</t>
  </si>
  <si>
    <t>Albánsko</t>
  </si>
  <si>
    <t>albanien</t>
  </si>
  <si>
    <t>แอลเบเนีย</t>
  </si>
  <si>
    <t>Arnavutluk</t>
  </si>
  <si>
    <t>Албанія</t>
  </si>
  <si>
    <t>البانیا</t>
  </si>
  <si>
    <t>Romania</t>
  </si>
  <si>
    <t>Rumani</t>
  </si>
  <si>
    <t>رومانيا</t>
  </si>
  <si>
    <t>Ռումինիա</t>
  </si>
  <si>
    <t>Rumıniya</t>
  </si>
  <si>
    <t>Румъния</t>
  </si>
  <si>
    <t>罗马尼亚</t>
  </si>
  <si>
    <t>羅馬尼亞</t>
  </si>
  <si>
    <t>Rumunija</t>
  </si>
  <si>
    <t>Rumunsko</t>
  </si>
  <si>
    <t>Rumænien</t>
  </si>
  <si>
    <t>Roemenië</t>
  </si>
  <si>
    <t>Roumanie</t>
  </si>
  <si>
    <t>რუმინეთი</t>
  </si>
  <si>
    <t>Rumänien</t>
  </si>
  <si>
    <t>Ρουμανία</t>
  </si>
  <si>
    <t>רומני</t>
  </si>
  <si>
    <t>Románia</t>
  </si>
  <si>
    <t>Rumania</t>
  </si>
  <si>
    <t>rúmenía</t>
  </si>
  <si>
    <t>루마니아</t>
  </si>
  <si>
    <t>Романија</t>
  </si>
  <si>
    <t>Ir-Rumanija</t>
  </si>
  <si>
    <t>رومانی</t>
  </si>
  <si>
    <t>Rumunia</t>
  </si>
  <si>
    <t>Romênia</t>
  </si>
  <si>
    <t>România</t>
  </si>
  <si>
    <t>Румунија</t>
  </si>
  <si>
    <t>Romunija</t>
  </si>
  <si>
    <t>rumänien</t>
  </si>
  <si>
    <t>โรมาเนีย</t>
  </si>
  <si>
    <t>Romanya</t>
  </si>
  <si>
    <t>Румунія</t>
  </si>
  <si>
    <t>رومانیہ</t>
  </si>
  <si>
    <t>Spain</t>
  </si>
  <si>
    <t>Spanjë</t>
  </si>
  <si>
    <t>إسبانيا</t>
  </si>
  <si>
    <t>Իսպանիա</t>
  </si>
  <si>
    <t>İspaniya</t>
  </si>
  <si>
    <t>Испания</t>
  </si>
  <si>
    <t>Espanya</t>
  </si>
  <si>
    <t>西班牙</t>
  </si>
  <si>
    <t>Španjolska</t>
  </si>
  <si>
    <t>Španělsko</t>
  </si>
  <si>
    <t>Spanien</t>
  </si>
  <si>
    <t>Spanje</t>
  </si>
  <si>
    <t>Espagne</t>
  </si>
  <si>
    <t>ესპანეთში</t>
  </si>
  <si>
    <t>Ισπανία</t>
  </si>
  <si>
    <t>ספרד</t>
  </si>
  <si>
    <t>Spanyolország</t>
  </si>
  <si>
    <t>Spanyol</t>
  </si>
  <si>
    <t>spain</t>
  </si>
  <si>
    <t>Spagna</t>
  </si>
  <si>
    <t>스페인</t>
  </si>
  <si>
    <t>Ispanija</t>
  </si>
  <si>
    <t>Шпанија</t>
  </si>
  <si>
    <t>Spanja</t>
  </si>
  <si>
    <t>Spania</t>
  </si>
  <si>
    <t>کشور اسپانیا</t>
  </si>
  <si>
    <t>Hiszpania</t>
  </si>
  <si>
    <t>Espanha</t>
  </si>
  <si>
    <t>španielsko</t>
  </si>
  <si>
    <t>Španija</t>
  </si>
  <si>
    <t>España</t>
  </si>
  <si>
    <t>สเปน</t>
  </si>
  <si>
    <t>İspanya</t>
  </si>
  <si>
    <t>Tây ban nha</t>
  </si>
  <si>
    <t>Іспанія</t>
  </si>
  <si>
    <t>سپین</t>
  </si>
  <si>
    <t>Italy</t>
  </si>
  <si>
    <t>Itali</t>
  </si>
  <si>
    <t>إيطاليا</t>
  </si>
  <si>
    <t>Իտալիա</t>
  </si>
  <si>
    <t>İtaliya</t>
  </si>
  <si>
    <t>Италия</t>
  </si>
  <si>
    <t>Itàlia</t>
  </si>
  <si>
    <t>意大利</t>
  </si>
  <si>
    <t>Italija</t>
  </si>
  <si>
    <t>Itálie</t>
  </si>
  <si>
    <t>Italien</t>
  </si>
  <si>
    <t>Italië</t>
  </si>
  <si>
    <t>Italie</t>
  </si>
  <si>
    <t>იტალიაში</t>
  </si>
  <si>
    <t>Ιταλία</t>
  </si>
  <si>
    <t>איטליה</t>
  </si>
  <si>
    <t>Olaszország</t>
  </si>
  <si>
    <t>Italia</t>
  </si>
  <si>
    <t>이탈리아</t>
  </si>
  <si>
    <t>Италија</t>
  </si>
  <si>
    <t>Italja</t>
  </si>
  <si>
    <t>ایتالیا</t>
  </si>
  <si>
    <t>Włochy</t>
  </si>
  <si>
    <t>Itália</t>
  </si>
  <si>
    <t>taliansko</t>
  </si>
  <si>
    <t>อิตาลี</t>
  </si>
  <si>
    <t>İtalya</t>
  </si>
  <si>
    <t>Ý</t>
  </si>
  <si>
    <t>Італія</t>
  </si>
  <si>
    <t>اٹلی</t>
  </si>
  <si>
    <t>Portugal</t>
  </si>
  <si>
    <t>Portugali</t>
  </si>
  <si>
    <t>البرتغال</t>
  </si>
  <si>
    <t>Պորտուգալիա</t>
  </si>
  <si>
    <t>Portuqaliya</t>
  </si>
  <si>
    <t>Португалия</t>
  </si>
  <si>
    <t>葡萄牙</t>
  </si>
  <si>
    <t>Portugalija</t>
  </si>
  <si>
    <t>Portugalsko</t>
  </si>
  <si>
    <t>პორტუგალიის</t>
  </si>
  <si>
    <t>Πορτογαλία</t>
  </si>
  <si>
    <t>פורטוגל</t>
  </si>
  <si>
    <t>Portugália</t>
  </si>
  <si>
    <t>Portogallo</t>
  </si>
  <si>
    <t>포르투갈</t>
  </si>
  <si>
    <t>Португалија</t>
  </si>
  <si>
    <t>Portugall</t>
  </si>
  <si>
    <t>پرتغال</t>
  </si>
  <si>
    <t>Portugalia</t>
  </si>
  <si>
    <t>Portugalska</t>
  </si>
  <si>
    <t>โปรตุเกส</t>
  </si>
  <si>
    <t>Portekiz</t>
  </si>
  <si>
    <t>Bồ Đào Nha</t>
  </si>
  <si>
    <t>Португалія</t>
  </si>
  <si>
    <t>پرتگال</t>
  </si>
  <si>
    <t>Hungary</t>
  </si>
  <si>
    <t>Hungari</t>
  </si>
  <si>
    <t>هنغاريا</t>
  </si>
  <si>
    <t>Հունգարիա</t>
  </si>
  <si>
    <t>Macarıstan</t>
  </si>
  <si>
    <t>Унгария</t>
  </si>
  <si>
    <t>Hongria</t>
  </si>
  <si>
    <t>匈牙利</t>
  </si>
  <si>
    <t>Mađarska</t>
  </si>
  <si>
    <t>Maďarsko</t>
  </si>
  <si>
    <t>Ungarn</t>
  </si>
  <si>
    <t>Hongarije</t>
  </si>
  <si>
    <t>Hongrie</t>
  </si>
  <si>
    <t>უნგრეთი</t>
  </si>
  <si>
    <t>Ουγγαρία</t>
  </si>
  <si>
    <t>הונגריה</t>
  </si>
  <si>
    <t>Magyarország</t>
  </si>
  <si>
    <t>Hongaria</t>
  </si>
  <si>
    <t>Ungverjaland</t>
  </si>
  <si>
    <t>Ungheria</t>
  </si>
  <si>
    <t>헝가리</t>
  </si>
  <si>
    <t>Vengrija</t>
  </si>
  <si>
    <t>Унгарија</t>
  </si>
  <si>
    <t>L-Ungerija</t>
  </si>
  <si>
    <t>مجارستان</t>
  </si>
  <si>
    <t>Węgry</t>
  </si>
  <si>
    <t>Hungria</t>
  </si>
  <si>
    <t>Ungaria</t>
  </si>
  <si>
    <t>Мађарска</t>
  </si>
  <si>
    <t>maďarsko</t>
  </si>
  <si>
    <t>Madžarska</t>
  </si>
  <si>
    <t>Hungría</t>
  </si>
  <si>
    <t>Ungern</t>
  </si>
  <si>
    <t>ฮังการี</t>
  </si>
  <si>
    <t>Macaristan</t>
  </si>
  <si>
    <t>Угорщина</t>
  </si>
  <si>
    <t>ہنگری</t>
  </si>
  <si>
    <t>Denmark</t>
  </si>
  <si>
    <t>Danimarkë</t>
  </si>
  <si>
    <t>الدنمارك</t>
  </si>
  <si>
    <t>Դանիա</t>
  </si>
  <si>
    <t>Danimarka</t>
  </si>
  <si>
    <t>Дания</t>
  </si>
  <si>
    <t>Dinamarca</t>
  </si>
  <si>
    <t>丹麦</t>
  </si>
  <si>
    <t>丹麥</t>
  </si>
  <si>
    <t>Danska</t>
  </si>
  <si>
    <t>Dánsko</t>
  </si>
  <si>
    <t>Danmark</t>
  </si>
  <si>
    <t>Denemarken</t>
  </si>
  <si>
    <t>Danemark</t>
  </si>
  <si>
    <t>დანია</t>
  </si>
  <si>
    <t>Dänemark</t>
  </si>
  <si>
    <t>Δανία</t>
  </si>
  <si>
    <t>דנמרק</t>
  </si>
  <si>
    <t>Dánia</t>
  </si>
  <si>
    <t>Danimarca</t>
  </si>
  <si>
    <t>덴마크</t>
  </si>
  <si>
    <t>Danija</t>
  </si>
  <si>
    <t>Данска</t>
  </si>
  <si>
    <t>Id-Danimarka</t>
  </si>
  <si>
    <t>دانمارک</t>
  </si>
  <si>
    <t>Dania</t>
  </si>
  <si>
    <t>Danemarca</t>
  </si>
  <si>
    <t>เดนมาร์ก</t>
  </si>
  <si>
    <t>Đan MạCh</t>
  </si>
  <si>
    <t>Данія</t>
  </si>
  <si>
    <t>ڈنمارک</t>
  </si>
  <si>
    <t>Ukraine</t>
  </si>
  <si>
    <t>Ukrainë</t>
  </si>
  <si>
    <t>أوكرانيا</t>
  </si>
  <si>
    <t>Ուկրաինան</t>
  </si>
  <si>
    <t>Ukrayna</t>
  </si>
  <si>
    <t>Украйна</t>
  </si>
  <si>
    <t>Ucraïna</t>
  </si>
  <si>
    <t>乌克兰</t>
  </si>
  <si>
    <t>烏克蘭</t>
  </si>
  <si>
    <t>Ukrajina</t>
  </si>
  <si>
    <t>Oekraïne</t>
  </si>
  <si>
    <t>უკრაინა</t>
  </si>
  <si>
    <t>Ουκρανία</t>
  </si>
  <si>
    <t>אוקראינה</t>
  </si>
  <si>
    <t>Ukrajna</t>
  </si>
  <si>
    <t>Ukraina</t>
  </si>
  <si>
    <t>Úkraína</t>
  </si>
  <si>
    <t>Ucraina</t>
  </si>
  <si>
    <t>우크라이나</t>
  </si>
  <si>
    <t>Украина</t>
  </si>
  <si>
    <t>اوکراین</t>
  </si>
  <si>
    <t>Ucrânia</t>
  </si>
  <si>
    <t>Украјина</t>
  </si>
  <si>
    <t>Ucrania</t>
  </si>
  <si>
    <t>ยูเครน</t>
  </si>
  <si>
    <t>Україна</t>
  </si>
  <si>
    <t>یوکرائن</t>
  </si>
  <si>
    <t>Turkey</t>
  </si>
  <si>
    <t>Turqi</t>
  </si>
  <si>
    <t>ديك رومي</t>
  </si>
  <si>
    <t>Турция</t>
  </si>
  <si>
    <t>Turquia</t>
  </si>
  <si>
    <t>火鸡</t>
  </si>
  <si>
    <t>火雞</t>
  </si>
  <si>
    <t>Turska</t>
  </si>
  <si>
    <t>Turecko</t>
  </si>
  <si>
    <t>Tyrkia</t>
  </si>
  <si>
    <t>Turkije</t>
  </si>
  <si>
    <t>Turquie</t>
  </si>
  <si>
    <t>თურქეთში</t>
  </si>
  <si>
    <t>Türkei</t>
  </si>
  <si>
    <t>טורקיה</t>
  </si>
  <si>
    <t>Törökország</t>
  </si>
  <si>
    <t>Turki</t>
  </si>
  <si>
    <t>Tyrkland</t>
  </si>
  <si>
    <t>터키</t>
  </si>
  <si>
    <t>Turkija</t>
  </si>
  <si>
    <t>Турција</t>
  </si>
  <si>
    <t>بوقلمون</t>
  </si>
  <si>
    <t>Turcja</t>
  </si>
  <si>
    <t>Turcia</t>
  </si>
  <si>
    <t>Турска</t>
  </si>
  <si>
    <t>Turquía</t>
  </si>
  <si>
    <t>ตุรกี</t>
  </si>
  <si>
    <t>Türkiye</t>
  </si>
  <si>
    <t>Thổ Nhĩ Kỳ</t>
  </si>
  <si>
    <t>Туреччина</t>
  </si>
  <si>
    <t>ترکی</t>
  </si>
  <si>
    <t>Finland</t>
  </si>
  <si>
    <t>Finlandë</t>
  </si>
  <si>
    <t>فنلندا</t>
  </si>
  <si>
    <t>Ֆինլանդիա</t>
  </si>
  <si>
    <t>Finlandiya</t>
  </si>
  <si>
    <t>Финландия</t>
  </si>
  <si>
    <t>Finlàndia</t>
  </si>
  <si>
    <t>芬兰</t>
  </si>
  <si>
    <t>芬蘭</t>
  </si>
  <si>
    <t>Finska</t>
  </si>
  <si>
    <t>Finsko</t>
  </si>
  <si>
    <t>Finlande</t>
  </si>
  <si>
    <t>ფინეთი</t>
  </si>
  <si>
    <t>Finnland</t>
  </si>
  <si>
    <t>Φινλανδία</t>
  </si>
  <si>
    <t>פינלנד</t>
  </si>
  <si>
    <t>Finnország</t>
  </si>
  <si>
    <t>Finlandia</t>
  </si>
  <si>
    <t>핀란드</t>
  </si>
  <si>
    <t>Suomija</t>
  </si>
  <si>
    <t>Финска</t>
  </si>
  <si>
    <t>Il-Finlandja</t>
  </si>
  <si>
    <t>فنلاند</t>
  </si>
  <si>
    <t>Finlândia</t>
  </si>
  <si>
    <t>Finlanda</t>
  </si>
  <si>
    <t>Fínsko</t>
  </si>
  <si>
    <t>ฟินแลนด์</t>
  </si>
  <si>
    <t>PhầN Lan</t>
  </si>
  <si>
    <t>Фінляндія</t>
  </si>
  <si>
    <t>فن لینڈ</t>
  </si>
  <si>
    <t>Netherlands</t>
  </si>
  <si>
    <t>Holandë</t>
  </si>
  <si>
    <t>هولندا</t>
  </si>
  <si>
    <t>Hollandiya</t>
  </si>
  <si>
    <t>Холандия</t>
  </si>
  <si>
    <t>Països Baixos</t>
  </si>
  <si>
    <t>荷兰</t>
  </si>
  <si>
    <t>荷蘭</t>
  </si>
  <si>
    <t>Nizozemska</t>
  </si>
  <si>
    <t>Holandsko</t>
  </si>
  <si>
    <t>Holland</t>
  </si>
  <si>
    <t>Nederland</t>
  </si>
  <si>
    <t>Pays-Bas</t>
  </si>
  <si>
    <t>ნიდერლანდები</t>
  </si>
  <si>
    <t>Niederlande</t>
  </si>
  <si>
    <t>Ολλανδία</t>
  </si>
  <si>
    <t>הולנד</t>
  </si>
  <si>
    <t>Hollandia</t>
  </si>
  <si>
    <t>Belanda</t>
  </si>
  <si>
    <t>Olanda</t>
  </si>
  <si>
    <t>네덜란드</t>
  </si>
  <si>
    <t>Nyderlandai</t>
  </si>
  <si>
    <t>Холандија</t>
  </si>
  <si>
    <t>Pajjiżi L-Baxxi</t>
  </si>
  <si>
    <t>هلند</t>
  </si>
  <si>
    <t>Holandia</t>
  </si>
  <si>
    <t>Países Baixos</t>
  </si>
  <si>
    <t>Низоземска</t>
  </si>
  <si>
    <t>Países Bajos</t>
  </si>
  <si>
    <t>Nederländerna</t>
  </si>
  <si>
    <t>เนเธอร์แลนด์</t>
  </si>
  <si>
    <t>Hollanda</t>
  </si>
  <si>
    <t>NướC Hà Lan</t>
  </si>
  <si>
    <t>Нідерланди</t>
  </si>
  <si>
    <t>ہالینڈ</t>
  </si>
  <si>
    <t>North Macedonia</t>
  </si>
  <si>
    <t>North Maqedoni</t>
  </si>
  <si>
    <t>شمال مقدونيا</t>
  </si>
  <si>
    <t>Հյուսիս Մակեդոնիա</t>
  </si>
  <si>
    <t>Şimali Makedoniya</t>
  </si>
  <si>
    <t>Северна Македония</t>
  </si>
  <si>
    <t>Nord Macedònia</t>
  </si>
  <si>
    <t>北马其顿</t>
  </si>
  <si>
    <t>北馬其頓</t>
  </si>
  <si>
    <t>Sjeverna Makedonija</t>
  </si>
  <si>
    <t>Severní Makedonie</t>
  </si>
  <si>
    <t>Nordmakedonien</t>
  </si>
  <si>
    <t>Noord-Macedonië</t>
  </si>
  <si>
    <t>Macédoine Du Nord</t>
  </si>
  <si>
    <t>ჩრდილოეთ მაკედონია</t>
  </si>
  <si>
    <t>Nord Mazedonien</t>
  </si>
  <si>
    <t>Βόρεια Μακεδονία</t>
  </si>
  <si>
    <t>צפון מקדוניה</t>
  </si>
  <si>
    <t>Észak-Macedónia</t>
  </si>
  <si>
    <t>Utara Makedonia</t>
  </si>
  <si>
    <t>Norður-Makedónía</t>
  </si>
  <si>
    <t>Nord Macedonia</t>
  </si>
  <si>
    <t>북 마케도니아</t>
  </si>
  <si>
    <t>Šiaurės Makedonija</t>
  </si>
  <si>
    <t>Северна Македонија</t>
  </si>
  <si>
    <t>Tramuntana Maċedonja</t>
  </si>
  <si>
    <t>Nord-Makedonia</t>
  </si>
  <si>
    <t>شمالی مقدونیه</t>
  </si>
  <si>
    <t>Północna Macedonia</t>
  </si>
  <si>
    <t>Norte Macedônia</t>
  </si>
  <si>
    <t>Macedonia De Nord</t>
  </si>
  <si>
    <t>Severné Macedónsko</t>
  </si>
  <si>
    <t>Severna Makedonija</t>
  </si>
  <si>
    <t>Norte Macedonia</t>
  </si>
  <si>
    <t>นอร์ทมาซิโดเนีย</t>
  </si>
  <si>
    <t>Kuzey Makedonya</t>
  </si>
  <si>
    <t>BắC Macedonia</t>
  </si>
  <si>
    <t>Північна Македонія</t>
  </si>
  <si>
    <t>شمالی مقدونیہ</t>
  </si>
  <si>
    <t>Scotland</t>
  </si>
  <si>
    <t>Skoci</t>
  </si>
  <si>
    <t>أسكتلندا</t>
  </si>
  <si>
    <t>Շոտլանդիա</t>
  </si>
  <si>
    <t>Şotlandiya</t>
  </si>
  <si>
    <t>Шотландия</t>
  </si>
  <si>
    <t>Escòcia</t>
  </si>
  <si>
    <t>苏格兰</t>
  </si>
  <si>
    <t>蘇格蘭</t>
  </si>
  <si>
    <t>Škotska</t>
  </si>
  <si>
    <t>Skotsko</t>
  </si>
  <si>
    <t>Skotland</t>
  </si>
  <si>
    <t>Schotland</t>
  </si>
  <si>
    <t>Écosse</t>
  </si>
  <si>
    <t>შოტლანდია</t>
  </si>
  <si>
    <t>Schottland</t>
  </si>
  <si>
    <t>Σκωτία</t>
  </si>
  <si>
    <t>סקוטלנד</t>
  </si>
  <si>
    <t>Skócia</t>
  </si>
  <si>
    <t>Skotlandia</t>
  </si>
  <si>
    <t>Scozia</t>
  </si>
  <si>
    <t>스코틀랜드</t>
  </si>
  <si>
    <t>Škotija</t>
  </si>
  <si>
    <t>Шкотска</t>
  </si>
  <si>
    <t>Iskozja</t>
  </si>
  <si>
    <t>Skottland</t>
  </si>
  <si>
    <t>اسکاتلند</t>
  </si>
  <si>
    <t>Szkocja</t>
  </si>
  <si>
    <t>Escócia</t>
  </si>
  <si>
    <t>Scoţia</t>
  </si>
  <si>
    <t>Škótsko</t>
  </si>
  <si>
    <t>Escocia</t>
  </si>
  <si>
    <t>ก็อตแลนด์</t>
  </si>
  <si>
    <t>İskoçya</t>
  </si>
  <si>
    <t>Шотландія</t>
  </si>
  <si>
    <t>اسکاٹ لینڈ</t>
  </si>
  <si>
    <t>Slovakia</t>
  </si>
  <si>
    <t>سلوفاكيا</t>
  </si>
  <si>
    <t>Սլովակիա</t>
  </si>
  <si>
    <t>Slovakiya</t>
  </si>
  <si>
    <t>Словакия</t>
  </si>
  <si>
    <t>Eslovàquia</t>
  </si>
  <si>
    <t>斯洛伐克</t>
  </si>
  <si>
    <t>Slovačka</t>
  </si>
  <si>
    <t>Slovensko</t>
  </si>
  <si>
    <t>Slovakiet</t>
  </si>
  <si>
    <t>Slowakije</t>
  </si>
  <si>
    <t>Slovaquie</t>
  </si>
  <si>
    <t>სლოვაკეთი</t>
  </si>
  <si>
    <t>Slowakei</t>
  </si>
  <si>
    <t>Σλοβακία</t>
  </si>
  <si>
    <t>סלובקיה</t>
  </si>
  <si>
    <t>Szlovákia</t>
  </si>
  <si>
    <t>Slovacchia</t>
  </si>
  <si>
    <t>슬로바키아</t>
  </si>
  <si>
    <t>Slovakija</t>
  </si>
  <si>
    <t>Словачка</t>
  </si>
  <si>
    <t>Slovakkja</t>
  </si>
  <si>
    <t>اسلواکی</t>
  </si>
  <si>
    <t>Słowacja</t>
  </si>
  <si>
    <t>Eslováquia</t>
  </si>
  <si>
    <t>Slovacia</t>
  </si>
  <si>
    <t>Slovaška</t>
  </si>
  <si>
    <t>Eslovaquia</t>
  </si>
  <si>
    <t>Slovakien</t>
  </si>
  <si>
    <t>สโลวะเกีย</t>
  </si>
  <si>
    <t>Slovakya</t>
  </si>
  <si>
    <t>Словаччина</t>
  </si>
  <si>
    <t>سلوواکیہ</t>
  </si>
  <si>
    <t>Germany</t>
  </si>
  <si>
    <t>Gjermani</t>
  </si>
  <si>
    <t>ألمانيا</t>
  </si>
  <si>
    <t>Գերմանիա</t>
  </si>
  <si>
    <t>Almaniya</t>
  </si>
  <si>
    <t>Германия</t>
  </si>
  <si>
    <t>Alemanya</t>
  </si>
  <si>
    <t>德国</t>
  </si>
  <si>
    <t>德國</t>
  </si>
  <si>
    <t>Njemačka</t>
  </si>
  <si>
    <t>Německo</t>
  </si>
  <si>
    <t>Tyskland</t>
  </si>
  <si>
    <t>Duitsland</t>
  </si>
  <si>
    <t>Allemagne</t>
  </si>
  <si>
    <t>გერმანია</t>
  </si>
  <si>
    <t>Deutschland</t>
  </si>
  <si>
    <t>Γερμανία</t>
  </si>
  <si>
    <t>גרמניה</t>
  </si>
  <si>
    <t>Németország</t>
  </si>
  <si>
    <t>Jerman</t>
  </si>
  <si>
    <t>Þýskaland</t>
  </si>
  <si>
    <t>Germania</t>
  </si>
  <si>
    <t>독일</t>
  </si>
  <si>
    <t>Vokietija</t>
  </si>
  <si>
    <t>германија</t>
  </si>
  <si>
    <t>Ġermanja</t>
  </si>
  <si>
    <t>آلمان</t>
  </si>
  <si>
    <t>Niemcy</t>
  </si>
  <si>
    <t>Alemanha</t>
  </si>
  <si>
    <t>Немачка</t>
  </si>
  <si>
    <t>nemecko</t>
  </si>
  <si>
    <t>Nemčija</t>
  </si>
  <si>
    <t>Alemania</t>
  </si>
  <si>
    <t>ประเทศเยอรมัน</t>
  </si>
  <si>
    <t>Almanya</t>
  </si>
  <si>
    <t>Đức</t>
  </si>
  <si>
    <t>Німеччина</t>
  </si>
  <si>
    <t>جرمنی</t>
  </si>
  <si>
    <t>Wales</t>
  </si>
  <si>
    <t>Uells</t>
  </si>
  <si>
    <t>ويلز</t>
  </si>
  <si>
    <t>Уелс</t>
  </si>
  <si>
    <t>Gal·les</t>
  </si>
  <si>
    <t>威尔士</t>
  </si>
  <si>
    <t>威爾士</t>
  </si>
  <si>
    <t>Vels</t>
  </si>
  <si>
    <t>Pays de Galles</t>
  </si>
  <si>
    <t>უელსი</t>
  </si>
  <si>
    <t>Ουαλία</t>
  </si>
  <si>
    <t>ויילס</t>
  </si>
  <si>
    <t>Galles</t>
  </si>
  <si>
    <t>웨일즈</t>
  </si>
  <si>
    <t>Velsas</t>
  </si>
  <si>
    <t>Велс</t>
  </si>
  <si>
    <t>wales</t>
  </si>
  <si>
    <t>ولز</t>
  </si>
  <si>
    <t>Walia</t>
  </si>
  <si>
    <t>país de Gales</t>
  </si>
  <si>
    <t>Țara Galilor</t>
  </si>
  <si>
    <t>Gales</t>
  </si>
  <si>
    <t>เวลส์</t>
  </si>
  <si>
    <t>Galler</t>
  </si>
  <si>
    <t>xứ Wales</t>
  </si>
  <si>
    <t>Уельс</t>
  </si>
  <si>
    <t>ویلز</t>
  </si>
  <si>
    <t>Croatia</t>
  </si>
  <si>
    <t>Kroacia</t>
  </si>
  <si>
    <t>كرواتيا</t>
  </si>
  <si>
    <t>Խորվաթիա</t>
  </si>
  <si>
    <t>Xorvatiya</t>
  </si>
  <si>
    <t>Хърватия</t>
  </si>
  <si>
    <t>Croàcia</t>
  </si>
  <si>
    <t>克罗地亚</t>
  </si>
  <si>
    <t>克羅地亞</t>
  </si>
  <si>
    <t>Hrvatska</t>
  </si>
  <si>
    <t>Chorvatsko</t>
  </si>
  <si>
    <t>Kroatien</t>
  </si>
  <si>
    <t>Kroatië</t>
  </si>
  <si>
    <t>Croatie</t>
  </si>
  <si>
    <t>ხორვატია</t>
  </si>
  <si>
    <t>Κροατία</t>
  </si>
  <si>
    <t>קרואטיה</t>
  </si>
  <si>
    <t>Horvátország</t>
  </si>
  <si>
    <t>Kroasia</t>
  </si>
  <si>
    <t>Croazia</t>
  </si>
  <si>
    <t>크로아티아</t>
  </si>
  <si>
    <t>Kroatija</t>
  </si>
  <si>
    <t>хрватска</t>
  </si>
  <si>
    <t>Kroazja</t>
  </si>
  <si>
    <t>Kroatia</t>
  </si>
  <si>
    <t>کرواسی</t>
  </si>
  <si>
    <t>Chorwacja</t>
  </si>
  <si>
    <t>Croácia</t>
  </si>
  <si>
    <t>Croația</t>
  </si>
  <si>
    <t>Хрватска</t>
  </si>
  <si>
    <t>chorvátsko</t>
  </si>
  <si>
    <t>Hrvaška</t>
  </si>
  <si>
    <t>Croacia</t>
  </si>
  <si>
    <t>โครเอเชีย</t>
  </si>
  <si>
    <t>Hırvatistan</t>
  </si>
  <si>
    <t>Хорватія</t>
  </si>
  <si>
    <t>کروشیا</t>
  </si>
  <si>
    <t>Northern Ireland</t>
  </si>
  <si>
    <t>Irlanada veriore</t>
  </si>
  <si>
    <t>إيرلندا الشمالية</t>
  </si>
  <si>
    <t>Հյուսիսային Իռլանդիա</t>
  </si>
  <si>
    <t>Şimali irlandiya</t>
  </si>
  <si>
    <t>Северна Ирландия</t>
  </si>
  <si>
    <t>Irlanda del Nord</t>
  </si>
  <si>
    <t>北爱尔兰</t>
  </si>
  <si>
    <t>北愛爾蘭</t>
  </si>
  <si>
    <t>Sjeverna Irska</t>
  </si>
  <si>
    <t>Severní Irsko</t>
  </si>
  <si>
    <t>Nordirland</t>
  </si>
  <si>
    <t>Noord-Ierland</t>
  </si>
  <si>
    <t>Irlande du nord</t>
  </si>
  <si>
    <t>ჩრდილოეთ ირლანდია</t>
  </si>
  <si>
    <t>Βόρεια Ιρλανδία</t>
  </si>
  <si>
    <t>אירלנד הצפונית</t>
  </si>
  <si>
    <t>Észak-Írország</t>
  </si>
  <si>
    <t>Irlandia Utara</t>
  </si>
  <si>
    <t>Norður Írland</t>
  </si>
  <si>
    <t>Irlanda del nord</t>
  </si>
  <si>
    <t>북 아일랜드</t>
  </si>
  <si>
    <t>Šiaurės Airija</t>
  </si>
  <si>
    <t>Северна Ирска</t>
  </si>
  <si>
    <t>Irlanda ta 'Fuq</t>
  </si>
  <si>
    <t>Nord-Irland</t>
  </si>
  <si>
    <t>ایرلند شمالی</t>
  </si>
  <si>
    <t>Irlandia Północna</t>
  </si>
  <si>
    <t>Irlanda do Norte</t>
  </si>
  <si>
    <t>Irlanda de Nord</t>
  </si>
  <si>
    <t>Severné Írsko</t>
  </si>
  <si>
    <t>Severna Irska</t>
  </si>
  <si>
    <t>Irlanda del Norte</t>
  </si>
  <si>
    <t>Norra Irland</t>
  </si>
  <si>
    <t>ไอร์แลนด์เหนือ</t>
  </si>
  <si>
    <t>Kuzey Irlanda</t>
  </si>
  <si>
    <t>Bắc Ireland</t>
  </si>
  <si>
    <t>Північна Ірландія</t>
  </si>
  <si>
    <t>شمالی آئر لینڈ</t>
  </si>
  <si>
    <t>Switzerland</t>
  </si>
  <si>
    <t>Zvicër</t>
  </si>
  <si>
    <t>سويسرا</t>
  </si>
  <si>
    <t>Շվեյցարիա</t>
  </si>
  <si>
    <t>İsveçrə</t>
  </si>
  <si>
    <t>Швейцария</t>
  </si>
  <si>
    <t>Suïssa</t>
  </si>
  <si>
    <t>瑞士</t>
  </si>
  <si>
    <t>Švajcarska</t>
  </si>
  <si>
    <t>Švýcarsko</t>
  </si>
  <si>
    <t>Schweiz</t>
  </si>
  <si>
    <t>Zwitserland</t>
  </si>
  <si>
    <t>Suisse</t>
  </si>
  <si>
    <t>შვეიცარია</t>
  </si>
  <si>
    <t>Ελβετία</t>
  </si>
  <si>
    <t>שוויץ</t>
  </si>
  <si>
    <t>Svájc</t>
  </si>
  <si>
    <t>Swiss</t>
  </si>
  <si>
    <t>Sviss</t>
  </si>
  <si>
    <t>Svizzera</t>
  </si>
  <si>
    <t>스위스</t>
  </si>
  <si>
    <t>Šveicarija</t>
  </si>
  <si>
    <t>Швајцарија</t>
  </si>
  <si>
    <t>Isvizzera</t>
  </si>
  <si>
    <t>Sveits</t>
  </si>
  <si>
    <t>سویس</t>
  </si>
  <si>
    <t>Szwajcaria</t>
  </si>
  <si>
    <t>Suíça</t>
  </si>
  <si>
    <t>Elveția</t>
  </si>
  <si>
    <t>Швајцарска</t>
  </si>
  <si>
    <t>švajčiarsko</t>
  </si>
  <si>
    <t>Švica</t>
  </si>
  <si>
    <t>Suiza</t>
  </si>
  <si>
    <t>ประเทศสวิสเซอร์แลนด์</t>
  </si>
  <si>
    <t>İsviçre</t>
  </si>
  <si>
    <t>Thụy Sĩ</t>
  </si>
  <si>
    <t>Швейцарія</t>
  </si>
  <si>
    <t>سوئٹزرلینڈ</t>
  </si>
  <si>
    <t>Czech Republic</t>
  </si>
  <si>
    <t>Republika Çeke</t>
  </si>
  <si>
    <t>جمهورية التشيك</t>
  </si>
  <si>
    <t>Չեխիայի Հանրապետություն</t>
  </si>
  <si>
    <t>Çexiya Respublikası</t>
  </si>
  <si>
    <t>Чехия</t>
  </si>
  <si>
    <t>República Txeca</t>
  </si>
  <si>
    <t>捷克共和国</t>
  </si>
  <si>
    <t>捷克共和國</t>
  </si>
  <si>
    <t>Češka Republika</t>
  </si>
  <si>
    <t>Česko</t>
  </si>
  <si>
    <t>Tjekkiet</t>
  </si>
  <si>
    <t>Tsjechische Republiek</t>
  </si>
  <si>
    <t>Rép. Tchèque</t>
  </si>
  <si>
    <t>ჩეხეთის რესპუბლიკა</t>
  </si>
  <si>
    <t>Tschechien</t>
  </si>
  <si>
    <t>Τσεχική Δημοκρατία</t>
  </si>
  <si>
    <t>הרפובליקה הצ'כית</t>
  </si>
  <si>
    <t>Cseh Köztársaság</t>
  </si>
  <si>
    <t>Republik Ceko</t>
  </si>
  <si>
    <t>Tékkland</t>
  </si>
  <si>
    <t>Repubblica Ceca</t>
  </si>
  <si>
    <t>체코 공화국</t>
  </si>
  <si>
    <t>Čekijos Respublika</t>
  </si>
  <si>
    <t>Република Чешка</t>
  </si>
  <si>
    <t>Repubblika Ċeka</t>
  </si>
  <si>
    <t>Tsjekkisk Republikk</t>
  </si>
  <si>
    <t>جمهوری چک</t>
  </si>
  <si>
    <t>Czechy</t>
  </si>
  <si>
    <t>República Checa</t>
  </si>
  <si>
    <t>Republica Cehă</t>
  </si>
  <si>
    <t>Чешка</t>
  </si>
  <si>
    <t>Česká republika</t>
  </si>
  <si>
    <t>Češka</t>
  </si>
  <si>
    <t>Tjeckien</t>
  </si>
  <si>
    <t>สาธารณรัฐเช็ก</t>
  </si>
  <si>
    <t>Çek Cumhuriyeti</t>
  </si>
  <si>
    <t>Cộng hòa Séc</t>
  </si>
  <si>
    <t>Чеська Республіка</t>
  </si>
  <si>
    <t>جمہوریہ چیک</t>
  </si>
  <si>
    <t>Republic of Ireland</t>
  </si>
  <si>
    <t>Republika e Irlandës</t>
  </si>
  <si>
    <t>جمهورية ايرلندا</t>
  </si>
  <si>
    <t>Իռլանդիա</t>
  </si>
  <si>
    <t>İrlandiya Respublikası</t>
  </si>
  <si>
    <t>Република Ирландия</t>
  </si>
  <si>
    <t>República d'Irlanda</t>
  </si>
  <si>
    <t>爱尔兰</t>
  </si>
  <si>
    <t>愛爾蘭</t>
  </si>
  <si>
    <t>Republika Irska</t>
  </si>
  <si>
    <t>Irsko</t>
  </si>
  <si>
    <t>Irland</t>
  </si>
  <si>
    <t>republiek Ierland</t>
  </si>
  <si>
    <t>Rép.d'Irlande</t>
  </si>
  <si>
    <t>ირლანდიის რესპუბლიკა</t>
  </si>
  <si>
    <t>Irische Republik</t>
  </si>
  <si>
    <t>Δημοκρατία της Ιρλανδίας</t>
  </si>
  <si>
    <t>רפובליקת אירלנד</t>
  </si>
  <si>
    <t>Ír Köztársaság</t>
  </si>
  <si>
    <t>Republik Irlandia</t>
  </si>
  <si>
    <t>Írland</t>
  </si>
  <si>
    <t>repubblica d'Irlanda</t>
  </si>
  <si>
    <t>아일랜드</t>
  </si>
  <si>
    <t>Airijos Respublika</t>
  </si>
  <si>
    <t>Република Ирска</t>
  </si>
  <si>
    <t>Repubblika tal-Irlanda</t>
  </si>
  <si>
    <t>Republikken Irland</t>
  </si>
  <si>
    <t>جمهوری ایرلند</t>
  </si>
  <si>
    <t>Irlandia</t>
  </si>
  <si>
    <t>República da Irlanda</t>
  </si>
  <si>
    <t>Republica Irlanda</t>
  </si>
  <si>
    <t>Írsko</t>
  </si>
  <si>
    <t>Republica de Irlanda</t>
  </si>
  <si>
    <t>republiken Irland</t>
  </si>
  <si>
    <t>สาธารณรัฐไอร์แลนด์</t>
  </si>
  <si>
    <t>irlanda Cumhuriyeti</t>
  </si>
  <si>
    <t>Cộng hòa Ireland</t>
  </si>
  <si>
    <t>Ірландія</t>
  </si>
  <si>
    <t>جمہوریہ آئرلینڈ</t>
  </si>
  <si>
    <t>Iceland</t>
  </si>
  <si>
    <t>Islandë</t>
  </si>
  <si>
    <t>أيسلندا</t>
  </si>
  <si>
    <t>Իսլանդիան</t>
  </si>
  <si>
    <t>İslandiya</t>
  </si>
  <si>
    <t>Исландия</t>
  </si>
  <si>
    <t>Islàndia</t>
  </si>
  <si>
    <t>冰岛</t>
  </si>
  <si>
    <t>冰島</t>
  </si>
  <si>
    <t>Island</t>
  </si>
  <si>
    <t>IJsland</t>
  </si>
  <si>
    <t>Islande</t>
  </si>
  <si>
    <t>ისლანდიის</t>
  </si>
  <si>
    <t>Ισλανδία</t>
  </si>
  <si>
    <t>אִיסלַנד</t>
  </si>
  <si>
    <t>Izland</t>
  </si>
  <si>
    <t>Islandia</t>
  </si>
  <si>
    <t>Ísland</t>
  </si>
  <si>
    <t>Islanda</t>
  </si>
  <si>
    <t>아이슬란드</t>
  </si>
  <si>
    <t>Islandija</t>
  </si>
  <si>
    <t>Исланд</t>
  </si>
  <si>
    <t>ایسلند</t>
  </si>
  <si>
    <t>Islândia</t>
  </si>
  <si>
    <t>island</t>
  </si>
  <si>
    <t>ประเทศไอซ์แลนด์</t>
  </si>
  <si>
    <t>İzlanda</t>
  </si>
  <si>
    <t>Ісландія</t>
  </si>
  <si>
    <t>آئس لینڈ</t>
  </si>
  <si>
    <t>Austria</t>
  </si>
  <si>
    <t>Austri</t>
  </si>
  <si>
    <t>النمسا</t>
  </si>
  <si>
    <t>austria</t>
  </si>
  <si>
    <t>Avstriya</t>
  </si>
  <si>
    <t>Австрия</t>
  </si>
  <si>
    <t>Àustria</t>
  </si>
  <si>
    <t>奥地利</t>
  </si>
  <si>
    <t>奧地利</t>
  </si>
  <si>
    <t>Austrija</t>
  </si>
  <si>
    <t>Rakousko</t>
  </si>
  <si>
    <t>Østrig</t>
  </si>
  <si>
    <t>Oostenrijk</t>
  </si>
  <si>
    <t>Autriche</t>
  </si>
  <si>
    <t>ავსტრიაში</t>
  </si>
  <si>
    <t>Österreich</t>
  </si>
  <si>
    <t>Αυστρία</t>
  </si>
  <si>
    <t>אוֹסְטְרֵיָה</t>
  </si>
  <si>
    <t>Ausztria</t>
  </si>
  <si>
    <t>Austurríki</t>
  </si>
  <si>
    <t>오스트리아</t>
  </si>
  <si>
    <t>Австрија</t>
  </si>
  <si>
    <t>awstrija</t>
  </si>
  <si>
    <t>Østerrike</t>
  </si>
  <si>
    <t>اتریش</t>
  </si>
  <si>
    <t>Áustria</t>
  </si>
  <si>
    <t>Аустрија</t>
  </si>
  <si>
    <t>Rakúsko</t>
  </si>
  <si>
    <t>Avstrija</t>
  </si>
  <si>
    <t>österrike</t>
  </si>
  <si>
    <t>ออสเตรีย</t>
  </si>
  <si>
    <t>Avusturya</t>
  </si>
  <si>
    <t>Áo</t>
  </si>
  <si>
    <t>Австрія</t>
  </si>
  <si>
    <t>آسٹریا</t>
  </si>
  <si>
    <t>France</t>
  </si>
  <si>
    <t>Francë</t>
  </si>
  <si>
    <t>فرنسا</t>
  </si>
  <si>
    <t>Fransa</t>
  </si>
  <si>
    <t>Франция</t>
  </si>
  <si>
    <t>França</t>
  </si>
  <si>
    <t>法国</t>
  </si>
  <si>
    <t>法國</t>
  </si>
  <si>
    <t>Francuska</t>
  </si>
  <si>
    <t>Francie</t>
  </si>
  <si>
    <t>Frankrig</t>
  </si>
  <si>
    <t>Frankrijk</t>
  </si>
  <si>
    <t>საფრანგეთი</t>
  </si>
  <si>
    <t>Frankreich</t>
  </si>
  <si>
    <t>Γαλλία</t>
  </si>
  <si>
    <t>צרפת</t>
  </si>
  <si>
    <t>Franciaország</t>
  </si>
  <si>
    <t>Perancis</t>
  </si>
  <si>
    <t>Francia</t>
  </si>
  <si>
    <t>프랑스</t>
  </si>
  <si>
    <t>Prancūzija</t>
  </si>
  <si>
    <t>Франција</t>
  </si>
  <si>
    <t>Franza</t>
  </si>
  <si>
    <t>Frankrike</t>
  </si>
  <si>
    <t>فرانسه</t>
  </si>
  <si>
    <t>Francja</t>
  </si>
  <si>
    <t>Franța</t>
  </si>
  <si>
    <t>Француска</t>
  </si>
  <si>
    <t>francúzsko</t>
  </si>
  <si>
    <t>ฝรั่งเศส</t>
  </si>
  <si>
    <t>Pháp</t>
  </si>
  <si>
    <t>Франція</t>
  </si>
  <si>
    <t>فرانس</t>
  </si>
  <si>
    <t>Poland</t>
  </si>
  <si>
    <t>Poloni</t>
  </si>
  <si>
    <t>بولندا</t>
  </si>
  <si>
    <t>poland</t>
  </si>
  <si>
    <t>Polşa</t>
  </si>
  <si>
    <t>Полша</t>
  </si>
  <si>
    <t>Polònia</t>
  </si>
  <si>
    <t>波兰</t>
  </si>
  <si>
    <t>波蘭</t>
  </si>
  <si>
    <t>Poljska</t>
  </si>
  <si>
    <t>Polsko</t>
  </si>
  <si>
    <t>Polen</t>
  </si>
  <si>
    <t>Pologne</t>
  </si>
  <si>
    <t>პოლონეთი</t>
  </si>
  <si>
    <t>Πολωνία</t>
  </si>
  <si>
    <t>פולין</t>
  </si>
  <si>
    <t>Lengyelország</t>
  </si>
  <si>
    <t>Polandia</t>
  </si>
  <si>
    <t>Polonia</t>
  </si>
  <si>
    <t>폴란드</t>
  </si>
  <si>
    <t>Lenkija</t>
  </si>
  <si>
    <t>Полска</t>
  </si>
  <si>
    <t>Il-Polonja</t>
  </si>
  <si>
    <t>لهستان</t>
  </si>
  <si>
    <t>Polska</t>
  </si>
  <si>
    <t>Polônia</t>
  </si>
  <si>
    <t>Пољска</t>
  </si>
  <si>
    <t>Poľsko</t>
  </si>
  <si>
    <t>polen</t>
  </si>
  <si>
    <t>โปแลนด์</t>
  </si>
  <si>
    <t>Polonya</t>
  </si>
  <si>
    <t>Ba Lan</t>
  </si>
  <si>
    <t>Польща</t>
  </si>
  <si>
    <t>پولینڈ</t>
  </si>
  <si>
    <t>England</t>
  </si>
  <si>
    <t>Angli</t>
  </si>
  <si>
    <t>انجلترا</t>
  </si>
  <si>
    <t>Անգլիա</t>
  </si>
  <si>
    <t>İngiltərə</t>
  </si>
  <si>
    <t>Англия</t>
  </si>
  <si>
    <t>Anglaterra</t>
  </si>
  <si>
    <t>英国</t>
  </si>
  <si>
    <t>英國</t>
  </si>
  <si>
    <t>Engleska</t>
  </si>
  <si>
    <t>Anglie</t>
  </si>
  <si>
    <t>Engeland</t>
  </si>
  <si>
    <t>Angleterre</t>
  </si>
  <si>
    <t>ინგლისი</t>
  </si>
  <si>
    <t>Αγγλία</t>
  </si>
  <si>
    <t>אנגליה</t>
  </si>
  <si>
    <t>Anglia</t>
  </si>
  <si>
    <t>Inggris</t>
  </si>
  <si>
    <t>Inghilterra</t>
  </si>
  <si>
    <t>영국</t>
  </si>
  <si>
    <t>Anglija</t>
  </si>
  <si>
    <t>Англија</t>
  </si>
  <si>
    <t>Ingilterra</t>
  </si>
  <si>
    <t>انگلستان</t>
  </si>
  <si>
    <t>Inglaterra</t>
  </si>
  <si>
    <t>Енглеска</t>
  </si>
  <si>
    <t>Anglicko</t>
  </si>
  <si>
    <t>อังกฤษ</t>
  </si>
  <si>
    <t>İngiltere</t>
  </si>
  <si>
    <t>Anh</t>
  </si>
  <si>
    <t>Англія</t>
  </si>
  <si>
    <t>انگلینڈ</t>
  </si>
  <si>
    <t>Belgium</t>
  </si>
  <si>
    <t>Belgjikë</t>
  </si>
  <si>
    <t>بلجيكا</t>
  </si>
  <si>
    <t>Բելգիա</t>
  </si>
  <si>
    <t>Belçika</t>
  </si>
  <si>
    <t>Белгия</t>
  </si>
  <si>
    <t>Bèlgica</t>
  </si>
  <si>
    <t>比利时</t>
  </si>
  <si>
    <t>比利時</t>
  </si>
  <si>
    <t>Belgija</t>
  </si>
  <si>
    <t>Belgie</t>
  </si>
  <si>
    <t>Belgien</t>
  </si>
  <si>
    <t>België</t>
  </si>
  <si>
    <t>Belgique</t>
  </si>
  <si>
    <t>ბელგიის</t>
  </si>
  <si>
    <t>Βέλγιο</t>
  </si>
  <si>
    <t>בלגיה</t>
  </si>
  <si>
    <t>Belgia</t>
  </si>
  <si>
    <t>Belgio</t>
  </si>
  <si>
    <t>벨기에</t>
  </si>
  <si>
    <t>белгија</t>
  </si>
  <si>
    <t>Il-Belġju</t>
  </si>
  <si>
    <t>بلژیک</t>
  </si>
  <si>
    <t>Bélgica</t>
  </si>
  <si>
    <t>Белгија</t>
  </si>
  <si>
    <t>belgicko</t>
  </si>
  <si>
    <t>เบลเยี่ยม</t>
  </si>
  <si>
    <t>Bỉ</t>
  </si>
  <si>
    <t>Бельгія</t>
  </si>
  <si>
    <t>بیلجئیم</t>
  </si>
  <si>
    <t>Sweden</t>
  </si>
  <si>
    <t>Suedi</t>
  </si>
  <si>
    <t>السويد</t>
  </si>
  <si>
    <t>sweden</t>
  </si>
  <si>
    <t>İsveç</t>
  </si>
  <si>
    <t>Швеция</t>
  </si>
  <si>
    <t>Suècia</t>
  </si>
  <si>
    <t>瑞典</t>
  </si>
  <si>
    <t>Švedska</t>
  </si>
  <si>
    <t>Švédsko</t>
  </si>
  <si>
    <t>Sverige</t>
  </si>
  <si>
    <t>Zweden</t>
  </si>
  <si>
    <t>Suède</t>
  </si>
  <si>
    <t>შვედეთი</t>
  </si>
  <si>
    <t>Schweden</t>
  </si>
  <si>
    <t>Σουηδία</t>
  </si>
  <si>
    <t>שוודיה</t>
  </si>
  <si>
    <t>Svédország</t>
  </si>
  <si>
    <t>Swedia</t>
  </si>
  <si>
    <t>Svíþjóð</t>
  </si>
  <si>
    <t>Svezia</t>
  </si>
  <si>
    <t>스웨덴</t>
  </si>
  <si>
    <t>Švedija</t>
  </si>
  <si>
    <t>Шведска</t>
  </si>
  <si>
    <t>l-Isvezja</t>
  </si>
  <si>
    <t>سوئد</t>
  </si>
  <si>
    <t>Szwecja</t>
  </si>
  <si>
    <t>Suécia</t>
  </si>
  <si>
    <t>Suedia</t>
  </si>
  <si>
    <t>Suecia</t>
  </si>
  <si>
    <t>sverige</t>
  </si>
  <si>
    <t>สวีเดน</t>
  </si>
  <si>
    <t>Thụy Điển</t>
  </si>
  <si>
    <t>Швеція</t>
  </si>
  <si>
    <t>سویڈن</t>
  </si>
  <si>
    <t>Russia</t>
  </si>
  <si>
    <t>Rusi</t>
  </si>
  <si>
    <t>روسيا</t>
  </si>
  <si>
    <t>Ռուսաստան</t>
  </si>
  <si>
    <t>Rusiya</t>
  </si>
  <si>
    <t>Русия</t>
  </si>
  <si>
    <t>Rússia</t>
  </si>
  <si>
    <t>俄国</t>
  </si>
  <si>
    <t>俄國</t>
  </si>
  <si>
    <t>Rusija</t>
  </si>
  <si>
    <t>Rusko</t>
  </si>
  <si>
    <t>Rusland</t>
  </si>
  <si>
    <t>Russie</t>
  </si>
  <si>
    <t>რუსეთის</t>
  </si>
  <si>
    <t>Russland</t>
  </si>
  <si>
    <t>Ρωσία</t>
  </si>
  <si>
    <t>רוסיה</t>
  </si>
  <si>
    <t>Oroszország</t>
  </si>
  <si>
    <t>Rusia</t>
  </si>
  <si>
    <t>russia</t>
  </si>
  <si>
    <t>러시아</t>
  </si>
  <si>
    <t>Русија</t>
  </si>
  <si>
    <t>Russja</t>
  </si>
  <si>
    <t>روسیه،</t>
  </si>
  <si>
    <t>Rosja</t>
  </si>
  <si>
    <t>rusko</t>
  </si>
  <si>
    <t>Ryssland</t>
  </si>
  <si>
    <t>ประเทศรัสเซีย</t>
  </si>
  <si>
    <t>Rusya</t>
  </si>
  <si>
    <t>Nga</t>
  </si>
  <si>
    <t>Росія</t>
  </si>
  <si>
    <t>روس</t>
  </si>
  <si>
    <t>1A</t>
  </si>
  <si>
    <t>A1</t>
  </si>
  <si>
    <r>
      <rPr>
        <sz val="10"/>
        <rFont val="Calibri"/>
        <family val="2"/>
        <charset val="204"/>
      </rPr>
      <t xml:space="preserve">A </t>
    </r>
    <r>
      <rPr>
        <sz val="10"/>
        <rFont val="Noto Sans CJK SC"/>
        <family val="2"/>
      </rPr>
      <t xml:space="preserve">그룹 </t>
    </r>
    <r>
      <rPr>
        <sz val="10"/>
        <rFont val="Calibri"/>
        <family val="2"/>
        <charset val="204"/>
      </rPr>
      <t>1</t>
    </r>
    <r>
      <rPr>
        <sz val="10"/>
        <rFont val="Noto Sans CJK SC"/>
        <family val="2"/>
      </rPr>
      <t>위</t>
    </r>
  </si>
  <si>
    <t>اول گروه A</t>
  </si>
  <si>
    <t>ที่ 1 สาย A</t>
  </si>
  <si>
    <t>۱الف</t>
  </si>
  <si>
    <t>2A</t>
  </si>
  <si>
    <t>A2</t>
  </si>
  <si>
    <r>
      <rPr>
        <sz val="10"/>
        <rFont val="Calibri"/>
        <family val="2"/>
        <charset val="204"/>
      </rPr>
      <t xml:space="preserve">A </t>
    </r>
    <r>
      <rPr>
        <sz val="10"/>
        <rFont val="Noto Sans CJK SC"/>
        <family val="2"/>
      </rPr>
      <t xml:space="preserve">그룹 </t>
    </r>
    <r>
      <rPr>
        <sz val="10"/>
        <rFont val="Calibri"/>
        <family val="2"/>
        <charset val="204"/>
      </rPr>
      <t>2</t>
    </r>
    <r>
      <rPr>
        <sz val="10"/>
        <rFont val="Noto Sans CJK SC"/>
        <family val="2"/>
      </rPr>
      <t>위</t>
    </r>
  </si>
  <si>
    <t>دوم گروه A</t>
  </si>
  <si>
    <t>ที่ 2 สาย A</t>
  </si>
  <si>
    <t>۲الف</t>
  </si>
  <si>
    <t>1B</t>
  </si>
  <si>
    <t>B1</t>
  </si>
  <si>
    <r>
      <rPr>
        <sz val="10"/>
        <rFont val="Calibri"/>
        <family val="2"/>
        <charset val="204"/>
      </rPr>
      <t xml:space="preserve">B </t>
    </r>
    <r>
      <rPr>
        <sz val="10"/>
        <rFont val="Noto Sans CJK SC"/>
        <family val="2"/>
      </rPr>
      <t xml:space="preserve">그룹 </t>
    </r>
    <r>
      <rPr>
        <sz val="10"/>
        <rFont val="Calibri"/>
        <family val="2"/>
        <charset val="204"/>
      </rPr>
      <t>1</t>
    </r>
    <r>
      <rPr>
        <sz val="10"/>
        <rFont val="Noto Sans CJK SC"/>
        <family val="2"/>
      </rPr>
      <t>위</t>
    </r>
  </si>
  <si>
    <t>اول گروه B</t>
  </si>
  <si>
    <t>ที่ 1 สาย B</t>
  </si>
  <si>
    <t>۱ب</t>
  </si>
  <si>
    <t>2B</t>
  </si>
  <si>
    <t>B2</t>
  </si>
  <si>
    <r>
      <rPr>
        <sz val="10"/>
        <rFont val="Calibri"/>
        <family val="2"/>
        <charset val="204"/>
      </rPr>
      <t xml:space="preserve">B </t>
    </r>
    <r>
      <rPr>
        <sz val="10"/>
        <rFont val="Noto Sans CJK SC"/>
        <family val="2"/>
      </rPr>
      <t xml:space="preserve">그룹 </t>
    </r>
    <r>
      <rPr>
        <sz val="10"/>
        <rFont val="Calibri"/>
        <family val="2"/>
        <charset val="204"/>
      </rPr>
      <t>2</t>
    </r>
    <r>
      <rPr>
        <sz val="10"/>
        <rFont val="Noto Sans CJK SC"/>
        <family val="2"/>
      </rPr>
      <t>위</t>
    </r>
  </si>
  <si>
    <t>دوم گروهB</t>
  </si>
  <si>
    <t>ที่ 2 สาย B</t>
  </si>
  <si>
    <t>۲ب</t>
  </si>
  <si>
    <t>1C</t>
  </si>
  <si>
    <t>C1</t>
  </si>
  <si>
    <t>1Γ</t>
  </si>
  <si>
    <r>
      <rPr>
        <sz val="10"/>
        <rFont val="Calibri"/>
        <family val="2"/>
        <charset val="204"/>
      </rPr>
      <t xml:space="preserve">C </t>
    </r>
    <r>
      <rPr>
        <sz val="10"/>
        <rFont val="Noto Sans CJK SC"/>
        <family val="2"/>
      </rPr>
      <t xml:space="preserve">그룹 </t>
    </r>
    <r>
      <rPr>
        <sz val="10"/>
        <rFont val="Calibri"/>
        <family val="2"/>
        <charset val="204"/>
      </rPr>
      <t>1</t>
    </r>
    <r>
      <rPr>
        <sz val="10"/>
        <rFont val="Noto Sans CJK SC"/>
        <family val="2"/>
      </rPr>
      <t>위</t>
    </r>
  </si>
  <si>
    <t>1Ċ</t>
  </si>
  <si>
    <t>اول گروه C</t>
  </si>
  <si>
    <t>ที่ 1 สาย C</t>
  </si>
  <si>
    <t>۱ج</t>
  </si>
  <si>
    <t>2C</t>
  </si>
  <si>
    <t>C2</t>
  </si>
  <si>
    <t>2Γ</t>
  </si>
  <si>
    <r>
      <rPr>
        <sz val="10"/>
        <rFont val="Calibri"/>
        <family val="2"/>
        <charset val="204"/>
      </rPr>
      <t xml:space="preserve">C </t>
    </r>
    <r>
      <rPr>
        <sz val="10"/>
        <rFont val="Noto Sans CJK SC"/>
        <family val="2"/>
      </rPr>
      <t xml:space="preserve">그룹 </t>
    </r>
    <r>
      <rPr>
        <sz val="10"/>
        <rFont val="Calibri"/>
        <family val="2"/>
        <charset val="204"/>
      </rPr>
      <t>2</t>
    </r>
    <r>
      <rPr>
        <sz val="10"/>
        <rFont val="Noto Sans CJK SC"/>
        <family val="2"/>
      </rPr>
      <t>위</t>
    </r>
  </si>
  <si>
    <t>2Ċ</t>
  </si>
  <si>
    <t>دوم گروه C</t>
  </si>
  <si>
    <t>ที่ 2 สาย C</t>
  </si>
  <si>
    <t>۲ج</t>
  </si>
  <si>
    <t>1D</t>
  </si>
  <si>
    <t>D1</t>
  </si>
  <si>
    <t>1Δ</t>
  </si>
  <si>
    <r>
      <rPr>
        <sz val="10"/>
        <rFont val="Calibri"/>
        <family val="2"/>
        <charset val="204"/>
      </rPr>
      <t xml:space="preserve">D </t>
    </r>
    <r>
      <rPr>
        <sz val="10"/>
        <rFont val="Noto Sans CJK SC"/>
        <family val="2"/>
      </rPr>
      <t xml:space="preserve">그룹 </t>
    </r>
    <r>
      <rPr>
        <sz val="10"/>
        <rFont val="Calibri"/>
        <family val="2"/>
        <charset val="204"/>
      </rPr>
      <t>1</t>
    </r>
    <r>
      <rPr>
        <sz val="10"/>
        <rFont val="Noto Sans CJK SC"/>
        <family val="2"/>
      </rPr>
      <t>위</t>
    </r>
  </si>
  <si>
    <t>اول گروه D</t>
  </si>
  <si>
    <t>ที่ 1 สาย D</t>
  </si>
  <si>
    <t>۱د</t>
  </si>
  <si>
    <t>2D</t>
  </si>
  <si>
    <t>D2</t>
  </si>
  <si>
    <t>2Δ</t>
  </si>
  <si>
    <r>
      <rPr>
        <sz val="10"/>
        <rFont val="Calibri"/>
        <family val="2"/>
        <charset val="204"/>
      </rPr>
      <t xml:space="preserve">D </t>
    </r>
    <r>
      <rPr>
        <sz val="10"/>
        <rFont val="Noto Sans CJK SC"/>
        <family val="2"/>
      </rPr>
      <t xml:space="preserve">그룹 </t>
    </r>
    <r>
      <rPr>
        <sz val="10"/>
        <rFont val="Calibri"/>
        <family val="2"/>
        <charset val="204"/>
      </rPr>
      <t>2</t>
    </r>
    <r>
      <rPr>
        <sz val="10"/>
        <rFont val="Noto Sans CJK SC"/>
        <family val="2"/>
      </rPr>
      <t>위</t>
    </r>
  </si>
  <si>
    <t>دوم گروه D</t>
  </si>
  <si>
    <t>ที่ 2 สาย D</t>
  </si>
  <si>
    <t>۲د</t>
  </si>
  <si>
    <t>1E</t>
  </si>
  <si>
    <t>E1</t>
  </si>
  <si>
    <t>1Ε</t>
  </si>
  <si>
    <r>
      <rPr>
        <sz val="10"/>
        <rFont val="Calibri"/>
        <family val="2"/>
        <charset val="204"/>
      </rPr>
      <t xml:space="preserve">E </t>
    </r>
    <r>
      <rPr>
        <sz val="10"/>
        <rFont val="Noto Sans CJK SC"/>
        <family val="2"/>
      </rPr>
      <t xml:space="preserve">그룹 </t>
    </r>
    <r>
      <rPr>
        <sz val="10"/>
        <rFont val="Calibri"/>
        <family val="2"/>
        <charset val="204"/>
      </rPr>
      <t>1</t>
    </r>
    <r>
      <rPr>
        <sz val="10"/>
        <rFont val="Noto Sans CJK SC"/>
        <family val="2"/>
      </rPr>
      <t>위</t>
    </r>
  </si>
  <si>
    <t>اول گروه E</t>
  </si>
  <si>
    <t>ที่ 1 สาย E</t>
  </si>
  <si>
    <t>۱ھ</t>
  </si>
  <si>
    <t>2E</t>
  </si>
  <si>
    <t>E2</t>
  </si>
  <si>
    <t>2Ε</t>
  </si>
  <si>
    <r>
      <rPr>
        <sz val="10"/>
        <rFont val="Calibri"/>
        <family val="2"/>
        <charset val="204"/>
      </rPr>
      <t xml:space="preserve">E </t>
    </r>
    <r>
      <rPr>
        <sz val="10"/>
        <rFont val="Noto Sans CJK SC"/>
        <family val="2"/>
      </rPr>
      <t xml:space="preserve">그룹 </t>
    </r>
    <r>
      <rPr>
        <sz val="10"/>
        <rFont val="Calibri"/>
        <family val="2"/>
        <charset val="204"/>
      </rPr>
      <t>2</t>
    </r>
    <r>
      <rPr>
        <sz val="10"/>
        <rFont val="Noto Sans CJK SC"/>
        <family val="2"/>
      </rPr>
      <t>위</t>
    </r>
  </si>
  <si>
    <t>دوم گروه E</t>
  </si>
  <si>
    <t>ที่ 2 สาย E</t>
  </si>
  <si>
    <t>۲ھ</t>
  </si>
  <si>
    <t>1F</t>
  </si>
  <si>
    <t>F1</t>
  </si>
  <si>
    <t>1ΣΤ</t>
  </si>
  <si>
    <r>
      <rPr>
        <sz val="10"/>
        <rFont val="Calibri"/>
        <family val="2"/>
        <charset val="204"/>
      </rPr>
      <t xml:space="preserve">F </t>
    </r>
    <r>
      <rPr>
        <sz val="10"/>
        <rFont val="Noto Sans CJK SC"/>
        <family val="2"/>
      </rPr>
      <t xml:space="preserve">그룹 </t>
    </r>
    <r>
      <rPr>
        <sz val="10"/>
        <rFont val="Calibri"/>
        <family val="2"/>
        <charset val="204"/>
      </rPr>
      <t>1</t>
    </r>
    <r>
      <rPr>
        <sz val="10"/>
        <rFont val="Noto Sans CJK SC"/>
        <family val="2"/>
      </rPr>
      <t>위</t>
    </r>
  </si>
  <si>
    <t>اول گروه F</t>
  </si>
  <si>
    <t>ที่ 1 สาย F</t>
  </si>
  <si>
    <t>۱و</t>
  </si>
  <si>
    <t>2F</t>
  </si>
  <si>
    <t>F2</t>
  </si>
  <si>
    <t>2ΣΤ</t>
  </si>
  <si>
    <r>
      <rPr>
        <sz val="10"/>
        <rFont val="Calibri"/>
        <family val="2"/>
        <charset val="204"/>
      </rPr>
      <t xml:space="preserve">F </t>
    </r>
    <r>
      <rPr>
        <sz val="10"/>
        <rFont val="Noto Sans CJK SC"/>
        <family val="2"/>
      </rPr>
      <t xml:space="preserve">그룹 </t>
    </r>
    <r>
      <rPr>
        <sz val="10"/>
        <rFont val="Calibri"/>
        <family val="2"/>
        <charset val="204"/>
      </rPr>
      <t>2</t>
    </r>
    <r>
      <rPr>
        <sz val="10"/>
        <rFont val="Noto Sans CJK SC"/>
        <family val="2"/>
      </rPr>
      <t>위</t>
    </r>
  </si>
  <si>
    <t>دوم گروه F</t>
  </si>
  <si>
    <t>ที่ 2 สาย F</t>
  </si>
  <si>
    <t>۲و</t>
  </si>
  <si>
    <t>1G</t>
  </si>
  <si>
    <t>G1</t>
  </si>
  <si>
    <t>1Ζ</t>
  </si>
  <si>
    <r>
      <rPr>
        <sz val="10"/>
        <rFont val="Calibri"/>
        <family val="2"/>
        <charset val="204"/>
      </rPr>
      <t xml:space="preserve">G </t>
    </r>
    <r>
      <rPr>
        <sz val="10"/>
        <rFont val="Noto Sans CJK SC"/>
        <family val="2"/>
      </rPr>
      <t xml:space="preserve">그룹 </t>
    </r>
    <r>
      <rPr>
        <sz val="10"/>
        <rFont val="Calibri"/>
        <family val="2"/>
        <charset val="204"/>
      </rPr>
      <t>1</t>
    </r>
    <r>
      <rPr>
        <sz val="10"/>
        <rFont val="Noto Sans CJK SC"/>
        <family val="2"/>
      </rPr>
      <t>위</t>
    </r>
  </si>
  <si>
    <t>1Ġ</t>
  </si>
  <si>
    <t>اول گروه G</t>
  </si>
  <si>
    <t>ที่ 1 สาย G</t>
  </si>
  <si>
    <t>۱ز</t>
  </si>
  <si>
    <t>2G</t>
  </si>
  <si>
    <t>G2</t>
  </si>
  <si>
    <t>2Ζ</t>
  </si>
  <si>
    <r>
      <rPr>
        <sz val="10"/>
        <rFont val="Calibri"/>
        <family val="2"/>
        <charset val="204"/>
      </rPr>
      <t xml:space="preserve">G </t>
    </r>
    <r>
      <rPr>
        <sz val="10"/>
        <rFont val="Noto Sans CJK SC"/>
        <family val="2"/>
      </rPr>
      <t xml:space="preserve">그룹 </t>
    </r>
    <r>
      <rPr>
        <sz val="10"/>
        <rFont val="Calibri"/>
        <family val="2"/>
        <charset val="204"/>
      </rPr>
      <t>2</t>
    </r>
    <r>
      <rPr>
        <sz val="10"/>
        <rFont val="Noto Sans CJK SC"/>
        <family val="2"/>
      </rPr>
      <t>위</t>
    </r>
  </si>
  <si>
    <t>2Ġ</t>
  </si>
  <si>
    <t>دوم گروه G</t>
  </si>
  <si>
    <t>ที่ 2 สาย G</t>
  </si>
  <si>
    <t>۲ز</t>
  </si>
  <si>
    <t>1H</t>
  </si>
  <si>
    <t>H1</t>
  </si>
  <si>
    <r>
      <rPr>
        <sz val="10"/>
        <rFont val="Calibri"/>
        <family val="2"/>
        <charset val="204"/>
      </rPr>
      <t xml:space="preserve">H </t>
    </r>
    <r>
      <rPr>
        <sz val="10"/>
        <rFont val="Noto Sans CJK SC"/>
        <family val="2"/>
      </rPr>
      <t xml:space="preserve">그룹 </t>
    </r>
    <r>
      <rPr>
        <sz val="10"/>
        <rFont val="Calibri"/>
        <family val="2"/>
        <charset val="204"/>
      </rPr>
      <t>1</t>
    </r>
    <r>
      <rPr>
        <sz val="10"/>
        <rFont val="Noto Sans CJK SC"/>
        <family val="2"/>
      </rPr>
      <t>위</t>
    </r>
  </si>
  <si>
    <t>1Ħ</t>
  </si>
  <si>
    <t>اول گروه H</t>
  </si>
  <si>
    <t>ที่ 1 สาย H</t>
  </si>
  <si>
    <t>۱ح</t>
  </si>
  <si>
    <t>2H</t>
  </si>
  <si>
    <t>H2</t>
  </si>
  <si>
    <r>
      <rPr>
        <sz val="10"/>
        <rFont val="Calibri"/>
        <family val="2"/>
        <charset val="204"/>
      </rPr>
      <t xml:space="preserve">H </t>
    </r>
    <r>
      <rPr>
        <sz val="10"/>
        <rFont val="Noto Sans CJK SC"/>
        <family val="2"/>
      </rPr>
      <t xml:space="preserve">그룹 </t>
    </r>
    <r>
      <rPr>
        <sz val="10"/>
        <rFont val="Calibri"/>
        <family val="2"/>
        <charset val="204"/>
      </rPr>
      <t>2</t>
    </r>
    <r>
      <rPr>
        <sz val="10"/>
        <rFont val="Noto Sans CJK SC"/>
        <family val="2"/>
      </rPr>
      <t>위</t>
    </r>
  </si>
  <si>
    <t>دوم گروه H</t>
  </si>
  <si>
    <t>ที่ 2 สาย H</t>
  </si>
  <si>
    <t>۲ح</t>
  </si>
  <si>
    <t>W37</t>
  </si>
  <si>
    <t>F37</t>
  </si>
  <si>
    <t>Q37</t>
  </si>
  <si>
    <t>G37</t>
  </si>
  <si>
    <r>
      <rPr>
        <sz val="10"/>
        <rFont val="Calibri"/>
        <family val="2"/>
        <charset val="204"/>
      </rPr>
      <t>37</t>
    </r>
    <r>
      <rPr>
        <sz val="10"/>
        <rFont val="Noto Sans CJK SC"/>
        <family val="2"/>
      </rPr>
      <t>胜者</t>
    </r>
  </si>
  <si>
    <t>V37</t>
  </si>
  <si>
    <t>მ37</t>
  </si>
  <si>
    <t>Ν37</t>
  </si>
  <si>
    <t>GY37</t>
  </si>
  <si>
    <r>
      <rPr>
        <sz val="10"/>
        <rFont val="Calibri"/>
        <family val="2"/>
        <charset val="204"/>
      </rPr>
      <t>16</t>
    </r>
    <r>
      <rPr>
        <sz val="10"/>
        <rFont val="Noto Sans CJK SC"/>
        <family val="2"/>
      </rPr>
      <t>강전 경기</t>
    </r>
    <r>
      <rPr>
        <sz val="10"/>
        <rFont val="Calibri"/>
        <family val="2"/>
        <charset val="204"/>
      </rPr>
      <t xml:space="preserve">1 </t>
    </r>
    <r>
      <rPr>
        <sz val="10"/>
        <rFont val="Noto Sans CJK SC"/>
        <family val="2"/>
      </rPr>
      <t>승자</t>
    </r>
  </si>
  <si>
    <t>L37</t>
  </si>
  <si>
    <t>П37</t>
  </si>
  <si>
    <t>R37</t>
  </si>
  <si>
    <t>برنده بازی 37</t>
  </si>
  <si>
    <t>C37</t>
  </si>
  <si>
    <t>P37</t>
  </si>
  <si>
    <t>ผู้ชนะนัดที่ 37</t>
  </si>
  <si>
    <t>T37</t>
  </si>
  <si>
    <t>Переможець 37</t>
  </si>
  <si>
    <t>۴۹ جیت</t>
  </si>
  <si>
    <t>W39</t>
  </si>
  <si>
    <t>F39</t>
  </si>
  <si>
    <t>Q39</t>
  </si>
  <si>
    <t>G39</t>
  </si>
  <si>
    <r>
      <rPr>
        <sz val="10"/>
        <rFont val="Calibri"/>
        <family val="2"/>
        <charset val="204"/>
      </rPr>
      <t>39</t>
    </r>
    <r>
      <rPr>
        <sz val="10"/>
        <rFont val="Noto Sans CJK SC"/>
        <family val="2"/>
      </rPr>
      <t>胜者</t>
    </r>
  </si>
  <si>
    <t>V39</t>
  </si>
  <si>
    <t>მ39</t>
  </si>
  <si>
    <t>Ν39</t>
  </si>
  <si>
    <t>GY39</t>
  </si>
  <si>
    <r>
      <rPr>
        <sz val="10"/>
        <rFont val="Calibri"/>
        <family val="2"/>
        <charset val="204"/>
      </rPr>
      <t>16</t>
    </r>
    <r>
      <rPr>
        <sz val="10"/>
        <rFont val="Noto Sans CJK SC"/>
        <family val="2"/>
      </rPr>
      <t>강전 경기</t>
    </r>
    <r>
      <rPr>
        <sz val="10"/>
        <rFont val="Calibri"/>
        <family val="2"/>
        <charset val="204"/>
      </rPr>
      <t xml:space="preserve">2 </t>
    </r>
    <r>
      <rPr>
        <sz val="10"/>
        <rFont val="Noto Sans CJK SC"/>
        <family val="2"/>
      </rPr>
      <t>승자</t>
    </r>
  </si>
  <si>
    <t>L39</t>
  </si>
  <si>
    <t>П39</t>
  </si>
  <si>
    <t>R39</t>
  </si>
  <si>
    <t>برنده بازی 39</t>
  </si>
  <si>
    <t>C39</t>
  </si>
  <si>
    <t>P39</t>
  </si>
  <si>
    <t>ผู้ชนะนัดที่ 39</t>
  </si>
  <si>
    <t>T39</t>
  </si>
  <si>
    <t>Переможець 39</t>
  </si>
  <si>
    <t>۵۰ جیت</t>
  </si>
  <si>
    <t>W41</t>
  </si>
  <si>
    <t>F41</t>
  </si>
  <si>
    <t>Q41</t>
  </si>
  <si>
    <t>G41</t>
  </si>
  <si>
    <r>
      <rPr>
        <sz val="10"/>
        <rFont val="Calibri"/>
        <family val="2"/>
        <charset val="204"/>
      </rPr>
      <t>41</t>
    </r>
    <r>
      <rPr>
        <sz val="10"/>
        <rFont val="Noto Sans CJK SC"/>
        <family val="2"/>
      </rPr>
      <t>胜者</t>
    </r>
  </si>
  <si>
    <t>V41</t>
  </si>
  <si>
    <t>მ41</t>
  </si>
  <si>
    <t>Ν41</t>
  </si>
  <si>
    <t>GY41</t>
  </si>
  <si>
    <r>
      <rPr>
        <sz val="10"/>
        <rFont val="Calibri"/>
        <family val="2"/>
        <charset val="204"/>
      </rPr>
      <t>16</t>
    </r>
    <r>
      <rPr>
        <sz val="10"/>
        <rFont val="Noto Sans CJK SC"/>
        <family val="2"/>
      </rPr>
      <t>강전 경기</t>
    </r>
    <r>
      <rPr>
        <sz val="10"/>
        <rFont val="Calibri"/>
        <family val="2"/>
        <charset val="204"/>
      </rPr>
      <t xml:space="preserve">3 </t>
    </r>
    <r>
      <rPr>
        <sz val="10"/>
        <rFont val="Noto Sans CJK SC"/>
        <family val="2"/>
      </rPr>
      <t>승자</t>
    </r>
  </si>
  <si>
    <t>L41</t>
  </si>
  <si>
    <t>П41</t>
  </si>
  <si>
    <t>R41</t>
  </si>
  <si>
    <t>برنده بازی 41</t>
  </si>
  <si>
    <t>C41</t>
  </si>
  <si>
    <t>P41</t>
  </si>
  <si>
    <t>ผู้ชนะนัดที่ 41</t>
  </si>
  <si>
    <t>T41</t>
  </si>
  <si>
    <t>Переможець 41</t>
  </si>
  <si>
    <t>۵۱ جیت</t>
  </si>
  <si>
    <t>W43</t>
  </si>
  <si>
    <t>F43</t>
  </si>
  <si>
    <t>Q43</t>
  </si>
  <si>
    <t>G43</t>
  </si>
  <si>
    <r>
      <rPr>
        <sz val="10"/>
        <rFont val="Calibri"/>
        <family val="2"/>
        <charset val="204"/>
      </rPr>
      <t>43</t>
    </r>
    <r>
      <rPr>
        <sz val="10"/>
        <rFont val="Noto Sans CJK SC"/>
        <family val="2"/>
      </rPr>
      <t>胜者</t>
    </r>
  </si>
  <si>
    <t>V43</t>
  </si>
  <si>
    <t>მ43</t>
  </si>
  <si>
    <t>Ν43</t>
  </si>
  <si>
    <t>GY43</t>
  </si>
  <si>
    <r>
      <rPr>
        <sz val="10"/>
        <rFont val="Calibri"/>
        <family val="2"/>
        <charset val="204"/>
      </rPr>
      <t>16</t>
    </r>
    <r>
      <rPr>
        <sz val="10"/>
        <rFont val="Noto Sans CJK SC"/>
        <family val="2"/>
      </rPr>
      <t>강전 경기</t>
    </r>
    <r>
      <rPr>
        <sz val="10"/>
        <rFont val="Calibri"/>
        <family val="2"/>
        <charset val="204"/>
      </rPr>
      <t xml:space="preserve">4 </t>
    </r>
    <r>
      <rPr>
        <sz val="10"/>
        <rFont val="Noto Sans CJK SC"/>
        <family val="2"/>
      </rPr>
      <t>승자</t>
    </r>
  </si>
  <si>
    <t>L43</t>
  </si>
  <si>
    <t>П43</t>
  </si>
  <si>
    <t>R43</t>
  </si>
  <si>
    <t>برنده بازی 43</t>
  </si>
  <si>
    <t>C43</t>
  </si>
  <si>
    <t>P43</t>
  </si>
  <si>
    <t>ผู้ชนะนัดที่ 43</t>
  </si>
  <si>
    <t>T43</t>
  </si>
  <si>
    <t>Переможець 43</t>
  </si>
  <si>
    <t>۵۲ جیت</t>
  </si>
  <si>
    <t>W38</t>
  </si>
  <si>
    <t>F38</t>
  </si>
  <si>
    <t>Q38</t>
  </si>
  <si>
    <t>G38</t>
  </si>
  <si>
    <r>
      <rPr>
        <sz val="10"/>
        <rFont val="Calibri"/>
        <family val="2"/>
        <charset val="204"/>
      </rPr>
      <t>38</t>
    </r>
    <r>
      <rPr>
        <sz val="10"/>
        <rFont val="Noto Sans CJK SC"/>
        <family val="2"/>
      </rPr>
      <t>胜者</t>
    </r>
  </si>
  <si>
    <t>V38</t>
  </si>
  <si>
    <t>მ38</t>
  </si>
  <si>
    <t>Ν38</t>
  </si>
  <si>
    <t>GY38</t>
  </si>
  <si>
    <r>
      <rPr>
        <sz val="10"/>
        <rFont val="Calibri"/>
        <family val="2"/>
        <charset val="204"/>
      </rPr>
      <t>16</t>
    </r>
    <r>
      <rPr>
        <sz val="10"/>
        <rFont val="Noto Sans CJK SC"/>
        <family val="2"/>
      </rPr>
      <t>강전 경기</t>
    </r>
    <r>
      <rPr>
        <sz val="10"/>
        <rFont val="Calibri"/>
        <family val="2"/>
        <charset val="204"/>
      </rPr>
      <t xml:space="preserve">5 </t>
    </r>
    <r>
      <rPr>
        <sz val="10"/>
        <rFont val="Noto Sans CJK SC"/>
        <family val="2"/>
      </rPr>
      <t>승자</t>
    </r>
  </si>
  <si>
    <t>L38</t>
  </si>
  <si>
    <t>П38</t>
  </si>
  <si>
    <t>R38</t>
  </si>
  <si>
    <t>برنده بازی 38</t>
  </si>
  <si>
    <t>C38</t>
  </si>
  <si>
    <t>P38</t>
  </si>
  <si>
    <t>ผู้ชนะนัดที่ 38</t>
  </si>
  <si>
    <t>T38</t>
  </si>
  <si>
    <t>Переможець 38</t>
  </si>
  <si>
    <t>۵۳ جیت</t>
  </si>
  <si>
    <t>W42</t>
  </si>
  <si>
    <t>F42</t>
  </si>
  <si>
    <t>Q42</t>
  </si>
  <si>
    <t>G42</t>
  </si>
  <si>
    <r>
      <rPr>
        <sz val="10"/>
        <rFont val="Calibri"/>
        <family val="2"/>
        <charset val="204"/>
      </rPr>
      <t>42</t>
    </r>
    <r>
      <rPr>
        <sz val="10"/>
        <rFont val="Noto Sans CJK SC"/>
        <family val="2"/>
      </rPr>
      <t>胜者</t>
    </r>
  </si>
  <si>
    <t>V42</t>
  </si>
  <si>
    <t>მ42</t>
  </si>
  <si>
    <t>Ν42</t>
  </si>
  <si>
    <t>GY42</t>
  </si>
  <si>
    <r>
      <rPr>
        <sz val="10"/>
        <rFont val="Calibri"/>
        <family val="2"/>
        <charset val="204"/>
      </rPr>
      <t>16</t>
    </r>
    <r>
      <rPr>
        <sz val="10"/>
        <rFont val="Noto Sans CJK SC"/>
        <family val="2"/>
      </rPr>
      <t>강전 경기</t>
    </r>
    <r>
      <rPr>
        <sz val="10"/>
        <rFont val="Calibri"/>
        <family val="2"/>
        <charset val="204"/>
      </rPr>
      <t xml:space="preserve">6 </t>
    </r>
    <r>
      <rPr>
        <sz val="10"/>
        <rFont val="Noto Sans CJK SC"/>
        <family val="2"/>
      </rPr>
      <t>승자</t>
    </r>
  </si>
  <si>
    <t>L42</t>
  </si>
  <si>
    <t>П42</t>
  </si>
  <si>
    <t>R42</t>
  </si>
  <si>
    <t>برنده بازی 42</t>
  </si>
  <si>
    <t>C42</t>
  </si>
  <si>
    <t>P42</t>
  </si>
  <si>
    <t>ผู้ชนะนัดที่ 42</t>
  </si>
  <si>
    <t>T42</t>
  </si>
  <si>
    <t>Переможець 42</t>
  </si>
  <si>
    <t>۵۴ جیت</t>
  </si>
  <si>
    <t>W40</t>
  </si>
  <si>
    <t>F40</t>
  </si>
  <si>
    <t>Q40</t>
  </si>
  <si>
    <t>G40</t>
  </si>
  <si>
    <r>
      <rPr>
        <sz val="10"/>
        <rFont val="Calibri"/>
        <family val="2"/>
        <charset val="204"/>
      </rPr>
      <t>40</t>
    </r>
    <r>
      <rPr>
        <sz val="10"/>
        <rFont val="Noto Sans CJK SC"/>
        <family val="2"/>
      </rPr>
      <t>胜者</t>
    </r>
  </si>
  <si>
    <t>V40</t>
  </si>
  <si>
    <t>მ40</t>
  </si>
  <si>
    <t>Ν40</t>
  </si>
  <si>
    <t>GY40</t>
  </si>
  <si>
    <r>
      <rPr>
        <sz val="10"/>
        <rFont val="Calibri"/>
        <family val="2"/>
        <charset val="204"/>
      </rPr>
      <t>16</t>
    </r>
    <r>
      <rPr>
        <sz val="10"/>
        <rFont val="Noto Sans CJK SC"/>
        <family val="2"/>
      </rPr>
      <t>강전 경기</t>
    </r>
    <r>
      <rPr>
        <sz val="10"/>
        <rFont val="Calibri"/>
        <family val="2"/>
        <charset val="204"/>
      </rPr>
      <t xml:space="preserve">7 </t>
    </r>
    <r>
      <rPr>
        <sz val="10"/>
        <rFont val="Noto Sans CJK SC"/>
        <family val="2"/>
      </rPr>
      <t>승자</t>
    </r>
  </si>
  <si>
    <t>L40</t>
  </si>
  <si>
    <t>П40</t>
  </si>
  <si>
    <t>R40</t>
  </si>
  <si>
    <t>برنده بازی 40</t>
  </si>
  <si>
    <t>C40</t>
  </si>
  <si>
    <t>P40</t>
  </si>
  <si>
    <t>ผู้ชนะนัดที่ 40</t>
  </si>
  <si>
    <t>T40</t>
  </si>
  <si>
    <t>Переможець 40</t>
  </si>
  <si>
    <t>۵۵ جیت</t>
  </si>
  <si>
    <t>W44</t>
  </si>
  <si>
    <t>F44</t>
  </si>
  <si>
    <t>Q44</t>
  </si>
  <si>
    <t>G44</t>
  </si>
  <si>
    <r>
      <rPr>
        <sz val="10"/>
        <rFont val="Calibri"/>
        <family val="2"/>
        <charset val="204"/>
      </rPr>
      <t>44</t>
    </r>
    <r>
      <rPr>
        <sz val="10"/>
        <rFont val="Noto Sans CJK SC"/>
        <family val="2"/>
      </rPr>
      <t>胜者</t>
    </r>
  </si>
  <si>
    <t>V44</t>
  </si>
  <si>
    <t>მ44</t>
  </si>
  <si>
    <t>Ν44</t>
  </si>
  <si>
    <t>GY44</t>
  </si>
  <si>
    <r>
      <rPr>
        <sz val="10"/>
        <rFont val="Calibri"/>
        <family val="2"/>
        <charset val="204"/>
      </rPr>
      <t>16</t>
    </r>
    <r>
      <rPr>
        <sz val="10"/>
        <rFont val="Noto Sans CJK SC"/>
        <family val="2"/>
      </rPr>
      <t>강전 경기</t>
    </r>
    <r>
      <rPr>
        <sz val="10"/>
        <rFont val="Calibri"/>
        <family val="2"/>
        <charset val="204"/>
      </rPr>
      <t xml:space="preserve">8 </t>
    </r>
    <r>
      <rPr>
        <sz val="10"/>
        <rFont val="Noto Sans CJK SC"/>
        <family val="2"/>
      </rPr>
      <t>승자</t>
    </r>
  </si>
  <si>
    <t>L44</t>
  </si>
  <si>
    <t>П44</t>
  </si>
  <si>
    <t>R44</t>
  </si>
  <si>
    <t>برنده بازی 44</t>
  </si>
  <si>
    <t>C44</t>
  </si>
  <si>
    <t>P44</t>
  </si>
  <si>
    <t>ผู้ชนะนัดที่ 44</t>
  </si>
  <si>
    <t>T44</t>
  </si>
  <si>
    <t>Переможець 44</t>
  </si>
  <si>
    <t>۵۶ جیت</t>
  </si>
  <si>
    <t>W45</t>
  </si>
  <si>
    <t>F45</t>
  </si>
  <si>
    <t>Q45</t>
  </si>
  <si>
    <t>G45</t>
  </si>
  <si>
    <r>
      <rPr>
        <sz val="10"/>
        <rFont val="Calibri"/>
        <family val="2"/>
        <charset val="204"/>
      </rPr>
      <t>45</t>
    </r>
    <r>
      <rPr>
        <sz val="10"/>
        <rFont val="Noto Sans CJK SC"/>
        <family val="2"/>
      </rPr>
      <t>胜者</t>
    </r>
  </si>
  <si>
    <t>V45</t>
  </si>
  <si>
    <t>მ45</t>
  </si>
  <si>
    <t>Ν45</t>
  </si>
  <si>
    <t>GY45</t>
  </si>
  <si>
    <r>
      <rPr>
        <sz val="10"/>
        <rFont val="Calibri"/>
        <family val="2"/>
        <charset val="204"/>
      </rPr>
      <t>8</t>
    </r>
    <r>
      <rPr>
        <sz val="10"/>
        <rFont val="Noto Sans CJK SC"/>
        <family val="2"/>
      </rPr>
      <t>강전 경기</t>
    </r>
    <r>
      <rPr>
        <sz val="10"/>
        <rFont val="Calibri"/>
        <family val="2"/>
        <charset val="204"/>
      </rPr>
      <t xml:space="preserve">1 </t>
    </r>
    <r>
      <rPr>
        <sz val="10"/>
        <rFont val="Noto Sans CJK SC"/>
        <family val="2"/>
      </rPr>
      <t>승자</t>
    </r>
  </si>
  <si>
    <t>L45</t>
  </si>
  <si>
    <t>П45</t>
  </si>
  <si>
    <t>R45</t>
  </si>
  <si>
    <t>برنده بازی 45</t>
  </si>
  <si>
    <t>C45</t>
  </si>
  <si>
    <t>P45</t>
  </si>
  <si>
    <t>ผู้ชนะนัดที่ 45</t>
  </si>
  <si>
    <t>T45</t>
  </si>
  <si>
    <t>Переможець 45</t>
  </si>
  <si>
    <t>۵۷ جیت</t>
  </si>
  <si>
    <t>W46</t>
  </si>
  <si>
    <t>F46</t>
  </si>
  <si>
    <t>Q46</t>
  </si>
  <si>
    <t>G46</t>
  </si>
  <si>
    <r>
      <rPr>
        <sz val="10"/>
        <rFont val="Calibri"/>
        <family val="2"/>
        <charset val="204"/>
      </rPr>
      <t>46</t>
    </r>
    <r>
      <rPr>
        <sz val="10"/>
        <rFont val="Noto Sans CJK SC"/>
        <family val="2"/>
      </rPr>
      <t>胜者</t>
    </r>
  </si>
  <si>
    <t>V46</t>
  </si>
  <si>
    <t>მ46</t>
  </si>
  <si>
    <t>Ν46</t>
  </si>
  <si>
    <t>GY46</t>
  </si>
  <si>
    <r>
      <rPr>
        <sz val="10"/>
        <rFont val="Calibri"/>
        <family val="2"/>
        <charset val="204"/>
      </rPr>
      <t>8</t>
    </r>
    <r>
      <rPr>
        <sz val="10"/>
        <rFont val="Noto Sans CJK SC"/>
        <family val="2"/>
      </rPr>
      <t>강전 경기</t>
    </r>
    <r>
      <rPr>
        <sz val="10"/>
        <rFont val="Calibri"/>
        <family val="2"/>
        <charset val="204"/>
      </rPr>
      <t xml:space="preserve">2 </t>
    </r>
    <r>
      <rPr>
        <sz val="10"/>
        <rFont val="Noto Sans CJK SC"/>
        <family val="2"/>
      </rPr>
      <t>승자</t>
    </r>
  </si>
  <si>
    <t>L46</t>
  </si>
  <si>
    <t>П46</t>
  </si>
  <si>
    <t>R46</t>
  </si>
  <si>
    <t>برنده بازی 46</t>
  </si>
  <si>
    <t>C46</t>
  </si>
  <si>
    <t>P46</t>
  </si>
  <si>
    <t>ผู้ชนะนัดที่ 46</t>
  </si>
  <si>
    <t>T46</t>
  </si>
  <si>
    <t>Переможець 46</t>
  </si>
  <si>
    <t>۵۸ جیت</t>
  </si>
  <si>
    <t>W47</t>
  </si>
  <si>
    <t>F47</t>
  </si>
  <si>
    <t>Q47</t>
  </si>
  <si>
    <t>G47</t>
  </si>
  <si>
    <r>
      <rPr>
        <sz val="10"/>
        <rFont val="Calibri"/>
        <family val="2"/>
        <charset val="204"/>
      </rPr>
      <t>47</t>
    </r>
    <r>
      <rPr>
        <sz val="10"/>
        <rFont val="Noto Sans CJK SC"/>
        <family val="2"/>
      </rPr>
      <t>胜者</t>
    </r>
  </si>
  <si>
    <t>V47</t>
  </si>
  <si>
    <t>მ47</t>
  </si>
  <si>
    <t>Ν47</t>
  </si>
  <si>
    <t>GY47</t>
  </si>
  <si>
    <r>
      <rPr>
        <sz val="10"/>
        <rFont val="Calibri"/>
        <family val="2"/>
        <charset val="204"/>
      </rPr>
      <t>8</t>
    </r>
    <r>
      <rPr>
        <sz val="10"/>
        <rFont val="Noto Sans CJK SC"/>
        <family val="2"/>
      </rPr>
      <t>강전 경기</t>
    </r>
    <r>
      <rPr>
        <sz val="10"/>
        <rFont val="Calibri"/>
        <family val="2"/>
        <charset val="204"/>
      </rPr>
      <t xml:space="preserve">3 </t>
    </r>
    <r>
      <rPr>
        <sz val="10"/>
        <rFont val="Noto Sans CJK SC"/>
        <family val="2"/>
      </rPr>
      <t>승자</t>
    </r>
  </si>
  <si>
    <t>L47</t>
  </si>
  <si>
    <t>П47</t>
  </si>
  <si>
    <t>R47</t>
  </si>
  <si>
    <t>برنده بازی 47</t>
  </si>
  <si>
    <t>C47</t>
  </si>
  <si>
    <t>P47</t>
  </si>
  <si>
    <t>ผู้ชนะนัดที่ 47</t>
  </si>
  <si>
    <t>T47</t>
  </si>
  <si>
    <t>Переможець 47</t>
  </si>
  <si>
    <t>۵۹ جیت</t>
  </si>
  <si>
    <t>W48</t>
  </si>
  <si>
    <t>F48</t>
  </si>
  <si>
    <t>Q48</t>
  </si>
  <si>
    <t>G48</t>
  </si>
  <si>
    <r>
      <rPr>
        <sz val="10"/>
        <rFont val="Calibri"/>
        <family val="2"/>
        <charset val="204"/>
      </rPr>
      <t>48</t>
    </r>
    <r>
      <rPr>
        <sz val="10"/>
        <rFont val="Noto Sans CJK SC"/>
        <family val="2"/>
      </rPr>
      <t>胜者</t>
    </r>
  </si>
  <si>
    <t>V48</t>
  </si>
  <si>
    <t>მ48</t>
  </si>
  <si>
    <t>Ν48</t>
  </si>
  <si>
    <t>GY48</t>
  </si>
  <si>
    <r>
      <rPr>
        <sz val="10"/>
        <rFont val="Calibri"/>
        <family val="2"/>
        <charset val="204"/>
      </rPr>
      <t>8</t>
    </r>
    <r>
      <rPr>
        <sz val="10"/>
        <rFont val="Noto Sans CJK SC"/>
        <family val="2"/>
      </rPr>
      <t>강전 경기</t>
    </r>
    <r>
      <rPr>
        <sz val="10"/>
        <rFont val="Calibri"/>
        <family val="2"/>
        <charset val="204"/>
      </rPr>
      <t xml:space="preserve">4 </t>
    </r>
    <r>
      <rPr>
        <sz val="10"/>
        <rFont val="Noto Sans CJK SC"/>
        <family val="2"/>
      </rPr>
      <t>승자</t>
    </r>
  </si>
  <si>
    <t>L48</t>
  </si>
  <si>
    <t>П48</t>
  </si>
  <si>
    <t>R48</t>
  </si>
  <si>
    <t>برنده بازی 48</t>
  </si>
  <si>
    <t>C48</t>
  </si>
  <si>
    <t>P48</t>
  </si>
  <si>
    <t>ผู้ชนะนัดที่ 48</t>
  </si>
  <si>
    <t>T48</t>
  </si>
  <si>
    <t>Переможець 48</t>
  </si>
  <si>
    <t>۶۰ جیت</t>
  </si>
  <si>
    <t>W49</t>
  </si>
  <si>
    <t>F49</t>
  </si>
  <si>
    <t>Q49</t>
  </si>
  <si>
    <t>G49</t>
  </si>
  <si>
    <r>
      <rPr>
        <sz val="10"/>
        <rFont val="Calibri"/>
        <family val="2"/>
        <charset val="204"/>
      </rPr>
      <t>49</t>
    </r>
    <r>
      <rPr>
        <sz val="10"/>
        <rFont val="Noto Sans CJK SC"/>
        <family val="2"/>
      </rPr>
      <t>胜者</t>
    </r>
  </si>
  <si>
    <t>V49</t>
  </si>
  <si>
    <t>მ49</t>
  </si>
  <si>
    <t>Ν49</t>
  </si>
  <si>
    <t>GY49</t>
  </si>
  <si>
    <r>
      <rPr>
        <sz val="10"/>
        <rFont val="Noto Sans CJK SC"/>
        <family val="2"/>
      </rPr>
      <t>준결승 경기</t>
    </r>
    <r>
      <rPr>
        <sz val="10"/>
        <rFont val="Calibri"/>
        <family val="2"/>
        <charset val="204"/>
      </rPr>
      <t xml:space="preserve">1 </t>
    </r>
    <r>
      <rPr>
        <sz val="10"/>
        <rFont val="Noto Sans CJK SC"/>
        <family val="2"/>
      </rPr>
      <t>승자</t>
    </r>
  </si>
  <si>
    <t>L49</t>
  </si>
  <si>
    <t>П49</t>
  </si>
  <si>
    <t>R49</t>
  </si>
  <si>
    <t>برنده بازی 49</t>
  </si>
  <si>
    <t>C49</t>
  </si>
  <si>
    <t>P49</t>
  </si>
  <si>
    <t>ผู้ชนะนัดที่ 49</t>
  </si>
  <si>
    <t>T49</t>
  </si>
  <si>
    <t>Переможець 49</t>
  </si>
  <si>
    <t>۶۱ جیت</t>
  </si>
  <si>
    <t>W50</t>
  </si>
  <si>
    <t>F50</t>
  </si>
  <si>
    <t>Q50</t>
  </si>
  <si>
    <t>G50</t>
  </si>
  <si>
    <r>
      <rPr>
        <sz val="10"/>
        <rFont val="Calibri"/>
        <family val="2"/>
        <charset val="204"/>
      </rPr>
      <t>50</t>
    </r>
    <r>
      <rPr>
        <sz val="10"/>
        <rFont val="Noto Sans CJK SC"/>
        <family val="2"/>
      </rPr>
      <t>胜者</t>
    </r>
  </si>
  <si>
    <t>V50</t>
  </si>
  <si>
    <t>მ50</t>
  </si>
  <si>
    <t>Ν50</t>
  </si>
  <si>
    <t>GY50</t>
  </si>
  <si>
    <r>
      <rPr>
        <sz val="10"/>
        <rFont val="Noto Sans CJK SC"/>
        <family val="2"/>
      </rPr>
      <t>준결승 경기</t>
    </r>
    <r>
      <rPr>
        <sz val="10"/>
        <rFont val="Calibri"/>
        <family val="2"/>
        <charset val="204"/>
      </rPr>
      <t xml:space="preserve">2 </t>
    </r>
    <r>
      <rPr>
        <sz val="10"/>
        <rFont val="Noto Sans CJK SC"/>
        <family val="2"/>
      </rPr>
      <t>승자</t>
    </r>
  </si>
  <si>
    <t>L50</t>
  </si>
  <si>
    <t>П50</t>
  </si>
  <si>
    <t>R50</t>
  </si>
  <si>
    <t>برنده بازی 50</t>
  </si>
  <si>
    <t>C50</t>
  </si>
  <si>
    <t>P50</t>
  </si>
  <si>
    <t>ผู้ชนะนัดที่ 50</t>
  </si>
  <si>
    <t>T50</t>
  </si>
  <si>
    <t>Переможець 50</t>
  </si>
  <si>
    <t>۶۲ جیت</t>
  </si>
  <si>
    <t>L61</t>
  </si>
  <si>
    <t>H61</t>
  </si>
  <si>
    <t>M61</t>
  </si>
  <si>
    <t>P61</t>
  </si>
  <si>
    <r>
      <rPr>
        <sz val="10"/>
        <rFont val="Calibri"/>
        <family val="2"/>
        <charset val="204"/>
      </rPr>
      <t>61</t>
    </r>
    <r>
      <rPr>
        <sz val="10"/>
        <rFont val="Noto Sans CJK SC"/>
        <family val="2"/>
      </rPr>
      <t>负者</t>
    </r>
  </si>
  <si>
    <t>T61</t>
  </si>
  <si>
    <t>V61</t>
  </si>
  <si>
    <t>წ61</t>
  </si>
  <si>
    <t>Η61</t>
  </si>
  <si>
    <r>
      <rPr>
        <sz val="10"/>
        <rFont val="Noto Sans CJK SC"/>
        <family val="2"/>
      </rPr>
      <t>준결승 경기</t>
    </r>
    <r>
      <rPr>
        <sz val="10"/>
        <rFont val="Calibri"/>
        <family val="2"/>
        <charset val="204"/>
      </rPr>
      <t xml:space="preserve">1 </t>
    </r>
    <r>
      <rPr>
        <sz val="10"/>
        <rFont val="Noto Sans CJK SC"/>
        <family val="2"/>
      </rPr>
      <t>패자</t>
    </r>
  </si>
  <si>
    <t>И61</t>
  </si>
  <si>
    <t>بازنده بازی 61</t>
  </si>
  <si>
    <t>I61</t>
  </si>
  <si>
    <t>ผู้แพ้นัดที่ 61</t>
  </si>
  <si>
    <t>B61</t>
  </si>
  <si>
    <t>Переможений 61</t>
  </si>
  <si>
    <t>۶۱ ہار</t>
  </si>
  <si>
    <t>L62</t>
  </si>
  <si>
    <t>H62</t>
  </si>
  <si>
    <t>M62</t>
  </si>
  <si>
    <t>P62</t>
  </si>
  <si>
    <r>
      <rPr>
        <sz val="10"/>
        <rFont val="Calibri"/>
        <family val="2"/>
        <charset val="204"/>
      </rPr>
      <t>62</t>
    </r>
    <r>
      <rPr>
        <sz val="10"/>
        <rFont val="Noto Sans CJK SC"/>
        <family val="2"/>
      </rPr>
      <t>负者</t>
    </r>
  </si>
  <si>
    <t>T62</t>
  </si>
  <si>
    <t>V62</t>
  </si>
  <si>
    <t>წ62</t>
  </si>
  <si>
    <t>Η62</t>
  </si>
  <si>
    <r>
      <rPr>
        <sz val="10"/>
        <rFont val="Noto Sans CJK SC"/>
        <family val="2"/>
      </rPr>
      <t>준결승 경기</t>
    </r>
    <r>
      <rPr>
        <sz val="10"/>
        <rFont val="Calibri"/>
        <family val="2"/>
        <charset val="204"/>
      </rPr>
      <t xml:space="preserve">2 </t>
    </r>
    <r>
      <rPr>
        <sz val="10"/>
        <rFont val="Noto Sans CJK SC"/>
        <family val="2"/>
      </rPr>
      <t>패자</t>
    </r>
  </si>
  <si>
    <t>И62</t>
  </si>
  <si>
    <t>بازنده بازی 62</t>
  </si>
  <si>
    <t>I62</t>
  </si>
  <si>
    <t>ผู้แพ้นัดที่ 62</t>
  </si>
  <si>
    <t>B62</t>
  </si>
  <si>
    <t>Переможений 62</t>
  </si>
  <si>
    <t>۶۲ ہار</t>
  </si>
  <si>
    <t>Munich</t>
  </si>
  <si>
    <t>Mynih</t>
  </si>
  <si>
    <t>ميونيخ</t>
  </si>
  <si>
    <t>Մյունխենի</t>
  </si>
  <si>
    <t>Мюнхен</t>
  </si>
  <si>
    <t>Munic</t>
  </si>
  <si>
    <t>慕尼黑</t>
  </si>
  <si>
    <t>Minhen</t>
  </si>
  <si>
    <t>Mnichov</t>
  </si>
  <si>
    <t>München</t>
  </si>
  <si>
    <t>მიუნხენი</t>
  </si>
  <si>
    <t>Μόναχο</t>
  </si>
  <si>
    <t>מינכן</t>
  </si>
  <si>
    <t>Monaco</t>
  </si>
  <si>
    <t>뮌헨</t>
  </si>
  <si>
    <t>Miunchenas</t>
  </si>
  <si>
    <t>Минхен</t>
  </si>
  <si>
    <t>مونیخ</t>
  </si>
  <si>
    <t>Monachium</t>
  </si>
  <si>
    <t>Munique</t>
  </si>
  <si>
    <t>Munchen</t>
  </si>
  <si>
    <t>Mníchov</t>
  </si>
  <si>
    <t>มิวนิค</t>
  </si>
  <si>
    <t>Münih</t>
  </si>
  <si>
    <t>میونخ</t>
  </si>
  <si>
    <t>en</t>
  </si>
  <si>
    <t>sq</t>
  </si>
  <si>
    <t>ar</t>
  </si>
  <si>
    <t>hy</t>
  </si>
  <si>
    <t>az</t>
  </si>
  <si>
    <t>bg</t>
  </si>
  <si>
    <t>ca</t>
  </si>
  <si>
    <t>zh-CN</t>
  </si>
  <si>
    <t>zh-TW</t>
  </si>
  <si>
    <t>hr</t>
  </si>
  <si>
    <t>cs</t>
  </si>
  <si>
    <t>da</t>
  </si>
  <si>
    <t>nl</t>
  </si>
  <si>
    <t>fr</t>
  </si>
  <si>
    <t>ka</t>
  </si>
  <si>
    <t>de</t>
  </si>
  <si>
    <t>el</t>
  </si>
  <si>
    <t>iw</t>
  </si>
  <si>
    <t>hu</t>
  </si>
  <si>
    <t>id</t>
  </si>
  <si>
    <t>is</t>
  </si>
  <si>
    <t>it</t>
  </si>
  <si>
    <t>ko</t>
  </si>
  <si>
    <t>lt</t>
  </si>
  <si>
    <t>mk</t>
  </si>
  <si>
    <t>mt</t>
  </si>
  <si>
    <t>no</t>
  </si>
  <si>
    <t>fa</t>
  </si>
  <si>
    <t>pl</t>
  </si>
  <si>
    <t>pt</t>
  </si>
  <si>
    <t>ro</t>
  </si>
  <si>
    <t>sr</t>
  </si>
  <si>
    <t>sk</t>
  </si>
  <si>
    <t>sl</t>
  </si>
  <si>
    <t>es</t>
  </si>
  <si>
    <t>sv</t>
  </si>
  <si>
    <t>th</t>
  </si>
  <si>
    <t>tr</t>
  </si>
  <si>
    <t>vi</t>
  </si>
  <si>
    <t>uk</t>
  </si>
  <si>
    <t>ur</t>
  </si>
  <si>
    <t>Settings</t>
  </si>
  <si>
    <t>Group Round Sorting</t>
  </si>
  <si>
    <t>Language</t>
  </si>
  <si>
    <t>Step #1</t>
  </si>
  <si>
    <t>Points</t>
  </si>
  <si>
    <t>Summer Time</t>
  </si>
  <si>
    <t>Yes</t>
  </si>
  <si>
    <t>Step #2</t>
  </si>
  <si>
    <t>Concerned teams (Pnt, GF-GA, GF)</t>
  </si>
  <si>
    <t>Step #3</t>
  </si>
  <si>
    <t>Goal Difference</t>
  </si>
  <si>
    <t>GTM-Time</t>
  </si>
  <si>
    <t>GMT + 1:00</t>
  </si>
  <si>
    <t>Step #4</t>
  </si>
  <si>
    <t>Goals Scored</t>
  </si>
  <si>
    <t>Step #5</t>
  </si>
  <si>
    <t>UEFA Rank</t>
  </si>
  <si>
    <t>Minutes</t>
  </si>
  <si>
    <t>+0 min</t>
  </si>
  <si>
    <t>Language ID</t>
  </si>
  <si>
    <t>GMT Delta</t>
  </si>
  <si>
    <t>GMT - 11:00</t>
  </si>
  <si>
    <t>GMT - 10:00</t>
  </si>
  <si>
    <t>GMT - 9:00</t>
  </si>
  <si>
    <t>GMT - 8:00</t>
  </si>
  <si>
    <t>GMT - 7:00</t>
  </si>
  <si>
    <t>GMT - 6:00</t>
  </si>
  <si>
    <t>GMT - 5:00</t>
  </si>
  <si>
    <t>GMT - 4:00</t>
  </si>
  <si>
    <t>GMT - 3:00</t>
  </si>
  <si>
    <t>GMT - 2:00</t>
  </si>
  <si>
    <t>GMT - 1:00</t>
  </si>
  <si>
    <t>GMT</t>
  </si>
  <si>
    <t>GMT + 2:00</t>
  </si>
  <si>
    <t>GMT + 3:00</t>
  </si>
  <si>
    <t>GMT + 4:00</t>
  </si>
  <si>
    <t>GMT + 5:00</t>
  </si>
  <si>
    <t>GMT + 6:00</t>
  </si>
  <si>
    <t>GMT + 7:00</t>
  </si>
  <si>
    <t>GMT + 8:00</t>
  </si>
  <si>
    <t>GMT + 9:00</t>
  </si>
  <si>
    <t>GMT + 10:00</t>
  </si>
  <si>
    <t>GMT + 11:00</t>
  </si>
  <si>
    <t>GMT + 12:00</t>
  </si>
  <si>
    <t>+15 min</t>
  </si>
  <si>
    <t>+30 min</t>
  </si>
  <si>
    <t>+45 min</t>
  </si>
  <si>
    <t>itype</t>
  </si>
  <si>
    <t>Group Round: 3rd Places Tiebreak</t>
  </si>
  <si>
    <t>Best 3rds:</t>
  </si>
  <si>
    <t>1B vs</t>
  </si>
  <si>
    <t>1C vs</t>
  </si>
  <si>
    <t>1E vs</t>
  </si>
  <si>
    <t>1F vs</t>
  </si>
  <si>
    <t>ABCD</t>
  </si>
  <si>
    <t>3A</t>
  </si>
  <si>
    <t>3D</t>
  </si>
  <si>
    <t>3B</t>
  </si>
  <si>
    <t>3C</t>
  </si>
  <si>
    <t>ABCE</t>
  </si>
  <si>
    <t>3E</t>
  </si>
  <si>
    <t>ABCF</t>
  </si>
  <si>
    <t>3F</t>
  </si>
  <si>
    <t>ABDE</t>
  </si>
  <si>
    <t>ABDF</t>
  </si>
  <si>
    <t>ABEF</t>
  </si>
  <si>
    <t>ACDE</t>
  </si>
  <si>
    <t>ACDF</t>
  </si>
  <si>
    <t>ACEF</t>
  </si>
  <si>
    <t>ADEF</t>
  </si>
  <si>
    <t>BCDE</t>
  </si>
  <si>
    <t>BCDF</t>
  </si>
  <si>
    <t>BCEF</t>
  </si>
  <si>
    <t>BDEF</t>
  </si>
  <si>
    <t>CDEF</t>
  </si>
  <si>
    <t>Date + Time + GMT</t>
  </si>
  <si>
    <t>GF</t>
  </si>
  <si>
    <t>GA</t>
  </si>
  <si>
    <t>Place</t>
  </si>
  <si>
    <t>Delta</t>
  </si>
  <si>
    <t>Pnt</t>
  </si>
  <si>
    <t>Rank</t>
  </si>
  <si>
    <t>F-A</t>
  </si>
  <si>
    <t>R0</t>
  </si>
  <si>
    <t>Cnt</t>
  </si>
  <si>
    <t>CntPnt</t>
  </si>
  <si>
    <t>A</t>
  </si>
  <si>
    <t>UEFA EURO 2024 Tournament Schedule</t>
  </si>
  <si>
    <t>UEFA Euro 2024 Tournament Schedule</t>
  </si>
  <si>
    <t>كأس الأمم الأوروبية 2024 جدول البطولة</t>
  </si>
  <si>
    <t>UEFA EURO 2024-մրցաշար ժամանակացույց</t>
  </si>
  <si>
    <t>UEFA EURO 2024 Tournament cədvəli</t>
  </si>
  <si>
    <t>Европейско първенство по футбол 2024 График на турнира</t>
  </si>
  <si>
    <t>UEFA EURO 2024 calendari de tornejos</t>
  </si>
  <si>
    <t>2024年欧洲足球锦标赛锦标赛时间表</t>
  </si>
  <si>
    <t>2024年歐洲足球錦標賽錦標賽時間表</t>
  </si>
  <si>
    <t>UEFA EURO 2024 Raspored turnira</t>
  </si>
  <si>
    <t>UEFA EURO 2024 Plán turnajů</t>
  </si>
  <si>
    <t>UEFA EURO 2024 Toernooi schema</t>
  </si>
  <si>
    <t>UEFA EURO 2024</t>
  </si>
  <si>
    <t>UEFA EURO 2024 ტურნირი განრიგი</t>
  </si>
  <si>
    <t>UEFA EURO 2024 Turnierplan</t>
  </si>
  <si>
    <t>UEFA EURO 2024 Πρόγραμμα Τουρνουά</t>
  </si>
  <si>
    <t>EURO אופ"א לו"ז טורניר 2024</t>
  </si>
  <si>
    <t>UEFA EURO 2024 versenyek időbeosztása</t>
  </si>
  <si>
    <t>UEFA EURO 2024 Jadwal Turnamen</t>
  </si>
  <si>
    <t>UEFA EURO 2024 Tournament Dagskrá</t>
  </si>
  <si>
    <t>UEFA 유로​​ 2024 토너먼트 일정</t>
  </si>
  <si>
    <t>EURO 2024 turnyro tvarkaraštis</t>
  </si>
  <si>
    <t>УЕФА Евро 2024 Распоред турнир</t>
  </si>
  <si>
    <t>UEFA EURO 2024 Tournament Iskeda</t>
  </si>
  <si>
    <t>UEFA EURO 2024 Turneringsskjema</t>
  </si>
  <si>
    <t>UEFA EURO 2024 برنامه مسابقات</t>
  </si>
  <si>
    <t>UEFA EURO 2024 Harmonogram turnieju</t>
  </si>
  <si>
    <t>UEFA EURO 2024 Calendário de Torneios</t>
  </si>
  <si>
    <t>UEFA EURO 2024 Programul turneelor</t>
  </si>
  <si>
    <t>ЕВРО 2024 Турнир Распоред</t>
  </si>
  <si>
    <t>UEFA EURO 2024 Plán turnajov</t>
  </si>
  <si>
    <t>UEFA EURO 2024 turnir Razpored</t>
  </si>
  <si>
    <t>UEFA EURO 2024 calendario de torneos</t>
  </si>
  <si>
    <t>UEFA EURO 2024 turneringsschemat</t>
  </si>
  <si>
    <t>ฟุตบอลชิงแชมป์แห่งชาติยุโรป 2024 ตารางการแข่งขัน</t>
  </si>
  <si>
    <t>2024 Avrupa Futbol Şampiyonası Turnuva Takvimi</t>
  </si>
  <si>
    <t>UEFA EURO 2024 Lịch trình giải đấu</t>
  </si>
  <si>
    <t>ЄВРО-2024 Розклад турнірів</t>
  </si>
  <si>
    <t>UEFA EURO 2024 ٹورنامنٹ کے شیڈول</t>
  </si>
  <si>
    <t>Champion 2024</t>
  </si>
  <si>
    <t>بطل 2024</t>
  </si>
  <si>
    <t>Champion 2024-</t>
  </si>
  <si>
    <t>Шампион 2024</t>
  </si>
  <si>
    <t>Campió 2024</t>
  </si>
  <si>
    <t>2024年冠军</t>
  </si>
  <si>
    <t>2024年冠軍</t>
  </si>
  <si>
    <t>Prvak 2024</t>
  </si>
  <si>
    <t>ჩემპიონი 2024</t>
  </si>
  <si>
    <t>Meister 2024</t>
  </si>
  <si>
    <t>Πρωταθλητής 2024</t>
  </si>
  <si>
    <t>אלוף 2024</t>
  </si>
  <si>
    <t>Juara 2024</t>
  </si>
  <si>
    <t>Meistari 2024</t>
  </si>
  <si>
    <t>Campione 2024</t>
  </si>
  <si>
    <t>챔피언 2024</t>
  </si>
  <si>
    <t>Čempionas 2024</t>
  </si>
  <si>
    <t>قهرمان 2024</t>
  </si>
  <si>
    <t>Campionul 2024</t>
  </si>
  <si>
    <t>Цхампион 2024</t>
  </si>
  <si>
    <t>Campeón 2024</t>
  </si>
  <si>
    <t>แชมป์ 2024</t>
  </si>
  <si>
    <t>Şampiyon 2024</t>
  </si>
  <si>
    <t>Чемпіон 2024</t>
  </si>
  <si>
    <t>چیمپیئن 2024</t>
  </si>
  <si>
    <t>Serbia</t>
  </si>
  <si>
    <t>Slovenia</t>
  </si>
  <si>
    <t>Georgia</t>
  </si>
  <si>
    <t>Sllovenia</t>
  </si>
  <si>
    <t>سلوفينيا</t>
  </si>
  <si>
    <t>Սլովենիա</t>
  </si>
  <si>
    <t>Sloveniya</t>
  </si>
  <si>
    <t>Словения</t>
  </si>
  <si>
    <t>Eslovènia</t>
  </si>
  <si>
    <t>斯洛文尼亚</t>
  </si>
  <si>
    <t>斯洛維尼亞</t>
  </si>
  <si>
    <t>Slovenija</t>
  </si>
  <si>
    <t>Slovinsko</t>
  </si>
  <si>
    <t>Slovenien</t>
  </si>
  <si>
    <t>Slovenië</t>
  </si>
  <si>
    <t>Slovénie</t>
  </si>
  <si>
    <t>სლოვენია</t>
  </si>
  <si>
    <t>Slowenien</t>
  </si>
  <si>
    <t>Σλοβενία</t>
  </si>
  <si>
    <t>סלובניה</t>
  </si>
  <si>
    <t>Szlovénia</t>
  </si>
  <si>
    <t>Slóvenía</t>
  </si>
  <si>
    <t>슬로베니아</t>
  </si>
  <si>
    <t>Slovėnija</t>
  </si>
  <si>
    <t>Словенија</t>
  </si>
  <si>
    <t>اسلوونی</t>
  </si>
  <si>
    <t>Słowenia</t>
  </si>
  <si>
    <t>Eslovênia</t>
  </si>
  <si>
    <t>Eslovenia</t>
  </si>
  <si>
    <t>สโลวีเนีย</t>
  </si>
  <si>
    <t>Slovenya</t>
  </si>
  <si>
    <t>Словенія</t>
  </si>
  <si>
    <t>سلووینیا</t>
  </si>
  <si>
    <t>Slovenja</t>
  </si>
  <si>
    <t>Serbisë</t>
  </si>
  <si>
    <t>صربيا</t>
  </si>
  <si>
    <t>Սերբիա</t>
  </si>
  <si>
    <t>Serbiya</t>
  </si>
  <si>
    <t>Сърбия</t>
  </si>
  <si>
    <t>Sèrbia</t>
  </si>
  <si>
    <t>塞尔维亚</t>
  </si>
  <si>
    <t>塞爾維亞</t>
  </si>
  <si>
    <t>Srbija</t>
  </si>
  <si>
    <t>Srbsko</t>
  </si>
  <si>
    <t>Serbien</t>
  </si>
  <si>
    <t>Servië</t>
  </si>
  <si>
    <t>Serbie</t>
  </si>
  <si>
    <t>სერბეთი</t>
  </si>
  <si>
    <t>Σερβία</t>
  </si>
  <si>
    <t>סרביה</t>
  </si>
  <si>
    <t>Szerbia</t>
  </si>
  <si>
    <t>Serbía</t>
  </si>
  <si>
    <t>세르비아</t>
  </si>
  <si>
    <t>Serbija</t>
  </si>
  <si>
    <t>Србија</t>
  </si>
  <si>
    <t>Serbja</t>
  </si>
  <si>
    <t>صربستان</t>
  </si>
  <si>
    <t>Sérvia</t>
  </si>
  <si>
    <t>เซอร์เบีย</t>
  </si>
  <si>
    <t>Sırbistan</t>
  </si>
  <si>
    <t>Сербія</t>
  </si>
  <si>
    <t>سربیا</t>
  </si>
  <si>
    <t>Gjeorgjia</t>
  </si>
  <si>
    <t>جورجيا</t>
  </si>
  <si>
    <t>Վրաստան</t>
  </si>
  <si>
    <t>Gürcüstan</t>
  </si>
  <si>
    <t>Грузия</t>
  </si>
  <si>
    <t>Geòrgia</t>
  </si>
  <si>
    <t>乔治亚州</t>
  </si>
  <si>
    <t>喬治亞州</t>
  </si>
  <si>
    <t>Gruzija</t>
  </si>
  <si>
    <t>Gruzie</t>
  </si>
  <si>
    <t>Georgien</t>
  </si>
  <si>
    <t>Georgië</t>
  </si>
  <si>
    <t>Géorgie</t>
  </si>
  <si>
    <t>საქართველოს</t>
  </si>
  <si>
    <t>Γεωργία</t>
  </si>
  <si>
    <t>גאורגיה</t>
  </si>
  <si>
    <t>Grúzia</t>
  </si>
  <si>
    <t>Georgíu</t>
  </si>
  <si>
    <t>그루지야</t>
  </si>
  <si>
    <t>Грузија</t>
  </si>
  <si>
    <t>Ġeorġja</t>
  </si>
  <si>
    <t>گرجستان</t>
  </si>
  <si>
    <t>Gruzja</t>
  </si>
  <si>
    <t>Geórgia</t>
  </si>
  <si>
    <t>Георгиа</t>
  </si>
  <si>
    <t>Gruzínsko</t>
  </si>
  <si>
    <t>จอร์เจีย</t>
  </si>
  <si>
    <t>Gürcistan</t>
  </si>
  <si>
    <t>Gruzia</t>
  </si>
  <si>
    <t>Грузія</t>
  </si>
  <si>
    <t>جارجیا</t>
  </si>
  <si>
    <t>Cologne</t>
  </si>
  <si>
    <t>Stuttgart</t>
  </si>
  <si>
    <t>Frankfurt</t>
  </si>
  <si>
    <t>Berlin</t>
  </si>
  <si>
    <t>Dortmund</t>
  </si>
  <si>
    <t>Hamburg</t>
  </si>
  <si>
    <t>Gelsenkirchen</t>
  </si>
  <si>
    <t>Düsseldorf</t>
  </si>
  <si>
    <t>Leipzig</t>
  </si>
  <si>
    <t>Këln</t>
  </si>
  <si>
    <t>كولونيا</t>
  </si>
  <si>
    <t>Քյոլն</t>
  </si>
  <si>
    <t>Köln</t>
  </si>
  <si>
    <t>Кьолн</t>
  </si>
  <si>
    <t>Colònia</t>
  </si>
  <si>
    <t>科隆</t>
  </si>
  <si>
    <t>Kolín nad Rýnem</t>
  </si>
  <si>
    <t>Keulen</t>
  </si>
  <si>
    <t>Eau de Cologne</t>
  </si>
  <si>
    <t>კიოლნი</t>
  </si>
  <si>
    <t>Κολόνια</t>
  </si>
  <si>
    <t>קלן</t>
  </si>
  <si>
    <t>kölni</t>
  </si>
  <si>
    <t>Colonia</t>
  </si>
  <si>
    <t>쾰른</t>
  </si>
  <si>
    <t>Kelnas</t>
  </si>
  <si>
    <t>Келн</t>
  </si>
  <si>
    <t>کلن</t>
  </si>
  <si>
    <t>Kolonia</t>
  </si>
  <si>
    <t>Colônia</t>
  </si>
  <si>
    <t>Kolín nad Rýnom</t>
  </si>
  <si>
    <t>โคโลญจน์</t>
  </si>
  <si>
    <t>Кельн</t>
  </si>
  <si>
    <t>کولون</t>
  </si>
  <si>
    <t>Shtutgart</t>
  </si>
  <si>
    <t>شتوتغارت</t>
  </si>
  <si>
    <t>Շտուտգարտ</t>
  </si>
  <si>
    <t>Ştutqart</t>
  </si>
  <si>
    <t>Щутгарт</t>
  </si>
  <si>
    <t>斯图加特</t>
  </si>
  <si>
    <t>斯圖加特</t>
  </si>
  <si>
    <t>შტუტგარტი</t>
  </si>
  <si>
    <t>Στουτγάρδη</t>
  </si>
  <si>
    <t>שטוטגרט</t>
  </si>
  <si>
    <t>Stoccarda</t>
  </si>
  <si>
    <t>슈투트가르트</t>
  </si>
  <si>
    <t>Štutgartas</t>
  </si>
  <si>
    <t>Штутгарт</t>
  </si>
  <si>
    <t>اشتوتگارت</t>
  </si>
  <si>
    <t>Estugarda</t>
  </si>
  <si>
    <t>Стуттгарт</t>
  </si>
  <si>
    <t>สตุ๊ตการ์ท</t>
  </si>
  <si>
    <t>سٹٹگارٹ</t>
  </si>
  <si>
    <t>فرانكفورت</t>
  </si>
  <si>
    <t>Ֆրանկֆուրտ</t>
  </si>
  <si>
    <t>Франкфурт</t>
  </si>
  <si>
    <t>法兰克福</t>
  </si>
  <si>
    <t>法蘭克福</t>
  </si>
  <si>
    <t>Francfort</t>
  </si>
  <si>
    <t>ფრანკფურტი</t>
  </si>
  <si>
    <t>Φρανκφούρτη</t>
  </si>
  <si>
    <t>פרנקפורט</t>
  </si>
  <si>
    <t>Francoforte</t>
  </si>
  <si>
    <t>프랑크푸르트</t>
  </si>
  <si>
    <t>Frankfurtas</t>
  </si>
  <si>
    <t>فرانکفورت</t>
  </si>
  <si>
    <t>แฟรงก์เฟิร์ต</t>
  </si>
  <si>
    <t>Frankfurt'ta</t>
  </si>
  <si>
    <t>فرینکفرٹ</t>
  </si>
  <si>
    <t>Berlini</t>
  </si>
  <si>
    <t>برلين</t>
  </si>
  <si>
    <t>Բեռլին</t>
  </si>
  <si>
    <t>Берлин</t>
  </si>
  <si>
    <t>Berlín</t>
  </si>
  <si>
    <t>柏林</t>
  </si>
  <si>
    <t>Berlijn</t>
  </si>
  <si>
    <t>ბერლინი</t>
  </si>
  <si>
    <t>Βερολίνο</t>
  </si>
  <si>
    <t>ברלין</t>
  </si>
  <si>
    <t>Berlino</t>
  </si>
  <si>
    <t>베를린</t>
  </si>
  <si>
    <t>Berlynas</t>
  </si>
  <si>
    <t>برلین</t>
  </si>
  <si>
    <t>Berlim</t>
  </si>
  <si>
    <t>Berlina</t>
  </si>
  <si>
    <t>เบอร์ลิน</t>
  </si>
  <si>
    <t>Béc-lin</t>
  </si>
  <si>
    <t>Берлін</t>
  </si>
  <si>
    <t>برلن</t>
  </si>
  <si>
    <t>Dortmundi</t>
  </si>
  <si>
    <t>دورتموند</t>
  </si>
  <si>
    <t>Դորտմունդ</t>
  </si>
  <si>
    <t>Дортмунд</t>
  </si>
  <si>
    <t>多特蒙德</t>
  </si>
  <si>
    <t>დორტმუნდი</t>
  </si>
  <si>
    <t>Ντόρτμουντ</t>
  </si>
  <si>
    <t>דורטמונד</t>
  </si>
  <si>
    <t>도르트문트</t>
  </si>
  <si>
    <t>Dortmundas</t>
  </si>
  <si>
    <t>Dortmundzie</t>
  </si>
  <si>
    <t>ดอร์ทมุนด์</t>
  </si>
  <si>
    <t>ڈارٹمنڈ</t>
  </si>
  <si>
    <t>Hamburgu</t>
  </si>
  <si>
    <t>هامبورغ</t>
  </si>
  <si>
    <t>Համբուրգ</t>
  </si>
  <si>
    <t>Hamburq</t>
  </si>
  <si>
    <t>Хамбург</t>
  </si>
  <si>
    <t>汉堡</t>
  </si>
  <si>
    <t>漢堡</t>
  </si>
  <si>
    <t>Hamborg</t>
  </si>
  <si>
    <t>Hambourg</t>
  </si>
  <si>
    <t>ჰამბურგი</t>
  </si>
  <si>
    <t>Αμβούργο</t>
  </si>
  <si>
    <t>המבורג</t>
  </si>
  <si>
    <t>Amburgo</t>
  </si>
  <si>
    <t>함부르크</t>
  </si>
  <si>
    <t>Hamburgas</t>
  </si>
  <si>
    <t>هامبورگ</t>
  </si>
  <si>
    <t>Hamburgo</t>
  </si>
  <si>
    <t>ฮัมบวร์ก</t>
  </si>
  <si>
    <t>Гамбург</t>
  </si>
  <si>
    <t>ہیمبرگ</t>
  </si>
  <si>
    <t>غيلسنكيرشن</t>
  </si>
  <si>
    <t>Գելզենկիրխեն</t>
  </si>
  <si>
    <t>Gelzenkirxen</t>
  </si>
  <si>
    <t>Гелзенкирхен</t>
  </si>
  <si>
    <t>盖尔森基兴</t>
  </si>
  <si>
    <t>蓋爾森基興</t>
  </si>
  <si>
    <t>გელზენკირხენი</t>
  </si>
  <si>
    <t>Γκελζενκίρχεν</t>
  </si>
  <si>
    <t>גלזנקירכן</t>
  </si>
  <si>
    <t>겔젠키르헨</t>
  </si>
  <si>
    <t>Gelzenkirchenas</t>
  </si>
  <si>
    <t>گلزنکرخن</t>
  </si>
  <si>
    <t>เกลเซนเคียร์เชน</t>
  </si>
  <si>
    <t>Гельзенкірхен</t>
  </si>
  <si>
    <t>Dyseldorfi</t>
  </si>
  <si>
    <t>دوسلدورف</t>
  </si>
  <si>
    <t>Դյուսելդորֆ</t>
  </si>
  <si>
    <t>Дюселдорф</t>
  </si>
  <si>
    <t>杜塞尔多夫</t>
  </si>
  <si>
    <t>杜塞爾多夫</t>
  </si>
  <si>
    <t>Dusseldorf</t>
  </si>
  <si>
    <t>დიუსელდორფი</t>
  </si>
  <si>
    <t>Ντίσελντορφ</t>
  </si>
  <si>
    <t>דיסלדורף</t>
  </si>
  <si>
    <t>뒤셀도르프</t>
  </si>
  <si>
    <t>Diuseldorfas</t>
  </si>
  <si>
    <t>Дизелдорф</t>
  </si>
  <si>
    <t>Дусселдорф</t>
  </si>
  <si>
    <t>Düsseldorfe</t>
  </si>
  <si>
    <t>ดุสเซลดอร์ฟ</t>
  </si>
  <si>
    <t>Дюссельдорф</t>
  </si>
  <si>
    <t>ڈسلڈورف</t>
  </si>
  <si>
    <t>لايبزيغ</t>
  </si>
  <si>
    <t>Լայպցիգ</t>
  </si>
  <si>
    <t>Leypsiq</t>
  </si>
  <si>
    <t>Лайпциг</t>
  </si>
  <si>
    <t>莱比锡</t>
  </si>
  <si>
    <t>萊比錫</t>
  </si>
  <si>
    <t>Lipsko</t>
  </si>
  <si>
    <t>ლაიფციგი</t>
  </si>
  <si>
    <t>Λειψία</t>
  </si>
  <si>
    <t>לייפציג</t>
  </si>
  <si>
    <t>Lipcse</t>
  </si>
  <si>
    <t>Lipsia</t>
  </si>
  <si>
    <t>라이프치히</t>
  </si>
  <si>
    <t>Leipcigas</t>
  </si>
  <si>
    <t>Лајпциг</t>
  </si>
  <si>
    <t>لایپزیگ</t>
  </si>
  <si>
    <t>Lipsk</t>
  </si>
  <si>
    <t>Lípsia</t>
  </si>
  <si>
    <t>Леипзиг</t>
  </si>
  <si>
    <t>ไลป์ซิก</t>
  </si>
  <si>
    <t>Лейпциг</t>
  </si>
  <si>
    <t>لیپزگ</t>
  </si>
  <si>
    <t>Kampioen 2024</t>
  </si>
  <si>
    <t>Turchia</t>
  </si>
  <si>
    <t>UEFA</t>
  </si>
  <si>
    <t>UEFA-adj</t>
  </si>
  <si>
    <t>matchen 1e ronde</t>
  </si>
  <si>
    <t>gaan door naar 2e ronde</t>
  </si>
  <si>
    <t>gaan door naar Kwartfinales</t>
  </si>
  <si>
    <t>gaan door naar halve finales</t>
  </si>
  <si>
    <t>gaan door naar finale</t>
  </si>
  <si>
    <t>winnaar</t>
  </si>
  <si>
    <t>Hoe invullen ?</t>
  </si>
  <si>
    <t>Op het volgende werkblad van dit Excel-document vinden jullie het spelschema dat ingevuld moet worden</t>
  </si>
  <si>
    <r>
      <t xml:space="preserve">Hier moet je </t>
    </r>
    <r>
      <rPr>
        <b/>
        <sz val="10"/>
        <rFont val="Verdana"/>
        <family val="2"/>
      </rPr>
      <t>de score voorspellen</t>
    </r>
    <r>
      <rPr>
        <sz val="10"/>
        <rFont val="Verdana"/>
        <family val="2"/>
      </rPr>
      <t xml:space="preserve"> voor alle wedstrijden. Zoals je zal zien, zal de rangschikking dan automatisch aangepast worden naargelang je ingevulde prono's. De teams die op de eerste 2 plaatsen staan, gaan dus volgens jou door naar de volgende ronde. Ook de vier beste derdes gaan door. </t>
    </r>
  </si>
  <si>
    <r>
      <t xml:space="preserve">Het kan zijn dat je bij de laatste wedstrijden van elke poule ook strafschoppen zal moeten invullen, zelfs al heb je een winnaar aangeduid. Dit is het geval wanneer er in het eindklassement van de poule twee ploegen zijn die samen de derde plaats hebben. In dat geval krijgen de velden naast de wedstrijduitslag ook een </t>
    </r>
    <r>
      <rPr>
        <b/>
        <sz val="10"/>
        <rFont val="Verdana"/>
        <family val="2"/>
      </rPr>
      <t>gele achtergrondkleur.</t>
    </r>
  </si>
  <si>
    <t>Let op: hoe beter je de wedstrijden van de groepsfase gokt, hoe meer punten je kan krijgen 
(zie verder bij puntenverdeling)</t>
  </si>
  <si>
    <t>Let op: hoe beter je de wedstrijden van de groepsfase voorspelt hoe meer punten je kan krijgen 
(zie verder bij puntenverdeling)</t>
  </si>
  <si>
    <t>2e fase</t>
  </si>
  <si>
    <t>Een gelijkspel hoeft hier niet ingevuld worden. Vanaf de tweede ronde is er namelijk het "knock-out"-systeem: bij een gelijkspel na 90 minuten, worden er eerst twee verlengingen van 15 minuten gespeeld en indien het dan nog een gelijkspel is, komen er strafschoppen aan te pas. Mocht je dus toch een gelijkspel aangeven, zullen de velden ernaast ook een gele achtergrondkleur krijgen zodat je hier verlengingen en eventueel ook strafschoppen kan toevoegen.</t>
  </si>
  <si>
    <t>Vul de pronostiek verder in volgens dit systeem voor de 8e finales, de kwartfinales, de halve finales en de finale.</t>
  </si>
  <si>
    <t>Puntenverdeling</t>
  </si>
  <si>
    <t>De puntenverdeling voor dit spel is :</t>
  </si>
  <si>
    <t>Voor elke wedstrijd kan je maximaal 5 punten scoren:</t>
  </si>
  <si>
    <t>1 punt</t>
  </si>
  <si>
    <t>Als je het aantal doelpunten van de thuisploeg (linkerploeg) correct hebt</t>
  </si>
  <si>
    <t>Als je het aantal doelpunten van de bezoekers (rechterploeg) correct hebt</t>
  </si>
  <si>
    <t>3 punten</t>
  </si>
  <si>
    <t>Als je de winnaar van de wedstrijd of het gelijkspel correct voorspeld hebt</t>
  </si>
  <si>
    <t>5 punten:</t>
  </si>
  <si>
    <t>voor elke ploeg in de 2e ronde die je correct hebt voorspeld</t>
  </si>
  <si>
    <t>8 punten:</t>
  </si>
  <si>
    <t>Voor elke 1/4e finalist die je correct hebt voorspeld</t>
  </si>
  <si>
    <t>10 punten:</t>
  </si>
  <si>
    <t>Voor elke 1/2e finalist die je correct raadde</t>
  </si>
  <si>
    <t>15 punten:</t>
  </si>
  <si>
    <t>Voor elke finalist die je correct  hebt voorspeld</t>
  </si>
  <si>
    <t>20 punten:</t>
  </si>
  <si>
    <t>Voor als je de wereldkampioen correct hebt voorspeld</t>
  </si>
  <si>
    <t>In totaal zijn er 414 punten te verdienen!</t>
  </si>
  <si>
    <r>
      <t>getiteld "</t>
    </r>
    <r>
      <rPr>
        <b/>
        <sz val="10"/>
        <rFont val="Verdana"/>
        <family val="2"/>
      </rPr>
      <t>Tornooi schema pronostiek"</t>
    </r>
    <r>
      <rPr>
        <sz val="10"/>
        <rFont val="Verdana"/>
        <family val="2"/>
      </rPr>
      <t xml:space="preserve">. In het tornooi schema moeten alle </t>
    </r>
    <r>
      <rPr>
        <b/>
        <u/>
        <sz val="10"/>
        <rFont val="Verdana"/>
        <family val="2"/>
      </rPr>
      <t>velden met gele achtergrondkleur</t>
    </r>
    <r>
      <rPr>
        <sz val="10"/>
        <rFont val="Verdana"/>
        <family val="2"/>
      </rPr>
      <t xml:space="preserve"> ingevuld worden met de scores van die matchen. Het blad is opgedeeld in de volgende secties:</t>
    </r>
  </si>
  <si>
    <r>
      <t xml:space="preserve">Dit is het gedeelte van de achtste finales tot en met de finale. Als je alle scores in de groepsfase volledig hebt ingevuld, zullen bij de 8e finales automatisch de juiste teams verschijnen. Het enige dat je hier moet doen is </t>
    </r>
    <r>
      <rPr>
        <b/>
        <sz val="10"/>
        <rFont val="Verdana"/>
        <family val="2"/>
      </rPr>
      <t>een wedstrijdscore invullen</t>
    </r>
    <r>
      <rPr>
        <sz val="10"/>
        <rFont val="Verdana"/>
        <family val="2"/>
      </rPr>
      <t xml:space="preserve"> naargelang het eerste of het tweede team doorgaat naar de kwartfinales. Het aantal doelpunten doet er in deze fase niet meer toe! </t>
    </r>
  </si>
  <si>
    <t>In het tabblad Settings kan de taal van het invulblad veranderen in de taal naar keuze.</t>
  </si>
  <si>
    <t>Pronostieken</t>
  </si>
  <si>
    <t>Werkelijke Uitslag</t>
  </si>
  <si>
    <t>punten:</t>
  </si>
  <si>
    <t>Poulefase</t>
  </si>
  <si>
    <t>8e</t>
  </si>
  <si>
    <t>kwart</t>
  </si>
  <si>
    <t>halve</t>
  </si>
  <si>
    <t>finale</t>
  </si>
  <si>
    <t>Kampioen</t>
  </si>
  <si>
    <t>kampioen</t>
  </si>
  <si>
    <t>Totaal</t>
  </si>
  <si>
    <t>poules</t>
  </si>
  <si>
    <t>8"</t>
  </si>
  <si>
    <t>afdeling</t>
  </si>
  <si>
    <t>ahalve</t>
  </si>
  <si>
    <t>werkelijke uitslag:</t>
  </si>
  <si>
    <t>Poules:</t>
  </si>
  <si>
    <t>Punten:</t>
  </si>
  <si>
    <t>A3</t>
  </si>
  <si>
    <t>A4</t>
  </si>
  <si>
    <t>A5</t>
  </si>
  <si>
    <t>A6</t>
  </si>
  <si>
    <t>B3</t>
  </si>
  <si>
    <t>B4</t>
  </si>
  <si>
    <t>B5</t>
  </si>
  <si>
    <t>B6</t>
  </si>
  <si>
    <t>C3</t>
  </si>
  <si>
    <t>C4</t>
  </si>
  <si>
    <t>C5</t>
  </si>
  <si>
    <t>C6</t>
  </si>
  <si>
    <t>D3</t>
  </si>
  <si>
    <t>D4</t>
  </si>
  <si>
    <t>D5</t>
  </si>
  <si>
    <t>D6</t>
  </si>
  <si>
    <t>E3</t>
  </si>
  <si>
    <t>E4</t>
  </si>
  <si>
    <t>E5</t>
  </si>
  <si>
    <t>E6</t>
  </si>
  <si>
    <t>F3</t>
  </si>
  <si>
    <t>F4</t>
  </si>
  <si>
    <t>F5</t>
  </si>
  <si>
    <t>F6</t>
  </si>
  <si>
    <t>totaal</t>
  </si>
  <si>
    <t>aantal dpt</t>
  </si>
  <si>
    <t>SPOTFIRE gedeelte hieronder</t>
  </si>
  <si>
    <t>-</t>
  </si>
  <si>
    <t>8e finales</t>
  </si>
  <si>
    <t>kwartfinales</t>
  </si>
  <si>
    <t>halve finale</t>
  </si>
  <si>
    <t>Naam</t>
  </si>
  <si>
    <t>TOTAAL</t>
  </si>
  <si>
    <t>Aantal keer correcte uitslag-correcte score</t>
  </si>
  <si>
    <t>wedstrijden</t>
  </si>
  <si>
    <t>deelnemer 1</t>
  </si>
  <si>
    <t>deelnemer 2</t>
  </si>
  <si>
    <t>deelnemer 17</t>
  </si>
  <si>
    <t>deelnemer 18</t>
  </si>
  <si>
    <t>deelnemer 19</t>
  </si>
  <si>
    <t>deelnemer 20</t>
  </si>
  <si>
    <t>deelnemer 21</t>
  </si>
  <si>
    <t>deelnemer 22</t>
  </si>
  <si>
    <t>deelnemer 23</t>
  </si>
  <si>
    <t>deelnemer 24</t>
  </si>
  <si>
    <t>deelnemer 25</t>
  </si>
  <si>
    <t>deelnemer 26</t>
  </si>
  <si>
    <t>deelnemer 27</t>
  </si>
  <si>
    <t>deelnemer 28</t>
  </si>
  <si>
    <t>deelnemer 29</t>
  </si>
  <si>
    <t>deelnemer 30</t>
  </si>
  <si>
    <t>deelnemer 31</t>
  </si>
  <si>
    <t>deelnemer 32</t>
  </si>
  <si>
    <t>deelnemer 33</t>
  </si>
  <si>
    <t>deelnemer 34</t>
  </si>
  <si>
    <t>deelnemer 35</t>
  </si>
  <si>
    <t>deelnemer 36</t>
  </si>
  <si>
    <t>deelnemer 37</t>
  </si>
  <si>
    <t>deelnemer 38</t>
  </si>
  <si>
    <t>deelnemer 39</t>
  </si>
  <si>
    <t>deelnemer 40</t>
  </si>
  <si>
    <t>deelnemer 41</t>
  </si>
  <si>
    <t>deelnemer 42</t>
  </si>
  <si>
    <t>deelnemer 43</t>
  </si>
  <si>
    <t>deelnemer 44</t>
  </si>
  <si>
    <t>deelnemer 45</t>
  </si>
  <si>
    <t>deelnemer 46</t>
  </si>
  <si>
    <t>deelnemer 47</t>
  </si>
  <si>
    <t>deelnemer 48</t>
  </si>
  <si>
    <t>deelnemer 49</t>
  </si>
  <si>
    <t>deelnemer 50</t>
  </si>
  <si>
    <t>deelnemer 51</t>
  </si>
  <si>
    <t>deelnemer 52</t>
  </si>
  <si>
    <t>deelnemer 53</t>
  </si>
  <si>
    <t>deelnemer 54</t>
  </si>
  <si>
    <t>deelnemer 55</t>
  </si>
  <si>
    <t>deelnemer 56</t>
  </si>
  <si>
    <t>deelnemer 57</t>
  </si>
  <si>
    <t>deelnemer 58</t>
  </si>
  <si>
    <t>deelnemer 59</t>
  </si>
  <si>
    <t>deelnemer 60</t>
  </si>
  <si>
    <t>deelnemer 61</t>
  </si>
  <si>
    <t>deelnemer 62</t>
  </si>
  <si>
    <t>deelnemer 63</t>
  </si>
  <si>
    <t>deelnemer 64</t>
  </si>
  <si>
    <t>deelnemer 65</t>
  </si>
  <si>
    <t>deelnemer 66</t>
  </si>
  <si>
    <t>deelnemer 67</t>
  </si>
  <si>
    <t>deelnemer 68</t>
  </si>
  <si>
    <t>deelnemer 69</t>
  </si>
  <si>
    <t>deelnemer 70</t>
  </si>
  <si>
    <t>deelnemer 71</t>
  </si>
  <si>
    <t>deelnemer 72</t>
  </si>
  <si>
    <t>deelnemer 73</t>
  </si>
  <si>
    <t>deelnemer 74</t>
  </si>
  <si>
    <t>deelnemer 75</t>
  </si>
  <si>
    <t>deelnemer 76</t>
  </si>
  <si>
    <t>deelnemer 77</t>
  </si>
  <si>
    <t>deelnemer 78</t>
  </si>
  <si>
    <t>deelnemer 79</t>
  </si>
  <si>
    <t>deelnemer 80</t>
  </si>
  <si>
    <t>deelnemer 81</t>
  </si>
  <si>
    <t>deelnemer 82</t>
  </si>
  <si>
    <t>deelnemer 83</t>
  </si>
  <si>
    <t>deelnemer 84</t>
  </si>
  <si>
    <t>deelnemer 85</t>
  </si>
  <si>
    <t>deelnemer 86</t>
  </si>
  <si>
    <t>deelnemer 87</t>
  </si>
  <si>
    <t>deelnemer 88</t>
  </si>
  <si>
    <t>deelnemer 89</t>
  </si>
  <si>
    <t>deelnemer 90</t>
  </si>
  <si>
    <t>deelnemer 91</t>
  </si>
  <si>
    <t>deelnemer 92</t>
  </si>
  <si>
    <t>deelnemer 93</t>
  </si>
  <si>
    <t>deelnemer 94</t>
  </si>
  <si>
    <t>deelnemer 95</t>
  </si>
  <si>
    <t>deelnemer 96</t>
  </si>
  <si>
    <t>deelnemer 97</t>
  </si>
  <si>
    <t>deelnemer 98</t>
  </si>
  <si>
    <t>deelnemer 99</t>
  </si>
  <si>
    <t>deelnemer 100</t>
  </si>
  <si>
    <t>deelnemer 101</t>
  </si>
  <si>
    <t>deelnemer 102</t>
  </si>
  <si>
    <t>deelnemer 103</t>
  </si>
  <si>
    <t>deelnemer 104</t>
  </si>
  <si>
    <t>deelnemer 105</t>
  </si>
  <si>
    <t>deelnemer 106</t>
  </si>
  <si>
    <t>deelnemer 107</t>
  </si>
  <si>
    <t>deelnemer 108</t>
  </si>
  <si>
    <t>deelnemer 109</t>
  </si>
  <si>
    <t>max</t>
  </si>
  <si>
    <t>Jun 14, 2024</t>
  </si>
  <si>
    <t>Jun 15, 2024</t>
  </si>
  <si>
    <t>Jun 16, 2024</t>
  </si>
  <si>
    <t>Jun 17, 2024</t>
  </si>
  <si>
    <t>Jun 18, 2024</t>
  </si>
  <si>
    <t>Jun 19, 2024</t>
  </si>
  <si>
    <t>Jun 20, 2024</t>
  </si>
  <si>
    <t>Jun 21, 2024</t>
  </si>
  <si>
    <t>Jun 22, 2024</t>
  </si>
  <si>
    <t>Jun 23, 2024</t>
  </si>
  <si>
    <t>Jun 24, 2024</t>
  </si>
  <si>
    <t>Jun 25, 2024</t>
  </si>
  <si>
    <t>Jun 26, 2024</t>
  </si>
  <si>
    <t>14-6</t>
  </si>
  <si>
    <t>36-36</t>
  </si>
  <si>
    <t>0-1</t>
  </si>
  <si>
    <t>2-0</t>
  </si>
  <si>
    <t>2-1</t>
  </si>
  <si>
    <t>1-0</t>
  </si>
  <si>
    <t>0-2</t>
  </si>
  <si>
    <t>1-2</t>
  </si>
  <si>
    <t>3-0</t>
  </si>
  <si>
    <t>1-1</t>
  </si>
  <si>
    <t>3-1</t>
  </si>
  <si>
    <t>0-3</t>
  </si>
  <si>
    <t>0-0</t>
  </si>
  <si>
    <t>4-1</t>
  </si>
  <si>
    <t>1-3</t>
  </si>
  <si>
    <t>2-2</t>
  </si>
  <si>
    <t>0-4</t>
  </si>
  <si>
    <t>2-3</t>
  </si>
  <si>
    <t>4-0</t>
  </si>
  <si>
    <t>4-2</t>
  </si>
  <si>
    <t>3-2</t>
  </si>
  <si>
    <t>1-4</t>
  </si>
  <si>
    <t>Dean</t>
  </si>
  <si>
    <t>Matthias</t>
  </si>
  <si>
    <t>Billy</t>
  </si>
  <si>
    <t>Timon</t>
  </si>
  <si>
    <t>Bavo</t>
  </si>
  <si>
    <t>Lowie</t>
  </si>
  <si>
    <t>Stijn</t>
  </si>
  <si>
    <t>Tom</t>
  </si>
  <si>
    <t>Cas</t>
  </si>
  <si>
    <t>Jannes</t>
  </si>
  <si>
    <t>Jens</t>
  </si>
  <si>
    <t>Louis</t>
  </si>
  <si>
    <t>Ruben</t>
  </si>
  <si>
    <t>Karl</t>
  </si>
  <si>
    <t>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</si>
</sst>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h:mm;@"/>
    <numFmt numFmtId="166" formatCode="m/d/yy\ h:mm;@"/>
    <numFmt numFmtId="167" formatCode="0.000"/>
    <numFmt numFmtId="168" formatCode="_ * #,##0.00_ ;_ * \-#,##0.00_ ;_ * &quot;-&quot;??_ ;_ @_ "/>
  </numFmts>
  <fonts count="36">
    <font>
      <sz val="10"/>
      <name val="Calibri"/>
      <charset val="204"/>
    </font>
    <font>
      <sz val="11"/>
      <color theme="1"/>
      <name val="Calibri"/>
      <family val="2"/>
      <scheme val="minor"/>
    </font>
    <font>
      <sz val="11"/>
      <color theme="1"/>
      <name val="Calibri"/>
      <family val="2"/>
      <scheme val="minor"/>
    </font>
    <font>
      <sz val="10"/>
      <name val="Calibri"/>
      <family val="2"/>
      <charset val="204"/>
    </font>
    <font>
      <sz val="10"/>
      <name val="Noto Sans CJK SC"/>
      <family val="2"/>
    </font>
    <font>
      <b/>
      <sz val="12"/>
      <name val="Calibri"/>
      <family val="2"/>
      <charset val="204"/>
    </font>
    <font>
      <sz val="8"/>
      <name val="Calibri"/>
      <family val="2"/>
      <charset val="204"/>
    </font>
    <font>
      <b/>
      <sz val="28"/>
      <name val="Calibri"/>
      <family val="2"/>
      <charset val="204"/>
    </font>
    <font>
      <sz val="10"/>
      <color rgb="FF0000FF"/>
      <name val="Calibri"/>
      <family val="2"/>
      <charset val="204"/>
    </font>
    <font>
      <sz val="36"/>
      <name val="Calibri"/>
      <family val="2"/>
      <charset val="204"/>
    </font>
    <font>
      <u/>
      <sz val="10"/>
      <color rgb="FF0000FF"/>
      <name val="Calibri"/>
      <family val="2"/>
      <charset val="204"/>
    </font>
    <font>
      <u/>
      <sz val="8"/>
      <color rgb="FF0000FF"/>
      <name val="Calibri"/>
      <family val="2"/>
      <charset val="204"/>
    </font>
    <font>
      <sz val="16"/>
      <name val="Calibri"/>
      <family val="2"/>
      <charset val="204"/>
    </font>
    <font>
      <b/>
      <sz val="10"/>
      <name val="Calibri"/>
      <family val="2"/>
      <charset val="204"/>
    </font>
    <font>
      <sz val="10"/>
      <name val="Calibri"/>
      <family val="2"/>
    </font>
    <font>
      <b/>
      <sz val="16"/>
      <name val="Calibri"/>
      <family val="2"/>
      <charset val="204"/>
    </font>
    <font>
      <b/>
      <sz val="16"/>
      <color rgb="FF0000FF"/>
      <name val="Calibri"/>
      <family val="2"/>
      <charset val="204"/>
    </font>
    <font>
      <sz val="10"/>
      <color theme="0"/>
      <name val="Calibri"/>
      <family val="2"/>
      <charset val="204"/>
    </font>
    <font>
      <b/>
      <sz val="10"/>
      <color rgb="FFFF0000"/>
      <name val="Calibri"/>
      <family val="2"/>
    </font>
    <font>
      <sz val="11"/>
      <name val="Calibri"/>
      <family val="2"/>
      <scheme val="minor"/>
    </font>
    <font>
      <b/>
      <sz val="11"/>
      <name val="Verdana"/>
      <family val="2"/>
    </font>
    <font>
      <b/>
      <sz val="11"/>
      <name val="Arial"/>
      <family val="2"/>
    </font>
    <font>
      <sz val="10"/>
      <name val="Verdana"/>
      <family val="2"/>
    </font>
    <font>
      <b/>
      <sz val="10"/>
      <name val="Verdana"/>
      <family val="2"/>
    </font>
    <font>
      <b/>
      <u/>
      <sz val="10"/>
      <name val="Verdana"/>
      <family val="2"/>
    </font>
    <font>
      <i/>
      <sz val="10"/>
      <name val="Verdana"/>
      <family val="2"/>
    </font>
    <font>
      <sz val="11"/>
      <color theme="0"/>
      <name val="Calibri"/>
      <family val="2"/>
      <scheme val="minor"/>
    </font>
    <font>
      <b/>
      <sz val="11"/>
      <color indexed="8"/>
      <name val="Calibri"/>
      <family val="2"/>
    </font>
    <font>
      <b/>
      <i/>
      <sz val="11"/>
      <color indexed="8"/>
      <name val="Calibri"/>
      <family val="2"/>
    </font>
    <font>
      <sz val="10"/>
      <color theme="0"/>
      <name val="Calibri"/>
      <family val="2"/>
    </font>
    <font>
      <sz val="11"/>
      <color theme="0"/>
      <name val="Calibri"/>
      <family val="2"/>
    </font>
    <font>
      <sz val="8"/>
      <color theme="1"/>
      <name val="Calibri"/>
      <family val="2"/>
      <scheme val="minor"/>
    </font>
    <font>
      <b/>
      <sz val="8"/>
      <color theme="1"/>
      <name val="Calibri"/>
      <family val="2"/>
      <scheme val="minor"/>
    </font>
    <font>
      <sz val="8"/>
      <name val="Calibri"/>
      <family val="2"/>
    </font>
    <font>
      <b/>
      <sz val="9"/>
      <color rgb="FF000000"/>
      <name val="Tahoma"/>
      <family val="2"/>
    </font>
    <font>
      <sz val="9"/>
      <color rgb="FF000000"/>
      <name val="Tahoma"/>
      <family val="2"/>
    </font>
  </fonts>
  <fills count="24">
    <fill>
      <patternFill patternType="none"/>
    </fill>
    <fill>
      <patternFill patternType="gray125"/>
    </fill>
    <fill>
      <patternFill patternType="solid">
        <fgColor rgb="FF99CCFF"/>
        <bgColor rgb="FFC6D9F1"/>
      </patternFill>
    </fill>
    <fill>
      <patternFill patternType="solid">
        <fgColor rgb="FFFFFF99"/>
        <bgColor rgb="FFFFFFCC"/>
      </patternFill>
    </fill>
    <fill>
      <patternFill patternType="solid">
        <fgColor rgb="FFCCFFFF"/>
        <bgColor rgb="FFCCFFFF"/>
      </patternFill>
    </fill>
    <fill>
      <patternFill patternType="solid">
        <fgColor rgb="FF92D050"/>
        <bgColor rgb="FF969696"/>
      </patternFill>
    </fill>
    <fill>
      <patternFill patternType="solid">
        <fgColor rgb="FFC6D9F1"/>
        <bgColor rgb="FFD9D9D9"/>
      </patternFill>
    </fill>
    <fill>
      <patternFill patternType="solid">
        <fgColor rgb="FFFFFFFF"/>
        <bgColor rgb="FFFFFFCC"/>
      </patternFill>
    </fill>
    <fill>
      <patternFill patternType="solid">
        <fgColor rgb="FFFFFFCC"/>
        <bgColor rgb="FFFFFFFF"/>
      </patternFill>
    </fill>
    <fill>
      <patternFill patternType="solid">
        <fgColor theme="9" tint="0.39997558519241921"/>
        <bgColor indexed="64"/>
      </patternFill>
    </fill>
    <fill>
      <patternFill patternType="solid">
        <fgColor rgb="FF79E4EF"/>
        <bgColor indexed="64"/>
      </patternFill>
    </fill>
    <fill>
      <patternFill patternType="solid">
        <fgColor indexed="8"/>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61"/>
        <bgColor indexed="64"/>
      </patternFill>
    </fill>
    <fill>
      <patternFill patternType="solid">
        <fgColor indexed="49"/>
        <bgColor indexed="64"/>
      </patternFill>
    </fill>
    <fill>
      <patternFill patternType="solid">
        <fgColor indexed="50"/>
        <bgColor indexed="64"/>
      </patternFill>
    </fill>
    <fill>
      <patternFill patternType="solid">
        <fgColor indexed="47"/>
        <bgColor indexed="64"/>
      </patternFill>
    </fill>
    <fill>
      <patternFill patternType="solid">
        <fgColor rgb="FF002060"/>
        <bgColor indexed="64"/>
      </patternFill>
    </fill>
    <fill>
      <patternFill patternType="solid">
        <fgColor rgb="FFFF9900"/>
        <bgColor indexed="64"/>
      </patternFill>
    </fill>
    <fill>
      <patternFill patternType="solid">
        <fgColor rgb="FF0099CC"/>
        <bgColor indexed="64"/>
      </patternFill>
    </fill>
    <fill>
      <patternFill patternType="solid">
        <fgColor rgb="FFFF0000"/>
        <bgColor indexed="64"/>
      </patternFill>
    </fill>
    <fill>
      <patternFill patternType="solid">
        <fgColor rgb="FFFFFF00"/>
        <bgColor indexed="64"/>
      </patternFill>
    </fill>
  </fills>
  <borders count="90">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rgb="FF558ED5"/>
      </left>
      <right style="thin">
        <color rgb="FF558ED5"/>
      </right>
      <top style="thin">
        <color rgb="FF558ED5"/>
      </top>
      <bottom style="thin">
        <color rgb="FF558ED5"/>
      </bottom>
      <diagonal/>
    </border>
    <border>
      <left style="thin">
        <color rgb="FF4F81BD"/>
      </left>
      <right style="thin">
        <color rgb="FF4F81BD"/>
      </right>
      <top style="thin">
        <color rgb="FF4F81BD"/>
      </top>
      <bottom style="thin">
        <color rgb="FF4F81BD"/>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rgb="FF0000FF"/>
      </left>
      <right style="hair">
        <color rgb="FF0000FF"/>
      </right>
      <top style="thin">
        <color rgb="FF0000FF"/>
      </top>
      <bottom style="hair">
        <color rgb="FF0000FF"/>
      </bottom>
      <diagonal/>
    </border>
    <border>
      <left style="hair">
        <color rgb="FF0000FF"/>
      </left>
      <right style="hair">
        <color rgb="FF0000FF"/>
      </right>
      <top style="thin">
        <color rgb="FF0000FF"/>
      </top>
      <bottom style="hair">
        <color rgb="FF0000FF"/>
      </bottom>
      <diagonal/>
    </border>
    <border>
      <left style="hair">
        <color rgb="FF0000FF"/>
      </left>
      <right style="thin">
        <color rgb="FF0000FF"/>
      </right>
      <top style="thin">
        <color rgb="FF0000FF"/>
      </top>
      <bottom style="hair">
        <color rgb="FF0000FF"/>
      </bottom>
      <diagonal/>
    </border>
    <border>
      <left/>
      <right/>
      <top/>
      <bottom style="thin">
        <color rgb="FF3366FF"/>
      </bottom>
      <diagonal/>
    </border>
    <border>
      <left style="thin">
        <color rgb="FF3366FF"/>
      </left>
      <right/>
      <top style="thin">
        <color rgb="FF558ED5"/>
      </top>
      <bottom style="hair">
        <color rgb="FF3366FF"/>
      </bottom>
      <diagonal/>
    </border>
    <border>
      <left/>
      <right/>
      <top style="thin">
        <color rgb="FF558ED5"/>
      </top>
      <bottom style="hair">
        <color rgb="FF3366FF"/>
      </bottom>
      <diagonal/>
    </border>
    <border>
      <left/>
      <right style="hair">
        <color rgb="FF3366FF"/>
      </right>
      <top style="thin">
        <color rgb="FF558ED5"/>
      </top>
      <bottom style="hair">
        <color rgb="FF3366FF"/>
      </bottom>
      <diagonal/>
    </border>
    <border>
      <left style="hair">
        <color rgb="FF3366FF"/>
      </left>
      <right style="thin">
        <color rgb="FF3366FF"/>
      </right>
      <top style="thin">
        <color rgb="FF558ED5"/>
      </top>
      <bottom style="hair">
        <color rgb="FF3366FF"/>
      </bottom>
      <diagonal/>
    </border>
    <border>
      <left style="thin">
        <color rgb="FF3366FF"/>
      </left>
      <right style="hair">
        <color rgb="FF3366FF"/>
      </right>
      <top style="hair">
        <color rgb="FF3366FF"/>
      </top>
      <bottom style="hair">
        <color rgb="FF3366FF"/>
      </bottom>
      <diagonal/>
    </border>
    <border>
      <left style="hair">
        <color rgb="FF3366FF"/>
      </left>
      <right style="thin">
        <color rgb="FF3366FF"/>
      </right>
      <top style="hair">
        <color rgb="FF3366FF"/>
      </top>
      <bottom style="hair">
        <color rgb="FF3366FF"/>
      </bottom>
      <diagonal/>
    </border>
    <border>
      <left/>
      <right style="hair">
        <color rgb="FF3366FF"/>
      </right>
      <top/>
      <bottom style="hair">
        <color rgb="FF3366FF"/>
      </bottom>
      <diagonal/>
    </border>
    <border>
      <left style="hair">
        <color rgb="FF3366FF"/>
      </left>
      <right style="thin">
        <color rgb="FF3366FF"/>
      </right>
      <top/>
      <bottom style="hair">
        <color rgb="FF3366FF"/>
      </bottom>
      <diagonal/>
    </border>
    <border>
      <left style="thin">
        <color rgb="FF0000FF"/>
      </left>
      <right style="hair">
        <color rgb="FF0000FF"/>
      </right>
      <top style="hair">
        <color rgb="FF0000FF"/>
      </top>
      <bottom style="hair">
        <color rgb="FF0000FF"/>
      </bottom>
      <diagonal/>
    </border>
    <border>
      <left style="hair">
        <color rgb="FF0000FF"/>
      </left>
      <right style="hair">
        <color rgb="FF0000FF"/>
      </right>
      <top style="hair">
        <color rgb="FF0000FF"/>
      </top>
      <bottom style="hair">
        <color rgb="FF0000FF"/>
      </bottom>
      <diagonal/>
    </border>
    <border>
      <left style="hair">
        <color rgb="FF0000FF"/>
      </left>
      <right style="thin">
        <color rgb="FF0000FF"/>
      </right>
      <top style="hair">
        <color rgb="FF0000FF"/>
      </top>
      <bottom style="hair">
        <color rgb="FF0000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hair">
        <color rgb="FF3366FF"/>
      </bottom>
      <diagonal/>
    </border>
    <border>
      <left style="thin">
        <color rgb="FF3366FF"/>
      </left>
      <right style="hair">
        <color rgb="FF3366FF"/>
      </right>
      <top style="thin">
        <color rgb="FF3366FF"/>
      </top>
      <bottom style="hair">
        <color rgb="FF3366FF"/>
      </bottom>
      <diagonal/>
    </border>
    <border>
      <left/>
      <right/>
      <top style="thin">
        <color rgb="FF3366FF"/>
      </top>
      <bottom style="hair">
        <color rgb="FF3366FF"/>
      </bottom>
      <diagonal/>
    </border>
    <border>
      <left style="hair">
        <color rgb="FF3366FF"/>
      </left>
      <right style="thin">
        <color rgb="FF3366FF"/>
      </right>
      <top style="thin">
        <color rgb="FF3366FF"/>
      </top>
      <bottom style="hair">
        <color rgb="FF3366FF"/>
      </bottom>
      <diagonal/>
    </border>
    <border>
      <left style="thin">
        <color rgb="FF3366FF"/>
      </left>
      <right/>
      <top style="hair">
        <color rgb="FF3366FF"/>
      </top>
      <bottom style="hair">
        <color rgb="FF3366FF"/>
      </bottom>
      <diagonal/>
    </border>
    <border>
      <left/>
      <right/>
      <top style="hair">
        <color rgb="FF3366FF"/>
      </top>
      <bottom style="hair">
        <color rgb="FF3366FF"/>
      </bottom>
      <diagonal/>
    </border>
    <border>
      <left/>
      <right style="hair">
        <color rgb="FF3366FF"/>
      </right>
      <top style="hair">
        <color rgb="FF3366FF"/>
      </top>
      <bottom style="hair">
        <color rgb="FF3366FF"/>
      </bottom>
      <diagonal/>
    </border>
    <border>
      <left style="thin">
        <color rgb="FF3366FF"/>
      </left>
      <right/>
      <top style="hair">
        <color rgb="FF3366FF"/>
      </top>
      <bottom style="thin">
        <color rgb="FF3366FF"/>
      </bottom>
      <diagonal/>
    </border>
    <border>
      <left style="thin">
        <color rgb="FF3366FF"/>
      </left>
      <right style="hair">
        <color rgb="FF3366FF"/>
      </right>
      <top style="hair">
        <color rgb="FF3366FF"/>
      </top>
      <bottom style="thin">
        <color rgb="FF3366FF"/>
      </bottom>
      <diagonal/>
    </border>
    <border>
      <left/>
      <right/>
      <top style="hair">
        <color rgb="FF3366FF"/>
      </top>
      <bottom style="thin">
        <color rgb="FF3366FF"/>
      </bottom>
      <diagonal/>
    </border>
    <border>
      <left style="hair">
        <color rgb="FF3366FF"/>
      </left>
      <right style="thin">
        <color rgb="FF3366FF"/>
      </right>
      <top style="hair">
        <color rgb="FF3366FF"/>
      </top>
      <bottom style="thin">
        <color rgb="FF3366FF"/>
      </bottom>
      <diagonal/>
    </border>
    <border>
      <left/>
      <right style="thin">
        <color rgb="FF558ED5"/>
      </right>
      <top style="thin">
        <color rgb="FF558ED5"/>
      </top>
      <bottom/>
      <diagonal/>
    </border>
    <border>
      <left style="thin">
        <color rgb="FF0000FF"/>
      </left>
      <right style="hair">
        <color rgb="FF0000FF"/>
      </right>
      <top style="hair">
        <color rgb="FF0000FF"/>
      </top>
      <bottom style="thin">
        <color rgb="FF0000FF"/>
      </bottom>
      <diagonal/>
    </border>
    <border>
      <left style="hair">
        <color rgb="FF0000FF"/>
      </left>
      <right style="hair">
        <color rgb="FF0000FF"/>
      </right>
      <top style="hair">
        <color rgb="FF0000FF"/>
      </top>
      <bottom style="thin">
        <color rgb="FF0000FF"/>
      </bottom>
      <diagonal/>
    </border>
    <border>
      <left style="hair">
        <color rgb="FF0000FF"/>
      </left>
      <right style="thin">
        <color rgb="FF0000FF"/>
      </right>
      <top style="hair">
        <color rgb="FF0000FF"/>
      </top>
      <bottom style="thin">
        <color rgb="FF0000FF"/>
      </bottom>
      <diagonal/>
    </border>
    <border>
      <left/>
      <right style="thin">
        <color rgb="FF558ED5"/>
      </right>
      <top/>
      <bottom/>
      <diagonal/>
    </border>
    <border>
      <left style="thin">
        <color rgb="FF558ED5"/>
      </left>
      <right/>
      <top style="thin">
        <color rgb="FF558ED5"/>
      </top>
      <bottom/>
      <diagonal/>
    </border>
    <border>
      <left/>
      <right style="thin">
        <color rgb="FF558ED5"/>
      </right>
      <top/>
      <bottom style="thin">
        <color rgb="FF558ED5"/>
      </bottom>
      <diagonal/>
    </border>
    <border>
      <left style="thin">
        <color rgb="FF558ED5"/>
      </left>
      <right/>
      <top/>
      <bottom/>
      <diagonal/>
    </border>
    <border>
      <left/>
      <right/>
      <top style="medium">
        <color rgb="FF0000FF"/>
      </top>
      <bottom/>
      <diagonal/>
    </border>
    <border>
      <left/>
      <right style="hair">
        <color rgb="FF3366FF"/>
      </right>
      <top style="hair">
        <color rgb="FF3366FF"/>
      </top>
      <bottom style="thin">
        <color rgb="FF3366F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dotted">
        <color indexed="22"/>
      </top>
      <bottom style="dotted">
        <color indexed="22"/>
      </bottom>
      <diagonal/>
    </border>
    <border>
      <left/>
      <right/>
      <top style="dotted">
        <color indexed="31"/>
      </top>
      <bottom style="dotted">
        <color indexed="31"/>
      </bottom>
      <diagonal/>
    </border>
  </borders>
  <cellStyleXfs count="7">
    <xf numFmtId="0" fontId="0" fillId="0" borderId="0"/>
    <xf numFmtId="0" fontId="10" fillId="0" borderId="0" applyBorder="0" applyProtection="0"/>
    <xf numFmtId="0" fontId="3" fillId="0" borderId="0"/>
    <xf numFmtId="0" fontId="2" fillId="0" borderId="0"/>
    <xf numFmtId="0" fontId="14" fillId="0" borderId="0"/>
    <xf numFmtId="0" fontId="1" fillId="0" borderId="0"/>
    <xf numFmtId="168" fontId="1" fillId="0" borderId="0" applyFont="0" applyFill="0" applyBorder="0" applyAlignment="0" applyProtection="0"/>
  </cellStyleXfs>
  <cellXfs count="198">
    <xf numFmtId="0" fontId="0" fillId="0" borderId="0" xfId="0"/>
    <xf numFmtId="0" fontId="3" fillId="0" borderId="0" xfId="0" applyFont="1"/>
    <xf numFmtId="0" fontId="4" fillId="0" borderId="0" xfId="0" applyFont="1"/>
    <xf numFmtId="0" fontId="3" fillId="0" borderId="0" xfId="0" applyFont="1" applyProtection="1">
      <protection hidden="1"/>
    </xf>
    <xf numFmtId="0" fontId="3" fillId="0" borderId="0" xfId="0" applyFont="1" applyAlignment="1" applyProtection="1">
      <alignment horizontal="left"/>
      <protection hidden="1"/>
    </xf>
    <xf numFmtId="0" fontId="5" fillId="2" borderId="1" xfId="0" applyFont="1" applyFill="1" applyBorder="1" applyAlignment="1" applyProtection="1">
      <alignment horizontal="left" indent="2"/>
      <protection hidden="1"/>
    </xf>
    <xf numFmtId="0" fontId="3" fillId="2" borderId="2" xfId="0" applyFont="1" applyFill="1" applyBorder="1" applyAlignment="1" applyProtection="1">
      <alignment horizontal="left"/>
      <protection hidden="1"/>
    </xf>
    <xf numFmtId="0" fontId="3" fillId="2" borderId="3" xfId="0" applyFont="1" applyFill="1" applyBorder="1" applyProtection="1">
      <protection hidden="1"/>
    </xf>
    <xf numFmtId="0" fontId="3" fillId="2" borderId="4" xfId="0" applyFont="1" applyFill="1" applyBorder="1" applyProtection="1">
      <protection hidden="1"/>
    </xf>
    <xf numFmtId="0" fontId="3" fillId="2" borderId="0" xfId="0" applyFont="1" applyFill="1" applyAlignment="1" applyProtection="1">
      <alignment horizontal="left"/>
      <protection hidden="1"/>
    </xf>
    <xf numFmtId="0" fontId="3" fillId="2" borderId="5" xfId="0" applyFont="1" applyFill="1" applyBorder="1" applyProtection="1">
      <protection hidden="1"/>
    </xf>
    <xf numFmtId="0" fontId="3" fillId="2" borderId="4" xfId="0" applyFont="1" applyFill="1" applyBorder="1" applyAlignment="1" applyProtection="1">
      <alignment horizontal="right" vertical="center"/>
      <protection hidden="1"/>
    </xf>
    <xf numFmtId="0" fontId="3" fillId="3" borderId="6" xfId="0" applyFont="1" applyFill="1" applyBorder="1" applyAlignment="1" applyProtection="1">
      <alignment horizontal="left" indent="2"/>
      <protection locked="0"/>
    </xf>
    <xf numFmtId="0" fontId="3" fillId="2" borderId="0" xfId="0" applyFont="1" applyFill="1" applyProtection="1">
      <protection hidden="1"/>
    </xf>
    <xf numFmtId="0" fontId="3" fillId="2" borderId="4" xfId="0" applyFont="1" applyFill="1" applyBorder="1" applyAlignment="1" applyProtection="1">
      <alignment horizontal="right"/>
      <protection hidden="1"/>
    </xf>
    <xf numFmtId="0" fontId="3" fillId="4" borderId="7" xfId="0" applyFont="1" applyFill="1" applyBorder="1" applyProtection="1">
      <protection hidden="1"/>
    </xf>
    <xf numFmtId="0" fontId="3" fillId="4" borderId="8" xfId="0" applyFont="1" applyFill="1" applyBorder="1" applyProtection="1">
      <protection hidden="1"/>
    </xf>
    <xf numFmtId="0" fontId="3" fillId="3" borderId="6" xfId="0" applyFont="1" applyFill="1" applyBorder="1" applyAlignment="1" applyProtection="1">
      <alignment horizontal="left" vertical="center" indent="2"/>
      <protection locked="0"/>
    </xf>
    <xf numFmtId="0" fontId="3" fillId="4" borderId="9" xfId="0" applyFont="1" applyFill="1" applyBorder="1" applyProtection="1">
      <protection hidden="1"/>
    </xf>
    <xf numFmtId="0" fontId="3" fillId="2" borderId="10" xfId="0" applyFont="1" applyFill="1" applyBorder="1" applyProtection="1">
      <protection hidden="1"/>
    </xf>
    <xf numFmtId="0" fontId="3" fillId="2" borderId="11" xfId="0" applyFont="1" applyFill="1" applyBorder="1" applyProtection="1">
      <protection hidden="1"/>
    </xf>
    <xf numFmtId="0" fontId="3" fillId="2" borderId="12" xfId="0" applyFont="1" applyFill="1" applyBorder="1" applyAlignment="1" applyProtection="1">
      <alignment horizontal="left"/>
      <protection hidden="1"/>
    </xf>
    <xf numFmtId="0" fontId="3" fillId="2" borderId="13" xfId="0" applyFont="1" applyFill="1" applyBorder="1" applyProtection="1">
      <protection hidden="1"/>
    </xf>
    <xf numFmtId="0" fontId="6" fillId="0" borderId="0" xfId="0" applyFont="1" applyAlignment="1" applyProtection="1">
      <alignment horizontal="left" vertical="center"/>
      <protection hidden="1"/>
    </xf>
    <xf numFmtId="0" fontId="6" fillId="2" borderId="14" xfId="0" applyFont="1" applyFill="1" applyBorder="1" applyAlignment="1" applyProtection="1">
      <alignment horizontal="left" vertical="center"/>
      <protection hidden="1"/>
    </xf>
    <xf numFmtId="0" fontId="6" fillId="2" borderId="10" xfId="0" applyFont="1" applyFill="1" applyBorder="1" applyAlignment="1" applyProtection="1">
      <alignment horizontal="left" vertical="center"/>
      <protection hidden="1"/>
    </xf>
    <xf numFmtId="0" fontId="3" fillId="2" borderId="15" xfId="0" applyFont="1" applyFill="1" applyBorder="1" applyProtection="1">
      <protection hidden="1"/>
    </xf>
    <xf numFmtId="164" fontId="6" fillId="0" borderId="0" xfId="0" applyNumberFormat="1" applyFont="1" applyAlignment="1" applyProtection="1">
      <alignment horizontal="left" vertical="center"/>
      <protection hidden="1"/>
    </xf>
    <xf numFmtId="164" fontId="3" fillId="0" borderId="0" xfId="0" applyNumberFormat="1" applyFont="1" applyProtection="1">
      <protection hidden="1"/>
    </xf>
    <xf numFmtId="0" fontId="5" fillId="2" borderId="16" xfId="0" applyFont="1" applyFill="1" applyBorder="1" applyAlignment="1" applyProtection="1">
      <alignment horizontal="center"/>
      <protection hidden="1"/>
    </xf>
    <xf numFmtId="164" fontId="3" fillId="0" borderId="0" xfId="0" applyNumberFormat="1" applyFont="1" applyAlignment="1" applyProtection="1">
      <alignment horizontal="left"/>
      <protection hidden="1"/>
    </xf>
    <xf numFmtId="0" fontId="3" fillId="2" borderId="4" xfId="0" applyFont="1" applyFill="1" applyBorder="1" applyAlignment="1" applyProtection="1">
      <alignment horizontal="left" indent="2"/>
      <protection hidden="1"/>
    </xf>
    <xf numFmtId="0" fontId="3" fillId="4" borderId="8" xfId="0" applyFont="1" applyFill="1" applyBorder="1" applyAlignment="1" applyProtection="1">
      <alignment horizontal="center"/>
      <protection hidden="1"/>
    </xf>
    <xf numFmtId="0" fontId="3" fillId="4" borderId="9" xfId="0" applyFont="1" applyFill="1" applyBorder="1" applyAlignment="1" applyProtection="1">
      <alignment horizontal="center"/>
      <protection hidden="1"/>
    </xf>
    <xf numFmtId="0" fontId="0" fillId="0" borderId="0" xfId="0" applyAlignment="1">
      <alignment horizontal="center"/>
    </xf>
    <xf numFmtId="0" fontId="3" fillId="0" borderId="0" xfId="0" applyFont="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0" xfId="0" applyAlignment="1" applyProtection="1">
      <alignment horizontal="right" vertical="center"/>
      <protection hidden="1"/>
    </xf>
    <xf numFmtId="0" fontId="8" fillId="0" borderId="0" xfId="0" applyFont="1" applyAlignment="1" applyProtection="1">
      <alignment horizontal="center"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protection hidden="1"/>
    </xf>
    <xf numFmtId="0" fontId="0" fillId="0" borderId="0" xfId="0" applyAlignment="1" applyProtection="1">
      <alignment vertical="center" shrinkToFit="1"/>
      <protection hidden="1"/>
    </xf>
    <xf numFmtId="0" fontId="0" fillId="0" borderId="0" xfId="0" applyAlignment="1" applyProtection="1">
      <alignment horizontal="center" vertical="center" shrinkToFit="1"/>
      <protection hidden="1"/>
    </xf>
    <xf numFmtId="0" fontId="0" fillId="0" borderId="0" xfId="0" applyProtection="1">
      <protection hidden="1"/>
    </xf>
    <xf numFmtId="0" fontId="0" fillId="7" borderId="0" xfId="0" applyFill="1" applyAlignment="1" applyProtection="1">
      <alignment horizontal="right" vertical="center" shrinkToFit="1"/>
      <protection hidden="1"/>
    </xf>
    <xf numFmtId="0" fontId="13" fillId="6" borderId="35" xfId="0" applyFont="1" applyFill="1" applyBorder="1" applyAlignment="1" applyProtection="1">
      <alignment horizontal="center" vertical="center" shrinkToFit="1"/>
      <protection hidden="1"/>
    </xf>
    <xf numFmtId="0" fontId="13" fillId="6" borderId="36" xfId="0" applyFont="1" applyFill="1" applyBorder="1" applyAlignment="1" applyProtection="1">
      <alignment horizontal="center" vertical="center" shrinkToFit="1"/>
      <protection hidden="1"/>
    </xf>
    <xf numFmtId="0" fontId="0" fillId="7" borderId="0" xfId="0" applyFill="1" applyAlignment="1" applyProtection="1">
      <alignment vertical="center"/>
      <protection hidden="1"/>
    </xf>
    <xf numFmtId="0" fontId="0" fillId="0" borderId="37" xfId="0" applyBorder="1" applyAlignment="1" applyProtection="1">
      <alignment vertical="center" shrinkToFit="1"/>
      <protection hidden="1"/>
    </xf>
    <xf numFmtId="0" fontId="0" fillId="0" borderId="38" xfId="0" applyBorder="1" applyAlignment="1" applyProtection="1">
      <alignment horizontal="center" vertical="center" shrinkToFit="1"/>
      <protection hidden="1"/>
    </xf>
    <xf numFmtId="0" fontId="0" fillId="0" borderId="39" xfId="0" applyBorder="1" applyAlignment="1" applyProtection="1">
      <alignment horizontal="center" vertical="center" shrinkToFit="1"/>
      <protection hidden="1"/>
    </xf>
    <xf numFmtId="0" fontId="14" fillId="7" borderId="40" xfId="0" applyFont="1" applyFill="1" applyBorder="1" applyAlignment="1" applyProtection="1">
      <alignment horizontal="right" vertical="center"/>
      <protection hidden="1"/>
    </xf>
    <xf numFmtId="0" fontId="0" fillId="7" borderId="41" xfId="0" applyFill="1" applyBorder="1" applyAlignment="1" applyProtection="1">
      <alignment horizontal="center" vertical="center" shrinkToFit="1"/>
      <protection hidden="1"/>
    </xf>
    <xf numFmtId="0" fontId="3" fillId="7" borderId="42" xfId="0" applyFont="1" applyFill="1" applyBorder="1" applyAlignment="1" applyProtection="1">
      <alignment horizontal="center" vertical="center" shrinkToFit="1"/>
      <protection hidden="1"/>
    </xf>
    <xf numFmtId="0" fontId="0" fillId="7" borderId="42" xfId="0" applyFill="1" applyBorder="1" applyAlignment="1" applyProtection="1">
      <alignment horizontal="center" vertical="center" shrinkToFit="1"/>
      <protection hidden="1"/>
    </xf>
    <xf numFmtId="165" fontId="0" fillId="7" borderId="43" xfId="0" applyNumberFormat="1" applyFill="1" applyBorder="1" applyAlignment="1" applyProtection="1">
      <alignment horizontal="center" vertical="center" shrinkToFit="1"/>
      <protection hidden="1"/>
    </xf>
    <xf numFmtId="0" fontId="0" fillId="7" borderId="44" xfId="0" applyFill="1" applyBorder="1" applyAlignment="1" applyProtection="1">
      <alignment horizontal="right" vertical="center" indent="5" shrinkToFit="1"/>
      <protection hidden="1"/>
    </xf>
    <xf numFmtId="0" fontId="3" fillId="8" borderId="45" xfId="0" applyFont="1" applyFill="1" applyBorder="1" applyAlignment="1" applyProtection="1">
      <alignment horizontal="center" vertical="center"/>
      <protection locked="0"/>
    </xf>
    <xf numFmtId="0" fontId="3" fillId="8" borderId="46" xfId="0" applyFont="1" applyFill="1" applyBorder="1" applyAlignment="1" applyProtection="1">
      <alignment horizontal="center" vertical="center"/>
      <protection locked="0"/>
    </xf>
    <xf numFmtId="0" fontId="0" fillId="7" borderId="47" xfId="0" applyFill="1" applyBorder="1" applyAlignment="1" applyProtection="1">
      <alignment horizontal="left" vertical="center" indent="5" shrinkToFit="1"/>
      <protection hidden="1"/>
    </xf>
    <xf numFmtId="0" fontId="0" fillId="0" borderId="49" xfId="0" applyBorder="1" applyAlignment="1" applyProtection="1">
      <alignment vertical="center" shrinkToFit="1"/>
      <protection hidden="1"/>
    </xf>
    <xf numFmtId="0" fontId="0" fillId="0" borderId="50" xfId="0" applyBorder="1" applyAlignment="1" applyProtection="1">
      <alignment horizontal="center" vertical="center" shrinkToFit="1"/>
      <protection hidden="1"/>
    </xf>
    <xf numFmtId="0" fontId="0" fillId="0" borderId="51" xfId="0" applyBorder="1" applyAlignment="1" applyProtection="1">
      <alignment horizontal="center" vertical="center" shrinkToFit="1"/>
      <protection hidden="1"/>
    </xf>
    <xf numFmtId="0" fontId="0" fillId="7" borderId="53" xfId="0" applyFill="1" applyBorder="1" applyAlignment="1" applyProtection="1">
      <alignment horizontal="left" vertical="center" shrinkToFit="1"/>
      <protection hidden="1"/>
    </xf>
    <xf numFmtId="0" fontId="3" fillId="8" borderId="54" xfId="0" applyFont="1" applyFill="1" applyBorder="1" applyAlignment="1" applyProtection="1">
      <alignment horizontal="center" vertical="center"/>
      <protection locked="0"/>
    </xf>
    <xf numFmtId="0" fontId="3" fillId="8" borderId="55" xfId="0" applyFont="1" applyFill="1" applyBorder="1" applyAlignment="1" applyProtection="1">
      <alignment horizontal="center" vertical="center"/>
      <protection locked="0"/>
    </xf>
    <xf numFmtId="0" fontId="3" fillId="8" borderId="56" xfId="0" applyFont="1" applyFill="1" applyBorder="1" applyAlignment="1" applyProtection="1">
      <alignment horizontal="center" vertical="center"/>
      <protection locked="0"/>
    </xf>
    <xf numFmtId="0" fontId="0" fillId="7" borderId="57" xfId="0" applyFill="1" applyBorder="1" applyAlignment="1" applyProtection="1">
      <alignment horizontal="center" vertical="center" shrinkToFit="1"/>
      <protection hidden="1"/>
    </xf>
    <xf numFmtId="0" fontId="3" fillId="7" borderId="58" xfId="0" applyFont="1" applyFill="1" applyBorder="1" applyAlignment="1" applyProtection="1">
      <alignment horizontal="center" vertical="center" shrinkToFit="1"/>
      <protection hidden="1"/>
    </xf>
    <xf numFmtId="0" fontId="0" fillId="7" borderId="58" xfId="0" applyFill="1" applyBorder="1" applyAlignment="1" applyProtection="1">
      <alignment horizontal="center" vertical="center" shrinkToFit="1"/>
      <protection hidden="1"/>
    </xf>
    <xf numFmtId="165" fontId="0" fillId="7" borderId="59" xfId="0" applyNumberFormat="1" applyFill="1" applyBorder="1" applyAlignment="1" applyProtection="1">
      <alignment horizontal="center" vertical="center" shrinkToFit="1"/>
      <protection hidden="1"/>
    </xf>
    <xf numFmtId="0" fontId="0" fillId="7" borderId="46" xfId="0" applyFill="1" applyBorder="1" applyAlignment="1" applyProtection="1">
      <alignment horizontal="right" vertical="center" indent="5" shrinkToFit="1"/>
      <protection hidden="1"/>
    </xf>
    <xf numFmtId="0" fontId="0" fillId="7" borderId="59" xfId="0" applyFill="1" applyBorder="1" applyAlignment="1" applyProtection="1">
      <alignment horizontal="left" vertical="center" indent="5" shrinkToFit="1"/>
      <protection hidden="1"/>
    </xf>
    <xf numFmtId="0" fontId="0" fillId="7" borderId="60" xfId="0" applyFill="1" applyBorder="1" applyAlignment="1" applyProtection="1">
      <alignment horizontal="left" vertical="center" shrinkToFit="1"/>
      <protection hidden="1"/>
    </xf>
    <xf numFmtId="0" fontId="3" fillId="8" borderId="61" xfId="0" applyFont="1" applyFill="1" applyBorder="1" applyAlignment="1" applyProtection="1">
      <alignment horizontal="center" vertical="center"/>
      <protection locked="0"/>
    </xf>
    <xf numFmtId="0" fontId="3" fillId="8" borderId="62" xfId="0" applyFont="1" applyFill="1" applyBorder="1" applyAlignment="1" applyProtection="1">
      <alignment horizontal="center" vertical="center"/>
      <protection locked="0"/>
    </xf>
    <xf numFmtId="0" fontId="3" fillId="8" borderId="63" xfId="0" applyFont="1" applyFill="1" applyBorder="1" applyAlignment="1" applyProtection="1">
      <alignment horizontal="center" vertical="center"/>
      <protection locked="0"/>
    </xf>
    <xf numFmtId="0" fontId="0" fillId="7" borderId="64" xfId="0" applyFill="1" applyBorder="1" applyAlignment="1" applyProtection="1">
      <alignment vertical="center"/>
      <protection hidden="1"/>
    </xf>
    <xf numFmtId="0" fontId="0" fillId="0" borderId="65" xfId="0" applyBorder="1" applyAlignment="1" applyProtection="1">
      <alignment vertical="center" shrinkToFit="1"/>
      <protection hidden="1"/>
    </xf>
    <xf numFmtId="0" fontId="0" fillId="0" borderId="66" xfId="0" applyBorder="1" applyAlignment="1" applyProtection="1">
      <alignment horizontal="center" vertical="center" shrinkToFit="1"/>
      <protection hidden="1"/>
    </xf>
    <xf numFmtId="0" fontId="0" fillId="0" borderId="67" xfId="0" applyBorder="1" applyAlignment="1" applyProtection="1">
      <alignment horizontal="center" vertical="center" shrinkToFit="1"/>
      <protection hidden="1"/>
    </xf>
    <xf numFmtId="0" fontId="0" fillId="7" borderId="68" xfId="0" applyFill="1" applyBorder="1" applyAlignment="1" applyProtection="1">
      <alignment vertical="center"/>
      <protection hidden="1"/>
    </xf>
    <xf numFmtId="0" fontId="0" fillId="7" borderId="69" xfId="0" applyFill="1" applyBorder="1" applyAlignment="1" applyProtection="1">
      <alignment vertical="center"/>
      <protection hidden="1"/>
    </xf>
    <xf numFmtId="0" fontId="0" fillId="7" borderId="70" xfId="0" applyFill="1" applyBorder="1" applyAlignment="1" applyProtection="1">
      <alignment vertical="center"/>
      <protection hidden="1"/>
    </xf>
    <xf numFmtId="0" fontId="3" fillId="7" borderId="0" xfId="0" applyFont="1" applyFill="1" applyAlignment="1" applyProtection="1">
      <alignment horizontal="right" vertical="center"/>
      <protection hidden="1"/>
    </xf>
    <xf numFmtId="0" fontId="3" fillId="7" borderId="0" xfId="0" applyFont="1" applyFill="1" applyAlignment="1" applyProtection="1">
      <alignment horizontal="right" vertical="center" shrinkToFit="1"/>
      <protection hidden="1"/>
    </xf>
    <xf numFmtId="0" fontId="0" fillId="7" borderId="71" xfId="0" applyFill="1" applyBorder="1" applyAlignment="1" applyProtection="1">
      <alignment vertical="center"/>
      <protection hidden="1"/>
    </xf>
    <xf numFmtId="0" fontId="0" fillId="7" borderId="60" xfId="0" applyFill="1" applyBorder="1" applyAlignment="1" applyProtection="1">
      <alignment horizontal="center" vertical="center" shrinkToFit="1"/>
      <protection hidden="1"/>
    </xf>
    <xf numFmtId="0" fontId="3" fillId="7" borderId="62" xfId="0" applyFont="1" applyFill="1" applyBorder="1" applyAlignment="1" applyProtection="1">
      <alignment horizontal="center" vertical="center" shrinkToFit="1"/>
      <protection hidden="1"/>
    </xf>
    <xf numFmtId="0" fontId="0" fillId="7" borderId="62" xfId="0" applyFill="1" applyBorder="1" applyAlignment="1" applyProtection="1">
      <alignment horizontal="center" vertical="center" shrinkToFit="1"/>
      <protection hidden="1"/>
    </xf>
    <xf numFmtId="165" fontId="0" fillId="7" borderId="73" xfId="0" applyNumberFormat="1" applyFill="1" applyBorder="1" applyAlignment="1" applyProtection="1">
      <alignment horizontal="center" vertical="center" shrinkToFit="1"/>
      <protection hidden="1"/>
    </xf>
    <xf numFmtId="0" fontId="0" fillId="7" borderId="63" xfId="0" applyFill="1" applyBorder="1" applyAlignment="1" applyProtection="1">
      <alignment horizontal="right" vertical="center" indent="5" shrinkToFit="1"/>
      <protection hidden="1"/>
    </xf>
    <xf numFmtId="0" fontId="0" fillId="7" borderId="73" xfId="0" applyFill="1" applyBorder="1" applyAlignment="1" applyProtection="1">
      <alignment horizontal="left" vertical="center" indent="5" shrinkToFit="1"/>
      <protection hidden="1"/>
    </xf>
    <xf numFmtId="166" fontId="0" fillId="0" borderId="37" xfId="0" applyNumberFormat="1" applyBorder="1" applyAlignment="1" applyProtection="1">
      <alignment vertical="center" shrinkToFit="1"/>
      <protection hidden="1"/>
    </xf>
    <xf numFmtId="0" fontId="3" fillId="0" borderId="0" xfId="0" applyFont="1" applyAlignment="1" applyProtection="1">
      <alignment vertical="center"/>
      <protection hidden="1"/>
    </xf>
    <xf numFmtId="0" fontId="3" fillId="7" borderId="0" xfId="0" applyFont="1" applyFill="1" applyAlignment="1" applyProtection="1">
      <alignment vertical="center"/>
      <protection hidden="1"/>
    </xf>
    <xf numFmtId="167" fontId="3" fillId="4" borderId="17" xfId="0" applyNumberFormat="1" applyFont="1" applyFill="1" applyBorder="1" applyAlignment="1" applyProtection="1">
      <alignment horizontal="center"/>
      <protection locked="0"/>
    </xf>
    <xf numFmtId="167" fontId="3" fillId="4" borderId="8" xfId="0" applyNumberFormat="1" applyFont="1" applyFill="1" applyBorder="1" applyAlignment="1" applyProtection="1">
      <alignment horizontal="center"/>
      <protection locked="0"/>
    </xf>
    <xf numFmtId="167" fontId="3" fillId="4" borderId="9" xfId="0" applyNumberFormat="1" applyFont="1" applyFill="1" applyBorder="1" applyAlignment="1" applyProtection="1">
      <alignment horizontal="center"/>
      <protection locked="0"/>
    </xf>
    <xf numFmtId="164" fontId="17" fillId="0" borderId="0" xfId="0" applyNumberFormat="1" applyFont="1" applyAlignment="1" applyProtection="1">
      <alignment horizontal="center" vertical="center"/>
      <protection hidden="1"/>
    </xf>
    <xf numFmtId="164" fontId="17" fillId="0" borderId="0" xfId="0" applyNumberFormat="1" applyFont="1" applyAlignment="1" applyProtection="1">
      <alignment vertical="center"/>
      <protection hidden="1"/>
    </xf>
    <xf numFmtId="164" fontId="17" fillId="0" borderId="0" xfId="0" applyNumberFormat="1" applyFont="1" applyAlignment="1" applyProtection="1">
      <alignment horizontal="left" vertical="center"/>
      <protection hidden="1"/>
    </xf>
    <xf numFmtId="164" fontId="17" fillId="0" borderId="0" xfId="0" applyNumberFormat="1" applyFont="1" applyAlignment="1" applyProtection="1">
      <alignment horizontal="center" vertical="center" textRotation="90"/>
      <protection hidden="1"/>
    </xf>
    <xf numFmtId="164" fontId="17" fillId="0" borderId="0" xfId="0" applyNumberFormat="1" applyFont="1" applyProtection="1">
      <protection hidden="1"/>
    </xf>
    <xf numFmtId="0" fontId="18" fillId="0" borderId="0" xfId="0" applyFont="1"/>
    <xf numFmtId="0" fontId="0" fillId="9" borderId="74" xfId="0" applyFill="1" applyBorder="1"/>
    <xf numFmtId="0" fontId="0" fillId="9" borderId="75" xfId="0" applyFill="1" applyBorder="1"/>
    <xf numFmtId="0" fontId="0" fillId="9" borderId="76" xfId="0" applyFill="1" applyBorder="1"/>
    <xf numFmtId="0" fontId="0" fillId="9" borderId="77" xfId="0" applyFill="1" applyBorder="1"/>
    <xf numFmtId="0" fontId="14" fillId="0" borderId="0" xfId="0" applyFont="1"/>
    <xf numFmtId="0" fontId="0" fillId="9" borderId="78" xfId="0" applyFill="1" applyBorder="1"/>
    <xf numFmtId="0" fontId="19" fillId="10" borderId="0" xfId="3" applyFont="1" applyFill="1"/>
    <xf numFmtId="0" fontId="14" fillId="10" borderId="0" xfId="4" applyFill="1"/>
    <xf numFmtId="0" fontId="20" fillId="10" borderId="79" xfId="3" applyFont="1" applyFill="1" applyBorder="1"/>
    <xf numFmtId="0" fontId="21" fillId="10" borderId="80" xfId="3" applyFont="1" applyFill="1" applyBorder="1"/>
    <xf numFmtId="0" fontId="21" fillId="10" borderId="81" xfId="3" applyFont="1" applyFill="1" applyBorder="1"/>
    <xf numFmtId="0" fontId="22" fillId="10" borderId="0" xfId="3" applyFont="1" applyFill="1" applyAlignment="1">
      <alignment vertical="top" wrapText="1"/>
    </xf>
    <xf numFmtId="0" fontId="22" fillId="10" borderId="0" xfId="3" applyFont="1" applyFill="1" applyAlignment="1">
      <alignment horizontal="justify" vertical="top" wrapText="1"/>
    </xf>
    <xf numFmtId="0" fontId="24" fillId="10" borderId="0" xfId="3" applyFont="1" applyFill="1" applyAlignment="1">
      <alignment vertical="top"/>
    </xf>
    <xf numFmtId="0" fontId="24" fillId="10" borderId="0" xfId="3" applyFont="1" applyFill="1"/>
    <xf numFmtId="0" fontId="22" fillId="10" borderId="0" xfId="3" applyFont="1" applyFill="1" applyAlignment="1">
      <alignment horizontal="justify" wrapText="1"/>
    </xf>
    <xf numFmtId="0" fontId="22" fillId="10" borderId="0" xfId="3" applyFont="1" applyFill="1"/>
    <xf numFmtId="0" fontId="23" fillId="10" borderId="0" xfId="3" applyFont="1" applyFill="1"/>
    <xf numFmtId="0" fontId="22" fillId="10" borderId="0" xfId="3" applyFont="1" applyFill="1" applyAlignment="1">
      <alignment horizontal="center" wrapText="1"/>
    </xf>
    <xf numFmtId="0" fontId="0" fillId="0" borderId="82" xfId="0" applyBorder="1"/>
    <xf numFmtId="0" fontId="0" fillId="0" borderId="83" xfId="0" applyBorder="1"/>
    <xf numFmtId="0" fontId="0" fillId="0" borderId="6" xfId="0" applyBorder="1"/>
    <xf numFmtId="0" fontId="0" fillId="0" borderId="84" xfId="0" applyBorder="1"/>
    <xf numFmtId="0" fontId="0" fillId="0" borderId="85" xfId="0" applyBorder="1"/>
    <xf numFmtId="0" fontId="0" fillId="0" borderId="86" xfId="0" applyBorder="1"/>
    <xf numFmtId="0" fontId="0" fillId="0" borderId="87" xfId="0" applyBorder="1"/>
    <xf numFmtId="0" fontId="27" fillId="0" borderId="6" xfId="0" applyFont="1" applyBorder="1"/>
    <xf numFmtId="0" fontId="27" fillId="0" borderId="6" xfId="0" applyFont="1" applyBorder="1" applyAlignment="1">
      <alignment horizontal="center"/>
    </xf>
    <xf numFmtId="0" fontId="27" fillId="0" borderId="0" xfId="0" applyFont="1" applyAlignment="1">
      <alignment horizontal="center"/>
    </xf>
    <xf numFmtId="0" fontId="27" fillId="0" borderId="0" xfId="0" applyFont="1"/>
    <xf numFmtId="0" fontId="28" fillId="0" borderId="0" xfId="0" applyFont="1"/>
    <xf numFmtId="0" fontId="27" fillId="12" borderId="0" xfId="0" applyFont="1" applyFill="1"/>
    <xf numFmtId="0" fontId="29" fillId="13" borderId="0" xfId="0" applyFont="1" applyFill="1"/>
    <xf numFmtId="0" fontId="0" fillId="12" borderId="0" xfId="0" applyFill="1"/>
    <xf numFmtId="0" fontId="29" fillId="14" borderId="0" xfId="0" applyFont="1" applyFill="1"/>
    <xf numFmtId="0" fontId="29" fillId="15" borderId="0" xfId="0" applyFont="1" applyFill="1"/>
    <xf numFmtId="0" fontId="29" fillId="16" borderId="0" xfId="0" applyFont="1" applyFill="1"/>
    <xf numFmtId="0" fontId="29" fillId="17" borderId="0" xfId="0" applyFont="1" applyFill="1"/>
    <xf numFmtId="0" fontId="29" fillId="18" borderId="0" xfId="0" applyFont="1" applyFill="1"/>
    <xf numFmtId="2" fontId="0" fillId="0" borderId="0" xfId="0" applyNumberFormat="1"/>
    <xf numFmtId="0" fontId="1" fillId="0" borderId="0" xfId="5"/>
    <xf numFmtId="0" fontId="30" fillId="19" borderId="0" xfId="5" applyFont="1" applyFill="1" applyAlignment="1">
      <alignment wrapText="1"/>
    </xf>
    <xf numFmtId="0" fontId="1" fillId="20" borderId="0" xfId="5" applyFill="1"/>
    <xf numFmtId="0" fontId="1" fillId="0" borderId="0" xfId="5" quotePrefix="1"/>
    <xf numFmtId="0" fontId="1" fillId="21" borderId="0" xfId="5" applyFill="1"/>
    <xf numFmtId="0" fontId="1" fillId="0" borderId="88" xfId="5" applyBorder="1"/>
    <xf numFmtId="0" fontId="26" fillId="13" borderId="0" xfId="5" applyFont="1" applyFill="1"/>
    <xf numFmtId="0" fontId="1" fillId="0" borderId="89" xfId="5" applyBorder="1"/>
    <xf numFmtId="0" fontId="1" fillId="22" borderId="6" xfId="5" applyFill="1" applyBorder="1"/>
    <xf numFmtId="0" fontId="31" fillId="22" borderId="6" xfId="5" applyFont="1" applyFill="1" applyBorder="1" applyAlignment="1">
      <alignment vertical="top"/>
    </xf>
    <xf numFmtId="0" fontId="31" fillId="22" borderId="6" xfId="5" applyFont="1" applyFill="1" applyBorder="1" applyAlignment="1">
      <alignment vertical="top" wrapText="1"/>
    </xf>
    <xf numFmtId="0" fontId="31" fillId="22" borderId="6" xfId="5" applyFont="1" applyFill="1" applyBorder="1" applyAlignment="1">
      <alignment wrapText="1"/>
    </xf>
    <xf numFmtId="0" fontId="31" fillId="23" borderId="6" xfId="5" applyFont="1" applyFill="1" applyBorder="1"/>
    <xf numFmtId="0" fontId="31" fillId="0" borderId="6" xfId="5" applyFont="1" applyBorder="1"/>
    <xf numFmtId="1" fontId="31" fillId="0" borderId="6" xfId="6" applyNumberFormat="1" applyFont="1" applyBorder="1"/>
    <xf numFmtId="1" fontId="32" fillId="0" borderId="6" xfId="6" applyNumberFormat="1" applyFont="1" applyBorder="1"/>
    <xf numFmtId="0" fontId="31" fillId="0" borderId="6" xfId="5" applyFont="1" applyBorder="1" applyAlignment="1">
      <alignment horizontal="right"/>
    </xf>
    <xf numFmtId="0" fontId="30" fillId="11" borderId="0" xfId="0" applyFont="1" applyFill="1"/>
    <xf numFmtId="0" fontId="22" fillId="10" borderId="0" xfId="3" applyFont="1" applyFill="1" applyAlignment="1">
      <alignment horizontal="left" wrapText="1"/>
    </xf>
    <xf numFmtId="0" fontId="25" fillId="10" borderId="0" xfId="3" applyFont="1" applyFill="1" applyAlignment="1">
      <alignment horizontal="center" vertical="top" wrapText="1"/>
    </xf>
    <xf numFmtId="0" fontId="22" fillId="10" borderId="0" xfId="3" applyFont="1" applyFill="1" applyAlignment="1">
      <alignment horizontal="left" vertical="top" wrapText="1"/>
    </xf>
    <xf numFmtId="0" fontId="22" fillId="10" borderId="0" xfId="3" applyFont="1" applyFill="1" applyAlignment="1">
      <alignment horizontal="justify" vertical="top" wrapText="1"/>
    </xf>
    <xf numFmtId="0" fontId="24" fillId="10" borderId="0" xfId="3" applyFont="1" applyFill="1" applyAlignment="1">
      <alignment horizontal="left"/>
    </xf>
    <xf numFmtId="0" fontId="7" fillId="0" borderId="0" xfId="0" applyFont="1" applyAlignment="1">
      <alignment horizontal="left" vertical="center"/>
    </xf>
    <xf numFmtId="0" fontId="0" fillId="5" borderId="0" xfId="0" applyFill="1" applyAlignment="1">
      <alignment horizontal="center"/>
    </xf>
    <xf numFmtId="0" fontId="3" fillId="7" borderId="46" xfId="0" applyFont="1" applyFill="1" applyBorder="1" applyAlignment="1" applyProtection="1">
      <alignment horizontal="right" vertical="center" shrinkToFit="1"/>
      <protection hidden="1"/>
    </xf>
    <xf numFmtId="0" fontId="3" fillId="7" borderId="63" xfId="0" applyFont="1" applyFill="1" applyBorder="1" applyAlignment="1" applyProtection="1">
      <alignment horizontal="right" vertical="center" shrinkToFit="1"/>
      <protection hidden="1"/>
    </xf>
    <xf numFmtId="0" fontId="0" fillId="0" borderId="0" xfId="0"/>
    <xf numFmtId="0" fontId="15" fillId="0" borderId="72" xfId="0" applyFont="1" applyBorder="1" applyAlignment="1" applyProtection="1">
      <alignment horizontal="center" vertical="center" shrinkToFit="1"/>
      <protection hidden="1"/>
    </xf>
    <xf numFmtId="0" fontId="16" fillId="0" borderId="72" xfId="0" applyFont="1" applyBorder="1" applyAlignment="1" applyProtection="1">
      <alignment horizontal="center" vertical="center" shrinkToFit="1"/>
      <protection hidden="1"/>
    </xf>
    <xf numFmtId="0" fontId="0" fillId="7" borderId="52" xfId="0" applyFill="1" applyBorder="1" applyAlignment="1" applyProtection="1">
      <alignment horizontal="center" vertical="center"/>
      <protection hidden="1"/>
    </xf>
    <xf numFmtId="0" fontId="3" fillId="7" borderId="52" xfId="0" applyFont="1" applyFill="1" applyBorder="1" applyAlignment="1" applyProtection="1">
      <alignment horizontal="center" vertical="center"/>
      <protection hidden="1"/>
    </xf>
    <xf numFmtId="0" fontId="12" fillId="6" borderId="34" xfId="0" applyFont="1" applyFill="1" applyBorder="1" applyAlignment="1" applyProtection="1">
      <alignment horizontal="center" vertical="center"/>
      <protection hidden="1"/>
    </xf>
    <xf numFmtId="0" fontId="12" fillId="6" borderId="33" xfId="0" applyFont="1" applyFill="1" applyBorder="1" applyAlignment="1" applyProtection="1">
      <alignment horizontal="center" vertical="center"/>
      <protection hidden="1"/>
    </xf>
    <xf numFmtId="0" fontId="3" fillId="7" borderId="48" xfId="0" applyFont="1" applyFill="1" applyBorder="1" applyAlignment="1" applyProtection="1">
      <alignment horizontal="right" vertical="center" shrinkToFit="1"/>
      <protection hidden="1"/>
    </xf>
    <xf numFmtId="0" fontId="9" fillId="0" borderId="0" xfId="0" applyFont="1" applyAlignment="1" applyProtection="1">
      <alignment horizontal="center" vertical="center" shrinkToFit="1"/>
      <protection hidden="1"/>
    </xf>
    <xf numFmtId="0" fontId="11" fillId="0" borderId="0" xfId="1" applyFont="1" applyBorder="1" applyAlignment="1" applyProtection="1">
      <alignment horizontal="right"/>
      <protection hidden="1"/>
    </xf>
  </cellXfs>
  <cellStyles count="7">
    <cellStyle name="Hyperlink" xfId="1" builtinId="8"/>
    <cellStyle name="Komma 2" xfId="6" xr:uid="{1788819C-A28E-41C3-817C-43D2CCE94941}"/>
    <cellStyle name="Normal 2" xfId="2" xr:uid="{70E5EBA0-78D2-47B6-A45A-A56DB286505A}"/>
    <cellStyle name="Standaard" xfId="0" builtinId="0"/>
    <cellStyle name="Standaard 2" xfId="3" xr:uid="{862D312C-89BF-49B0-8DBA-EAE7C34BE9A2}"/>
    <cellStyle name="Standaard 2 2" xfId="5" xr:uid="{86BF9CB0-04B6-4555-BD33-78547D3DB43F}"/>
    <cellStyle name="Standaard 3" xfId="4" xr:uid="{8029B2C5-882B-4595-B1F8-CA2E1AA9786F}"/>
  </cellStyles>
  <dxfs count="198">
    <dxf>
      <font>
        <color theme="0" tint="-0.34998626667073579"/>
      </font>
      <fill>
        <patternFill>
          <bgColor theme="0" tint="-0.34998626667073579"/>
        </patternFill>
      </fill>
    </dxf>
    <dxf>
      <font>
        <condense val="0"/>
        <extend val="0"/>
        <color indexed="22"/>
      </font>
      <fill>
        <patternFill>
          <bgColor indexed="22"/>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ont>
        <b/>
        <i val="0"/>
      </font>
    </dxf>
    <dxf>
      <font>
        <b/>
        <i val="0"/>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val="0"/>
        <i/>
        <color rgb="FF008080"/>
      </font>
    </dxf>
    <dxf>
      <font>
        <color rgb="FFFF0000"/>
      </font>
    </dxf>
    <dxf>
      <font>
        <b/>
        <i val="0"/>
        <color rgb="FF0000FF"/>
      </font>
    </dxf>
    <dxf>
      <font>
        <b/>
        <i val="0"/>
      </font>
    </dxf>
    <dxf>
      <font>
        <b/>
        <i val="0"/>
      </font>
    </dxf>
    <dxf>
      <font>
        <b val="0"/>
        <i/>
        <color rgb="FF008080"/>
      </font>
    </dxf>
    <dxf>
      <font>
        <color rgb="FFFF0000"/>
      </font>
    </dxf>
    <dxf>
      <font>
        <b/>
        <i val="0"/>
        <color rgb="FF0000FF"/>
      </font>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558ED5"/>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jpe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205740</xdr:colOff>
      <xdr:row>0</xdr:row>
      <xdr:rowOff>28575</xdr:rowOff>
    </xdr:from>
    <xdr:to>
      <xdr:col>5</xdr:col>
      <xdr:colOff>708291</xdr:colOff>
      <xdr:row>9</xdr:row>
      <xdr:rowOff>131445</xdr:rowOff>
    </xdr:to>
    <xdr:pic>
      <xdr:nvPicPr>
        <xdr:cNvPr id="6" name="Afbeelding 5">
          <a:extLst>
            <a:ext uri="{FF2B5EF4-FFF2-40B4-BE49-F238E27FC236}">
              <a16:creationId xmlns:a16="http://schemas.microsoft.com/office/drawing/2014/main" id="{F4CDF92F-A85F-42F0-9A8E-B883D83A1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0390" y="28575"/>
          <a:ext cx="1321701"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27841</xdr:colOff>
      <xdr:row>17</xdr:row>
      <xdr:rowOff>156611</xdr:rowOff>
    </xdr:from>
    <xdr:to>
      <xdr:col>7</xdr:col>
      <xdr:colOff>208396</xdr:colOff>
      <xdr:row>19</xdr:row>
      <xdr:rowOff>18220</xdr:rowOff>
    </xdr:to>
    <xdr:pic>
      <xdr:nvPicPr>
        <xdr:cNvPr id="2" name="Picture 2">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75966" y="2914531"/>
          <a:ext cx="190080" cy="178186"/>
        </a:xfrm>
        <a:prstGeom prst="rect">
          <a:avLst/>
        </a:prstGeom>
        <a:ln>
          <a:noFill/>
        </a:ln>
      </xdr:spPr>
    </xdr:pic>
    <xdr:clientData/>
  </xdr:twoCellAnchor>
  <xdr:twoCellAnchor editAs="oneCell">
    <xdr:from>
      <xdr:col>4</xdr:col>
      <xdr:colOff>1278219</xdr:colOff>
      <xdr:row>37</xdr:row>
      <xdr:rowOff>154080</xdr:rowOff>
    </xdr:from>
    <xdr:to>
      <xdr:col>4</xdr:col>
      <xdr:colOff>1464489</xdr:colOff>
      <xdr:row>39</xdr:row>
      <xdr:rowOff>15331</xdr:rowOff>
    </xdr:to>
    <xdr:pic>
      <xdr:nvPicPr>
        <xdr:cNvPr id="3" name="Picture 5">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3248162" y="6115864"/>
          <a:ext cx="190080" cy="177827"/>
        </a:xfrm>
        <a:prstGeom prst="rect">
          <a:avLst/>
        </a:prstGeom>
        <a:ln>
          <a:noFill/>
        </a:ln>
      </xdr:spPr>
    </xdr:pic>
    <xdr:clientData/>
  </xdr:twoCellAnchor>
  <xdr:twoCellAnchor editAs="oneCell">
    <xdr:from>
      <xdr:col>7</xdr:col>
      <xdr:colOff>31320</xdr:colOff>
      <xdr:row>28</xdr:row>
      <xdr:rowOff>145062</xdr:rowOff>
    </xdr:from>
    <xdr:to>
      <xdr:col>7</xdr:col>
      <xdr:colOff>208065</xdr:colOff>
      <xdr:row>30</xdr:row>
      <xdr:rowOff>15311</xdr:rowOff>
    </xdr:to>
    <xdr:pic>
      <xdr:nvPicPr>
        <xdr:cNvPr id="4" name="Picture 6">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4079445" y="4665107"/>
          <a:ext cx="190080" cy="186826"/>
        </a:xfrm>
        <a:prstGeom prst="rect">
          <a:avLst/>
        </a:prstGeom>
        <a:ln>
          <a:noFill/>
        </a:ln>
      </xdr:spPr>
    </xdr:pic>
    <xdr:clientData/>
  </xdr:twoCellAnchor>
  <xdr:twoCellAnchor editAs="oneCell">
    <xdr:from>
      <xdr:col>7</xdr:col>
      <xdr:colOff>36340</xdr:colOff>
      <xdr:row>9</xdr:row>
      <xdr:rowOff>154080</xdr:rowOff>
    </xdr:from>
    <xdr:to>
      <xdr:col>7</xdr:col>
      <xdr:colOff>227860</xdr:colOff>
      <xdr:row>11</xdr:row>
      <xdr:rowOff>18570</xdr:rowOff>
    </xdr:to>
    <xdr:pic>
      <xdr:nvPicPr>
        <xdr:cNvPr id="5" name="Picture 10">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4084465" y="1630455"/>
          <a:ext cx="191520" cy="181066"/>
        </a:xfrm>
        <a:prstGeom prst="rect">
          <a:avLst/>
        </a:prstGeom>
        <a:ln>
          <a:noFill/>
        </a:ln>
      </xdr:spPr>
    </xdr:pic>
    <xdr:clientData/>
  </xdr:twoCellAnchor>
  <xdr:twoCellAnchor editAs="oneCell">
    <xdr:from>
      <xdr:col>7</xdr:col>
      <xdr:colOff>24840</xdr:colOff>
      <xdr:row>22</xdr:row>
      <xdr:rowOff>155870</xdr:rowOff>
    </xdr:from>
    <xdr:to>
      <xdr:col>7</xdr:col>
      <xdr:colOff>212550</xdr:colOff>
      <xdr:row>24</xdr:row>
      <xdr:rowOff>20360</xdr:rowOff>
    </xdr:to>
    <xdr:pic>
      <xdr:nvPicPr>
        <xdr:cNvPr id="6" name="Picture 1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2"/>
        <a:stretch/>
      </xdr:blipFill>
      <xdr:spPr>
        <a:xfrm>
          <a:off x="4072965" y="3714756"/>
          <a:ext cx="191520" cy="181067"/>
        </a:xfrm>
        <a:prstGeom prst="rect">
          <a:avLst/>
        </a:prstGeom>
        <a:ln>
          <a:noFill/>
        </a:ln>
      </xdr:spPr>
    </xdr:pic>
    <xdr:clientData/>
  </xdr:twoCellAnchor>
  <xdr:twoCellAnchor editAs="oneCell">
    <xdr:from>
      <xdr:col>4</xdr:col>
      <xdr:colOff>1276578</xdr:colOff>
      <xdr:row>32</xdr:row>
      <xdr:rowOff>151209</xdr:rowOff>
    </xdr:from>
    <xdr:to>
      <xdr:col>4</xdr:col>
      <xdr:colOff>1464288</xdr:colOff>
      <xdr:row>34</xdr:row>
      <xdr:rowOff>15699</xdr:rowOff>
    </xdr:to>
    <xdr:pic>
      <xdr:nvPicPr>
        <xdr:cNvPr id="7" name="Picture 1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2"/>
        <a:stretch/>
      </xdr:blipFill>
      <xdr:spPr>
        <a:xfrm>
          <a:off x="3246521" y="5312027"/>
          <a:ext cx="191520" cy="181067"/>
        </a:xfrm>
        <a:prstGeom prst="rect">
          <a:avLst/>
        </a:prstGeom>
        <a:ln>
          <a:noFill/>
        </a:ln>
      </xdr:spPr>
    </xdr:pic>
    <xdr:clientData/>
  </xdr:twoCellAnchor>
  <xdr:twoCellAnchor editAs="oneCell">
    <xdr:from>
      <xdr:col>7</xdr:col>
      <xdr:colOff>29116</xdr:colOff>
      <xdr:row>16</xdr:row>
      <xdr:rowOff>147960</xdr:rowOff>
    </xdr:from>
    <xdr:to>
      <xdr:col>7</xdr:col>
      <xdr:colOff>213016</xdr:colOff>
      <xdr:row>18</xdr:row>
      <xdr:rowOff>15900</xdr:rowOff>
    </xdr:to>
    <xdr:pic>
      <xdr:nvPicPr>
        <xdr:cNvPr id="11" name="Picture 17">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3"/>
        <a:stretch/>
      </xdr:blipFill>
      <xdr:spPr>
        <a:xfrm>
          <a:off x="4078883" y="2755839"/>
          <a:ext cx="191520" cy="182200"/>
        </a:xfrm>
        <a:prstGeom prst="rect">
          <a:avLst/>
        </a:prstGeom>
        <a:ln>
          <a:noFill/>
        </a:ln>
      </xdr:spPr>
    </xdr:pic>
    <xdr:clientData/>
  </xdr:twoCellAnchor>
  <xdr:twoCellAnchor editAs="oneCell">
    <xdr:from>
      <xdr:col>4</xdr:col>
      <xdr:colOff>1270800</xdr:colOff>
      <xdr:row>40</xdr:row>
      <xdr:rowOff>157689</xdr:rowOff>
    </xdr:from>
    <xdr:to>
      <xdr:col>4</xdr:col>
      <xdr:colOff>1466130</xdr:colOff>
      <xdr:row>42</xdr:row>
      <xdr:rowOff>21819</xdr:rowOff>
    </xdr:to>
    <xdr:pic>
      <xdr:nvPicPr>
        <xdr:cNvPr id="12" name="Picture 2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3"/>
        <a:stretch/>
      </xdr:blipFill>
      <xdr:spPr>
        <a:xfrm>
          <a:off x="3240743" y="6600053"/>
          <a:ext cx="191520" cy="180706"/>
        </a:xfrm>
        <a:prstGeom prst="rect">
          <a:avLst/>
        </a:prstGeom>
        <a:ln>
          <a:noFill/>
        </a:ln>
      </xdr:spPr>
    </xdr:pic>
    <xdr:clientData/>
  </xdr:twoCellAnchor>
  <xdr:twoCellAnchor editAs="oneCell">
    <xdr:from>
      <xdr:col>4</xdr:col>
      <xdr:colOff>1277139</xdr:colOff>
      <xdr:row>26</xdr:row>
      <xdr:rowOff>156618</xdr:rowOff>
    </xdr:from>
    <xdr:to>
      <xdr:col>4</xdr:col>
      <xdr:colOff>1464849</xdr:colOff>
      <xdr:row>28</xdr:row>
      <xdr:rowOff>20748</xdr:rowOff>
    </xdr:to>
    <xdr:pic>
      <xdr:nvPicPr>
        <xdr:cNvPr id="13" name="Picture 22">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3"/>
        <a:stretch/>
      </xdr:blipFill>
      <xdr:spPr>
        <a:xfrm>
          <a:off x="3247082" y="4356277"/>
          <a:ext cx="191520" cy="180706"/>
        </a:xfrm>
        <a:prstGeom prst="rect">
          <a:avLst/>
        </a:prstGeom>
        <a:ln>
          <a:noFill/>
        </a:ln>
      </xdr:spPr>
    </xdr:pic>
    <xdr:clientData/>
  </xdr:twoCellAnchor>
  <xdr:twoCellAnchor editAs="oneCell">
    <xdr:from>
      <xdr:col>7</xdr:col>
      <xdr:colOff>25821</xdr:colOff>
      <xdr:row>14</xdr:row>
      <xdr:rowOff>154816</xdr:rowOff>
    </xdr:from>
    <xdr:to>
      <xdr:col>7</xdr:col>
      <xdr:colOff>207816</xdr:colOff>
      <xdr:row>16</xdr:row>
      <xdr:rowOff>19306</xdr:rowOff>
    </xdr:to>
    <xdr:pic>
      <xdr:nvPicPr>
        <xdr:cNvPr id="14" name="Picture 20">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4"/>
        <a:stretch/>
      </xdr:blipFill>
      <xdr:spPr>
        <a:xfrm>
          <a:off x="4073946" y="2432157"/>
          <a:ext cx="191520" cy="181066"/>
        </a:xfrm>
        <a:prstGeom prst="rect">
          <a:avLst/>
        </a:prstGeom>
        <a:ln>
          <a:noFill/>
        </a:ln>
      </xdr:spPr>
    </xdr:pic>
    <xdr:clientData/>
  </xdr:twoCellAnchor>
  <xdr:twoCellAnchor editAs="oneCell">
    <xdr:from>
      <xdr:col>7</xdr:col>
      <xdr:colOff>31850</xdr:colOff>
      <xdr:row>24</xdr:row>
      <xdr:rowOff>151928</xdr:rowOff>
    </xdr:from>
    <xdr:to>
      <xdr:col>7</xdr:col>
      <xdr:colOff>211940</xdr:colOff>
      <xdr:row>26</xdr:row>
      <xdr:rowOff>17799</xdr:rowOff>
    </xdr:to>
    <xdr:pic>
      <xdr:nvPicPr>
        <xdr:cNvPr id="15" name="Picture 24">
          <a:extLst>
            <a:ext uri="{FF2B5EF4-FFF2-40B4-BE49-F238E27FC236}">
              <a16:creationId xmlns:a16="http://schemas.microsoft.com/office/drawing/2014/main" id="{00000000-0008-0000-0300-00000F000000}"/>
            </a:ext>
          </a:extLst>
        </xdr:cNvPr>
        <xdr:cNvPicPr/>
      </xdr:nvPicPr>
      <xdr:blipFill>
        <a:blip xmlns:r="http://schemas.openxmlformats.org/officeDocument/2006/relationships" r:embed="rId4"/>
        <a:stretch/>
      </xdr:blipFill>
      <xdr:spPr>
        <a:xfrm>
          <a:off x="4079975" y="4031201"/>
          <a:ext cx="191520" cy="190067"/>
        </a:xfrm>
        <a:prstGeom prst="rect">
          <a:avLst/>
        </a:prstGeom>
        <a:ln>
          <a:noFill/>
        </a:ln>
      </xdr:spPr>
    </xdr:pic>
    <xdr:clientData/>
  </xdr:twoCellAnchor>
  <xdr:twoCellAnchor editAs="oneCell">
    <xdr:from>
      <xdr:col>4</xdr:col>
      <xdr:colOff>1274980</xdr:colOff>
      <xdr:row>38</xdr:row>
      <xdr:rowOff>145061</xdr:rowOff>
    </xdr:from>
    <xdr:to>
      <xdr:col>4</xdr:col>
      <xdr:colOff>1470310</xdr:colOff>
      <xdr:row>40</xdr:row>
      <xdr:rowOff>16241</xdr:rowOff>
    </xdr:to>
    <xdr:pic>
      <xdr:nvPicPr>
        <xdr:cNvPr id="16" name="Picture 25">
          <a:extLst>
            <a:ext uri="{FF2B5EF4-FFF2-40B4-BE49-F238E27FC236}">
              <a16:creationId xmlns:a16="http://schemas.microsoft.com/office/drawing/2014/main" id="{00000000-0008-0000-0300-000010000000}"/>
            </a:ext>
          </a:extLst>
        </xdr:cNvPr>
        <xdr:cNvPicPr/>
      </xdr:nvPicPr>
      <xdr:blipFill>
        <a:blip xmlns:r="http://schemas.openxmlformats.org/officeDocument/2006/relationships" r:embed="rId4"/>
        <a:stretch/>
      </xdr:blipFill>
      <xdr:spPr>
        <a:xfrm>
          <a:off x="3244923" y="6267038"/>
          <a:ext cx="191520" cy="183947"/>
        </a:xfrm>
        <a:prstGeom prst="rect">
          <a:avLst/>
        </a:prstGeom>
        <a:ln>
          <a:noFill/>
        </a:ln>
      </xdr:spPr>
    </xdr:pic>
    <xdr:clientData/>
  </xdr:twoCellAnchor>
  <xdr:twoCellAnchor editAs="oneCell">
    <xdr:from>
      <xdr:col>4</xdr:col>
      <xdr:colOff>1289314</xdr:colOff>
      <xdr:row>18</xdr:row>
      <xdr:rowOff>154081</xdr:rowOff>
    </xdr:from>
    <xdr:to>
      <xdr:col>4</xdr:col>
      <xdr:colOff>1469404</xdr:colOff>
      <xdr:row>20</xdr:row>
      <xdr:rowOff>15271</xdr:rowOff>
    </xdr:to>
    <xdr:pic>
      <xdr:nvPicPr>
        <xdr:cNvPr id="20" name="Picture 26">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5"/>
        <a:stretch/>
      </xdr:blipFill>
      <xdr:spPr>
        <a:xfrm>
          <a:off x="3259257" y="3072195"/>
          <a:ext cx="191520" cy="185386"/>
        </a:xfrm>
        <a:prstGeom prst="rect">
          <a:avLst/>
        </a:prstGeom>
        <a:ln>
          <a:noFill/>
        </a:ln>
      </xdr:spPr>
    </xdr:pic>
    <xdr:clientData/>
  </xdr:twoCellAnchor>
  <xdr:twoCellAnchor editAs="oneCell">
    <xdr:from>
      <xdr:col>7</xdr:col>
      <xdr:colOff>24840</xdr:colOff>
      <xdr:row>43</xdr:row>
      <xdr:rowOff>149750</xdr:rowOff>
    </xdr:from>
    <xdr:to>
      <xdr:col>7</xdr:col>
      <xdr:colOff>212550</xdr:colOff>
      <xdr:row>45</xdr:row>
      <xdr:rowOff>16970</xdr:rowOff>
    </xdr:to>
    <xdr:pic>
      <xdr:nvPicPr>
        <xdr:cNvPr id="21" name="Picture 31">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5"/>
        <a:stretch/>
      </xdr:blipFill>
      <xdr:spPr>
        <a:xfrm>
          <a:off x="4072965" y="7072693"/>
          <a:ext cx="191520" cy="179987"/>
        </a:xfrm>
        <a:prstGeom prst="rect">
          <a:avLst/>
        </a:prstGeom>
        <a:ln>
          <a:noFill/>
        </a:ln>
      </xdr:spPr>
    </xdr:pic>
    <xdr:clientData/>
  </xdr:twoCellAnchor>
  <xdr:twoCellAnchor editAs="oneCell">
    <xdr:from>
      <xdr:col>7</xdr:col>
      <xdr:colOff>35260</xdr:colOff>
      <xdr:row>10</xdr:row>
      <xdr:rowOff>149392</xdr:rowOff>
    </xdr:from>
    <xdr:to>
      <xdr:col>7</xdr:col>
      <xdr:colOff>226780</xdr:colOff>
      <xdr:row>12</xdr:row>
      <xdr:rowOff>19596</xdr:rowOff>
    </xdr:to>
    <xdr:pic>
      <xdr:nvPicPr>
        <xdr:cNvPr id="22" name="Picture 29">
          <a:extLst>
            <a:ext uri="{FF2B5EF4-FFF2-40B4-BE49-F238E27FC236}">
              <a16:creationId xmlns:a16="http://schemas.microsoft.com/office/drawing/2014/main" id="{00000000-0008-0000-0300-000016000000}"/>
            </a:ext>
          </a:extLst>
        </xdr:cNvPr>
        <xdr:cNvPicPr/>
      </xdr:nvPicPr>
      <xdr:blipFill>
        <a:blip xmlns:r="http://schemas.openxmlformats.org/officeDocument/2006/relationships" r:embed="rId6"/>
        <a:stretch/>
      </xdr:blipFill>
      <xdr:spPr>
        <a:xfrm>
          <a:off x="4083385" y="1785960"/>
          <a:ext cx="191520" cy="181066"/>
        </a:xfrm>
        <a:prstGeom prst="rect">
          <a:avLst/>
        </a:prstGeom>
        <a:ln>
          <a:noFill/>
        </a:ln>
      </xdr:spPr>
    </xdr:pic>
    <xdr:clientData/>
  </xdr:twoCellAnchor>
  <xdr:twoCellAnchor editAs="oneCell">
    <xdr:from>
      <xdr:col>4</xdr:col>
      <xdr:colOff>1285248</xdr:colOff>
      <xdr:row>20</xdr:row>
      <xdr:rowOff>149390</xdr:rowOff>
    </xdr:from>
    <xdr:to>
      <xdr:col>4</xdr:col>
      <xdr:colOff>1469148</xdr:colOff>
      <xdr:row>22</xdr:row>
      <xdr:rowOff>18201</xdr:rowOff>
    </xdr:to>
    <xdr:pic>
      <xdr:nvPicPr>
        <xdr:cNvPr id="23" name="Picture 33">
          <a:extLst>
            <a:ext uri="{FF2B5EF4-FFF2-40B4-BE49-F238E27FC236}">
              <a16:creationId xmlns:a16="http://schemas.microsoft.com/office/drawing/2014/main" id="{00000000-0008-0000-0300-000017000000}"/>
            </a:ext>
          </a:extLst>
        </xdr:cNvPr>
        <xdr:cNvPicPr/>
      </xdr:nvPicPr>
      <xdr:blipFill>
        <a:blip xmlns:r="http://schemas.openxmlformats.org/officeDocument/2006/relationships" r:embed="rId6"/>
        <a:stretch/>
      </xdr:blipFill>
      <xdr:spPr>
        <a:xfrm>
          <a:off x="3255191" y="3387890"/>
          <a:ext cx="191520" cy="185387"/>
        </a:xfrm>
        <a:prstGeom prst="rect">
          <a:avLst/>
        </a:prstGeom>
        <a:ln>
          <a:noFill/>
        </a:ln>
      </xdr:spPr>
    </xdr:pic>
    <xdr:clientData/>
  </xdr:twoCellAnchor>
  <xdr:twoCellAnchor editAs="oneCell">
    <xdr:from>
      <xdr:col>4</xdr:col>
      <xdr:colOff>1280908</xdr:colOff>
      <xdr:row>35</xdr:row>
      <xdr:rowOff>149390</xdr:rowOff>
    </xdr:from>
    <xdr:to>
      <xdr:col>4</xdr:col>
      <xdr:colOff>1468618</xdr:colOff>
      <xdr:row>37</xdr:row>
      <xdr:rowOff>16041</xdr:rowOff>
    </xdr:to>
    <xdr:pic>
      <xdr:nvPicPr>
        <xdr:cNvPr id="24" name="Picture 34">
          <a:extLst>
            <a:ext uri="{FF2B5EF4-FFF2-40B4-BE49-F238E27FC236}">
              <a16:creationId xmlns:a16="http://schemas.microsoft.com/office/drawing/2014/main" id="{00000000-0008-0000-0300-000018000000}"/>
            </a:ext>
          </a:extLst>
        </xdr:cNvPr>
        <xdr:cNvPicPr/>
      </xdr:nvPicPr>
      <xdr:blipFill>
        <a:blip xmlns:r="http://schemas.openxmlformats.org/officeDocument/2006/relationships" r:embed="rId6"/>
        <a:stretch/>
      </xdr:blipFill>
      <xdr:spPr>
        <a:xfrm>
          <a:off x="3250851" y="5790788"/>
          <a:ext cx="191520" cy="183227"/>
        </a:xfrm>
        <a:prstGeom prst="rect">
          <a:avLst/>
        </a:prstGeom>
        <a:ln>
          <a:noFill/>
        </a:ln>
      </xdr:spPr>
    </xdr:pic>
    <xdr:clientData/>
  </xdr:twoCellAnchor>
  <xdr:twoCellAnchor editAs="oneCell">
    <xdr:from>
      <xdr:col>4</xdr:col>
      <xdr:colOff>1278608</xdr:colOff>
      <xdr:row>27</xdr:row>
      <xdr:rowOff>145421</xdr:rowOff>
    </xdr:from>
    <xdr:to>
      <xdr:col>4</xdr:col>
      <xdr:colOff>1466318</xdr:colOff>
      <xdr:row>29</xdr:row>
      <xdr:rowOff>19945</xdr:rowOff>
    </xdr:to>
    <xdr:pic>
      <xdr:nvPicPr>
        <xdr:cNvPr id="25" name="Picture 32">
          <a:extLst>
            <a:ext uri="{FF2B5EF4-FFF2-40B4-BE49-F238E27FC236}">
              <a16:creationId xmlns:a16="http://schemas.microsoft.com/office/drawing/2014/main" id="{00000000-0008-0000-0300-000019000000}"/>
            </a:ext>
          </a:extLst>
        </xdr:cNvPr>
        <xdr:cNvPicPr/>
      </xdr:nvPicPr>
      <xdr:blipFill>
        <a:blip xmlns:r="http://schemas.openxmlformats.org/officeDocument/2006/relationships" r:embed="rId7"/>
        <a:stretch/>
      </xdr:blipFill>
      <xdr:spPr>
        <a:xfrm>
          <a:off x="3248551" y="4505273"/>
          <a:ext cx="191520" cy="185386"/>
        </a:xfrm>
        <a:prstGeom prst="rect">
          <a:avLst/>
        </a:prstGeom>
        <a:ln>
          <a:noFill/>
        </a:ln>
      </xdr:spPr>
    </xdr:pic>
    <xdr:clientData/>
  </xdr:twoCellAnchor>
  <xdr:twoCellAnchor editAs="oneCell">
    <xdr:from>
      <xdr:col>4</xdr:col>
      <xdr:colOff>1283780</xdr:colOff>
      <xdr:row>12</xdr:row>
      <xdr:rowOff>154468</xdr:rowOff>
    </xdr:from>
    <xdr:to>
      <xdr:col>4</xdr:col>
      <xdr:colOff>1465775</xdr:colOff>
      <xdr:row>14</xdr:row>
      <xdr:rowOff>18599</xdr:rowOff>
    </xdr:to>
    <xdr:pic>
      <xdr:nvPicPr>
        <xdr:cNvPr id="26" name="Picture 36">
          <a:extLst>
            <a:ext uri="{FF2B5EF4-FFF2-40B4-BE49-F238E27FC236}">
              <a16:creationId xmlns:a16="http://schemas.microsoft.com/office/drawing/2014/main" id="{00000000-0008-0000-0300-00001A000000}"/>
            </a:ext>
          </a:extLst>
        </xdr:cNvPr>
        <xdr:cNvPicPr/>
      </xdr:nvPicPr>
      <xdr:blipFill>
        <a:blip xmlns:r="http://schemas.openxmlformats.org/officeDocument/2006/relationships" r:embed="rId7"/>
        <a:stretch/>
      </xdr:blipFill>
      <xdr:spPr>
        <a:xfrm>
          <a:off x="3253723" y="2111423"/>
          <a:ext cx="191520" cy="180707"/>
        </a:xfrm>
        <a:prstGeom prst="rect">
          <a:avLst/>
        </a:prstGeom>
        <a:ln>
          <a:noFill/>
        </a:ln>
      </xdr:spPr>
    </xdr:pic>
    <xdr:clientData/>
  </xdr:twoCellAnchor>
  <xdr:twoCellAnchor editAs="oneCell">
    <xdr:from>
      <xdr:col>7</xdr:col>
      <xdr:colOff>21590</xdr:colOff>
      <xdr:row>37</xdr:row>
      <xdr:rowOff>154080</xdr:rowOff>
    </xdr:from>
    <xdr:to>
      <xdr:col>7</xdr:col>
      <xdr:colOff>209300</xdr:colOff>
      <xdr:row>39</xdr:row>
      <xdr:rowOff>18570</xdr:rowOff>
    </xdr:to>
    <xdr:pic>
      <xdr:nvPicPr>
        <xdr:cNvPr id="27" name="Picture 37">
          <a:extLst>
            <a:ext uri="{FF2B5EF4-FFF2-40B4-BE49-F238E27FC236}">
              <a16:creationId xmlns:a16="http://schemas.microsoft.com/office/drawing/2014/main" id="{00000000-0008-0000-0300-00001B000000}"/>
            </a:ext>
          </a:extLst>
        </xdr:cNvPr>
        <xdr:cNvPicPr/>
      </xdr:nvPicPr>
      <xdr:blipFill>
        <a:blip xmlns:r="http://schemas.openxmlformats.org/officeDocument/2006/relationships" r:embed="rId7"/>
        <a:stretch/>
      </xdr:blipFill>
      <xdr:spPr>
        <a:xfrm>
          <a:off x="4069715" y="6115864"/>
          <a:ext cx="191520" cy="181066"/>
        </a:xfrm>
        <a:prstGeom prst="rect">
          <a:avLst/>
        </a:prstGeom>
        <a:ln>
          <a:noFill/>
        </a:ln>
      </xdr:spPr>
    </xdr:pic>
    <xdr:clientData/>
  </xdr:twoCellAnchor>
  <xdr:twoCellAnchor editAs="oneCell">
    <xdr:from>
      <xdr:col>4</xdr:col>
      <xdr:colOff>1284728</xdr:colOff>
      <xdr:row>8</xdr:row>
      <xdr:rowOff>151931</xdr:rowOff>
    </xdr:from>
    <xdr:to>
      <xdr:col>4</xdr:col>
      <xdr:colOff>1466723</xdr:colOff>
      <xdr:row>10</xdr:row>
      <xdr:rowOff>16421</xdr:rowOff>
    </xdr:to>
    <xdr:pic>
      <xdr:nvPicPr>
        <xdr:cNvPr id="28" name="Picture 38">
          <a:extLst>
            <a:ext uri="{FF2B5EF4-FFF2-40B4-BE49-F238E27FC236}">
              <a16:creationId xmlns:a16="http://schemas.microsoft.com/office/drawing/2014/main" id="{00000000-0008-0000-0300-00001C000000}"/>
            </a:ext>
          </a:extLst>
        </xdr:cNvPr>
        <xdr:cNvPicPr/>
      </xdr:nvPicPr>
      <xdr:blipFill>
        <a:blip xmlns:r="http://schemas.openxmlformats.org/officeDocument/2006/relationships" r:embed="rId8"/>
        <a:stretch/>
      </xdr:blipFill>
      <xdr:spPr>
        <a:xfrm>
          <a:off x="3254671" y="1468113"/>
          <a:ext cx="191520" cy="181066"/>
        </a:xfrm>
        <a:prstGeom prst="rect">
          <a:avLst/>
        </a:prstGeom>
        <a:ln>
          <a:noFill/>
        </a:ln>
      </xdr:spPr>
    </xdr:pic>
    <xdr:clientData/>
  </xdr:twoCellAnchor>
  <xdr:twoCellAnchor editAs="oneCell">
    <xdr:from>
      <xdr:col>7</xdr:col>
      <xdr:colOff>19902</xdr:colOff>
      <xdr:row>32</xdr:row>
      <xdr:rowOff>149031</xdr:rowOff>
    </xdr:from>
    <xdr:to>
      <xdr:col>7</xdr:col>
      <xdr:colOff>207612</xdr:colOff>
      <xdr:row>34</xdr:row>
      <xdr:rowOff>16610</xdr:rowOff>
    </xdr:to>
    <xdr:pic>
      <xdr:nvPicPr>
        <xdr:cNvPr id="29" name="Picture 42">
          <a:extLst>
            <a:ext uri="{FF2B5EF4-FFF2-40B4-BE49-F238E27FC236}">
              <a16:creationId xmlns:a16="http://schemas.microsoft.com/office/drawing/2014/main" id="{00000000-0008-0000-0300-00001D000000}"/>
            </a:ext>
          </a:extLst>
        </xdr:cNvPr>
        <xdr:cNvPicPr/>
      </xdr:nvPicPr>
      <xdr:blipFill>
        <a:blip xmlns:r="http://schemas.openxmlformats.org/officeDocument/2006/relationships" r:embed="rId8"/>
        <a:stretch/>
      </xdr:blipFill>
      <xdr:spPr>
        <a:xfrm>
          <a:off x="4068027" y="5309849"/>
          <a:ext cx="191520" cy="180346"/>
        </a:xfrm>
        <a:prstGeom prst="rect">
          <a:avLst/>
        </a:prstGeom>
        <a:ln>
          <a:noFill/>
        </a:ln>
      </xdr:spPr>
    </xdr:pic>
    <xdr:clientData/>
  </xdr:twoCellAnchor>
  <xdr:twoCellAnchor editAs="oneCell">
    <xdr:from>
      <xdr:col>4</xdr:col>
      <xdr:colOff>1285817</xdr:colOff>
      <xdr:row>21</xdr:row>
      <xdr:rowOff>149030</xdr:rowOff>
    </xdr:from>
    <xdr:to>
      <xdr:col>4</xdr:col>
      <xdr:colOff>1469717</xdr:colOff>
      <xdr:row>23</xdr:row>
      <xdr:rowOff>21799</xdr:rowOff>
    </xdr:to>
    <xdr:pic>
      <xdr:nvPicPr>
        <xdr:cNvPr id="30" name="Picture 43">
          <a:extLst>
            <a:ext uri="{FF2B5EF4-FFF2-40B4-BE49-F238E27FC236}">
              <a16:creationId xmlns:a16="http://schemas.microsoft.com/office/drawing/2014/main" id="{00000000-0008-0000-0300-00001E000000}"/>
            </a:ext>
          </a:extLst>
        </xdr:cNvPr>
        <xdr:cNvPicPr/>
      </xdr:nvPicPr>
      <xdr:blipFill>
        <a:blip xmlns:r="http://schemas.openxmlformats.org/officeDocument/2006/relationships" r:embed="rId8"/>
        <a:stretch/>
      </xdr:blipFill>
      <xdr:spPr>
        <a:xfrm>
          <a:off x="3255760" y="3547723"/>
          <a:ext cx="191520" cy="189346"/>
        </a:xfrm>
        <a:prstGeom prst="rect">
          <a:avLst/>
        </a:prstGeom>
        <a:ln>
          <a:noFill/>
        </a:ln>
      </xdr:spPr>
    </xdr:pic>
    <xdr:clientData/>
  </xdr:twoCellAnchor>
  <xdr:twoCellAnchor editAs="oneCell">
    <xdr:from>
      <xdr:col>7</xdr:col>
      <xdr:colOff>22273</xdr:colOff>
      <xdr:row>15</xdr:row>
      <xdr:rowOff>159509</xdr:rowOff>
    </xdr:from>
    <xdr:to>
      <xdr:col>7</xdr:col>
      <xdr:colOff>209983</xdr:colOff>
      <xdr:row>17</xdr:row>
      <xdr:rowOff>16379</xdr:rowOff>
    </xdr:to>
    <xdr:pic>
      <xdr:nvPicPr>
        <xdr:cNvPr id="31" name="Picture 41">
          <a:extLst>
            <a:ext uri="{FF2B5EF4-FFF2-40B4-BE49-F238E27FC236}">
              <a16:creationId xmlns:a16="http://schemas.microsoft.com/office/drawing/2014/main" id="{00000000-0008-0000-0300-00001F000000}"/>
            </a:ext>
          </a:extLst>
        </xdr:cNvPr>
        <xdr:cNvPicPr/>
      </xdr:nvPicPr>
      <xdr:blipFill>
        <a:blip xmlns:r="http://schemas.openxmlformats.org/officeDocument/2006/relationships" r:embed="rId9"/>
        <a:stretch/>
      </xdr:blipFill>
      <xdr:spPr>
        <a:xfrm>
          <a:off x="4070398" y="2597043"/>
          <a:ext cx="191520" cy="181066"/>
        </a:xfrm>
        <a:prstGeom prst="rect">
          <a:avLst/>
        </a:prstGeom>
        <a:ln>
          <a:noFill/>
        </a:ln>
      </xdr:spPr>
    </xdr:pic>
    <xdr:clientData/>
  </xdr:twoCellAnchor>
  <xdr:twoCellAnchor editAs="oneCell">
    <xdr:from>
      <xdr:col>7</xdr:col>
      <xdr:colOff>29670</xdr:colOff>
      <xdr:row>26</xdr:row>
      <xdr:rowOff>157690</xdr:rowOff>
    </xdr:from>
    <xdr:to>
      <xdr:col>7</xdr:col>
      <xdr:colOff>207855</xdr:colOff>
      <xdr:row>28</xdr:row>
      <xdr:rowOff>22180</xdr:rowOff>
    </xdr:to>
    <xdr:pic>
      <xdr:nvPicPr>
        <xdr:cNvPr id="32" name="Picture 45">
          <a:extLst>
            <a:ext uri="{FF2B5EF4-FFF2-40B4-BE49-F238E27FC236}">
              <a16:creationId xmlns:a16="http://schemas.microsoft.com/office/drawing/2014/main" id="{00000000-0008-0000-0300-000020000000}"/>
            </a:ext>
          </a:extLst>
        </xdr:cNvPr>
        <xdr:cNvPicPr/>
      </xdr:nvPicPr>
      <xdr:blipFill>
        <a:blip xmlns:r="http://schemas.openxmlformats.org/officeDocument/2006/relationships" r:embed="rId9"/>
        <a:stretch/>
      </xdr:blipFill>
      <xdr:spPr>
        <a:xfrm>
          <a:off x="4077795" y="4357349"/>
          <a:ext cx="191520" cy="181066"/>
        </a:xfrm>
        <a:prstGeom prst="rect">
          <a:avLst/>
        </a:prstGeom>
        <a:ln>
          <a:noFill/>
        </a:ln>
      </xdr:spPr>
    </xdr:pic>
    <xdr:clientData/>
  </xdr:twoCellAnchor>
  <xdr:twoCellAnchor editAs="oneCell">
    <xdr:from>
      <xdr:col>4</xdr:col>
      <xdr:colOff>1273321</xdr:colOff>
      <xdr:row>42</xdr:row>
      <xdr:rowOff>1827</xdr:rowOff>
    </xdr:from>
    <xdr:to>
      <xdr:col>4</xdr:col>
      <xdr:colOff>1468651</xdr:colOff>
      <xdr:row>43</xdr:row>
      <xdr:rowOff>18530</xdr:rowOff>
    </xdr:to>
    <xdr:pic>
      <xdr:nvPicPr>
        <xdr:cNvPr id="33" name="Picture 46">
          <a:extLst>
            <a:ext uri="{FF2B5EF4-FFF2-40B4-BE49-F238E27FC236}">
              <a16:creationId xmlns:a16="http://schemas.microsoft.com/office/drawing/2014/main" id="{00000000-0008-0000-0300-000021000000}"/>
            </a:ext>
          </a:extLst>
        </xdr:cNvPr>
        <xdr:cNvPicPr/>
      </xdr:nvPicPr>
      <xdr:blipFill>
        <a:blip xmlns:r="http://schemas.openxmlformats.org/officeDocument/2006/relationships" r:embed="rId9"/>
        <a:stretch/>
      </xdr:blipFill>
      <xdr:spPr>
        <a:xfrm>
          <a:off x="3243264" y="6764577"/>
          <a:ext cx="191520" cy="180706"/>
        </a:xfrm>
        <a:prstGeom prst="rect">
          <a:avLst/>
        </a:prstGeom>
        <a:ln>
          <a:noFill/>
        </a:ln>
      </xdr:spPr>
    </xdr:pic>
    <xdr:clientData/>
  </xdr:twoCellAnchor>
  <xdr:twoCellAnchor editAs="oneCell">
    <xdr:from>
      <xdr:col>7</xdr:col>
      <xdr:colOff>20501</xdr:colOff>
      <xdr:row>34</xdr:row>
      <xdr:rowOff>156618</xdr:rowOff>
    </xdr:from>
    <xdr:to>
      <xdr:col>7</xdr:col>
      <xdr:colOff>208211</xdr:colOff>
      <xdr:row>36</xdr:row>
      <xdr:rowOff>20748</xdr:rowOff>
    </xdr:to>
    <xdr:pic>
      <xdr:nvPicPr>
        <xdr:cNvPr id="34" name="Picture 44">
          <a:extLst>
            <a:ext uri="{FF2B5EF4-FFF2-40B4-BE49-F238E27FC236}">
              <a16:creationId xmlns:a16="http://schemas.microsoft.com/office/drawing/2014/main" id="{00000000-0008-0000-0300-000022000000}"/>
            </a:ext>
          </a:extLst>
        </xdr:cNvPr>
        <xdr:cNvPicPr/>
      </xdr:nvPicPr>
      <xdr:blipFill>
        <a:blip xmlns:r="http://schemas.openxmlformats.org/officeDocument/2006/relationships" r:embed="rId10"/>
        <a:stretch/>
      </xdr:blipFill>
      <xdr:spPr>
        <a:xfrm>
          <a:off x="4068626" y="5637823"/>
          <a:ext cx="191520" cy="180706"/>
        </a:xfrm>
        <a:prstGeom prst="rect">
          <a:avLst/>
        </a:prstGeom>
        <a:ln>
          <a:noFill/>
        </a:ln>
      </xdr:spPr>
    </xdr:pic>
    <xdr:clientData/>
  </xdr:twoCellAnchor>
  <xdr:twoCellAnchor editAs="oneCell">
    <xdr:from>
      <xdr:col>4</xdr:col>
      <xdr:colOff>1283059</xdr:colOff>
      <xdr:row>10</xdr:row>
      <xdr:rowOff>149751</xdr:rowOff>
    </xdr:from>
    <xdr:to>
      <xdr:col>4</xdr:col>
      <xdr:colOff>1465054</xdr:colOff>
      <xdr:row>12</xdr:row>
      <xdr:rowOff>19596</xdr:rowOff>
    </xdr:to>
    <xdr:pic>
      <xdr:nvPicPr>
        <xdr:cNvPr id="35" name="Picture 48">
          <a:extLst>
            <a:ext uri="{FF2B5EF4-FFF2-40B4-BE49-F238E27FC236}">
              <a16:creationId xmlns:a16="http://schemas.microsoft.com/office/drawing/2014/main" id="{00000000-0008-0000-0300-000023000000}"/>
            </a:ext>
          </a:extLst>
        </xdr:cNvPr>
        <xdr:cNvPicPr/>
      </xdr:nvPicPr>
      <xdr:blipFill>
        <a:blip xmlns:r="http://schemas.openxmlformats.org/officeDocument/2006/relationships" r:embed="rId10"/>
        <a:stretch/>
      </xdr:blipFill>
      <xdr:spPr>
        <a:xfrm>
          <a:off x="3253002" y="1786319"/>
          <a:ext cx="191520" cy="180707"/>
        </a:xfrm>
        <a:prstGeom prst="rect">
          <a:avLst/>
        </a:prstGeom>
        <a:ln>
          <a:noFill/>
        </a:ln>
      </xdr:spPr>
    </xdr:pic>
    <xdr:clientData/>
  </xdr:twoCellAnchor>
  <xdr:twoCellAnchor editAs="oneCell">
    <xdr:from>
      <xdr:col>4</xdr:col>
      <xdr:colOff>1278380</xdr:colOff>
      <xdr:row>25</xdr:row>
      <xdr:rowOff>159488</xdr:rowOff>
    </xdr:from>
    <xdr:to>
      <xdr:col>4</xdr:col>
      <xdr:colOff>1466090</xdr:colOff>
      <xdr:row>27</xdr:row>
      <xdr:rowOff>19598</xdr:rowOff>
    </xdr:to>
    <xdr:pic>
      <xdr:nvPicPr>
        <xdr:cNvPr id="36" name="Picture 49">
          <a:extLst>
            <a:ext uri="{FF2B5EF4-FFF2-40B4-BE49-F238E27FC236}">
              <a16:creationId xmlns:a16="http://schemas.microsoft.com/office/drawing/2014/main" id="{00000000-0008-0000-0300-000024000000}"/>
            </a:ext>
          </a:extLst>
        </xdr:cNvPr>
        <xdr:cNvPicPr/>
      </xdr:nvPicPr>
      <xdr:blipFill>
        <a:blip xmlns:r="http://schemas.openxmlformats.org/officeDocument/2006/relationships" r:embed="rId10"/>
        <a:stretch/>
      </xdr:blipFill>
      <xdr:spPr>
        <a:xfrm>
          <a:off x="3248323" y="4198954"/>
          <a:ext cx="191520" cy="184306"/>
        </a:xfrm>
        <a:prstGeom prst="rect">
          <a:avLst/>
        </a:prstGeom>
        <a:ln>
          <a:noFill/>
        </a:ln>
      </xdr:spPr>
    </xdr:pic>
    <xdr:clientData/>
  </xdr:twoCellAnchor>
  <xdr:twoCellAnchor editAs="oneCell">
    <xdr:from>
      <xdr:col>7</xdr:col>
      <xdr:colOff>28061</xdr:colOff>
      <xdr:row>19</xdr:row>
      <xdr:rowOff>149391</xdr:rowOff>
    </xdr:from>
    <xdr:to>
      <xdr:col>7</xdr:col>
      <xdr:colOff>211961</xdr:colOff>
      <xdr:row>21</xdr:row>
      <xdr:rowOff>19236</xdr:rowOff>
    </xdr:to>
    <xdr:pic>
      <xdr:nvPicPr>
        <xdr:cNvPr id="37" name="Picture 47">
          <a:extLst>
            <a:ext uri="{FF2B5EF4-FFF2-40B4-BE49-F238E27FC236}">
              <a16:creationId xmlns:a16="http://schemas.microsoft.com/office/drawing/2014/main" id="{00000000-0008-0000-0300-000025000000}"/>
            </a:ext>
          </a:extLst>
        </xdr:cNvPr>
        <xdr:cNvPicPr/>
      </xdr:nvPicPr>
      <xdr:blipFill>
        <a:blip xmlns:r="http://schemas.openxmlformats.org/officeDocument/2006/relationships" r:embed="rId11"/>
        <a:stretch/>
      </xdr:blipFill>
      <xdr:spPr>
        <a:xfrm>
          <a:off x="4076186" y="3227698"/>
          <a:ext cx="191520" cy="180706"/>
        </a:xfrm>
        <a:prstGeom prst="rect">
          <a:avLst/>
        </a:prstGeom>
        <a:ln>
          <a:noFill/>
        </a:ln>
      </xdr:spPr>
    </xdr:pic>
    <xdr:clientData/>
  </xdr:twoCellAnchor>
  <xdr:twoCellAnchor editAs="oneCell">
    <xdr:from>
      <xdr:col>7</xdr:col>
      <xdr:colOff>26982</xdr:colOff>
      <xdr:row>29</xdr:row>
      <xdr:rowOff>150850</xdr:rowOff>
    </xdr:from>
    <xdr:to>
      <xdr:col>7</xdr:col>
      <xdr:colOff>208977</xdr:colOff>
      <xdr:row>31</xdr:row>
      <xdr:rowOff>19661</xdr:rowOff>
    </xdr:to>
    <xdr:pic>
      <xdr:nvPicPr>
        <xdr:cNvPr id="38" name="Picture 51">
          <a:extLst>
            <a:ext uri="{FF2B5EF4-FFF2-40B4-BE49-F238E27FC236}">
              <a16:creationId xmlns:a16="http://schemas.microsoft.com/office/drawing/2014/main" id="{00000000-0008-0000-0300-000026000000}"/>
            </a:ext>
          </a:extLst>
        </xdr:cNvPr>
        <xdr:cNvPicPr/>
      </xdr:nvPicPr>
      <xdr:blipFill>
        <a:blip xmlns:r="http://schemas.openxmlformats.org/officeDocument/2006/relationships" r:embed="rId11"/>
        <a:stretch/>
      </xdr:blipFill>
      <xdr:spPr>
        <a:xfrm>
          <a:off x="4075107" y="4831089"/>
          <a:ext cx="191520" cy="185387"/>
        </a:xfrm>
        <a:prstGeom prst="rect">
          <a:avLst/>
        </a:prstGeom>
        <a:ln>
          <a:noFill/>
        </a:ln>
      </xdr:spPr>
    </xdr:pic>
    <xdr:clientData/>
  </xdr:twoCellAnchor>
  <xdr:twoCellAnchor editAs="oneCell">
    <xdr:from>
      <xdr:col>4</xdr:col>
      <xdr:colOff>1280909</xdr:colOff>
      <xdr:row>43</xdr:row>
      <xdr:rowOff>151535</xdr:rowOff>
    </xdr:from>
    <xdr:to>
      <xdr:col>4</xdr:col>
      <xdr:colOff>1468619</xdr:colOff>
      <xdr:row>45</xdr:row>
      <xdr:rowOff>15612</xdr:rowOff>
    </xdr:to>
    <xdr:pic>
      <xdr:nvPicPr>
        <xdr:cNvPr id="39" name="Picture 52">
          <a:extLst>
            <a:ext uri="{FF2B5EF4-FFF2-40B4-BE49-F238E27FC236}">
              <a16:creationId xmlns:a16="http://schemas.microsoft.com/office/drawing/2014/main" id="{00000000-0008-0000-0300-000027000000}"/>
            </a:ext>
          </a:extLst>
        </xdr:cNvPr>
        <xdr:cNvPicPr/>
      </xdr:nvPicPr>
      <xdr:blipFill>
        <a:blip xmlns:r="http://schemas.openxmlformats.org/officeDocument/2006/relationships" r:embed="rId11"/>
        <a:stretch/>
      </xdr:blipFill>
      <xdr:spPr>
        <a:xfrm>
          <a:off x="3250852" y="7074478"/>
          <a:ext cx="191520" cy="188274"/>
        </a:xfrm>
        <a:prstGeom prst="rect">
          <a:avLst/>
        </a:prstGeom>
        <a:ln>
          <a:noFill/>
        </a:ln>
      </xdr:spPr>
    </xdr:pic>
    <xdr:clientData/>
  </xdr:twoCellAnchor>
  <xdr:twoCellAnchor editAs="oneCell">
    <xdr:from>
      <xdr:col>4</xdr:col>
      <xdr:colOff>1282834</xdr:colOff>
      <xdr:row>16</xdr:row>
      <xdr:rowOff>153118</xdr:rowOff>
    </xdr:from>
    <xdr:to>
      <xdr:col>4</xdr:col>
      <xdr:colOff>1470544</xdr:colOff>
      <xdr:row>18</xdr:row>
      <xdr:rowOff>20736</xdr:rowOff>
    </xdr:to>
    <xdr:pic>
      <xdr:nvPicPr>
        <xdr:cNvPr id="43" name="Picture 56">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2"/>
        <a:stretch/>
      </xdr:blipFill>
      <xdr:spPr>
        <a:xfrm>
          <a:off x="3252777" y="2750845"/>
          <a:ext cx="191520" cy="184195"/>
        </a:xfrm>
        <a:prstGeom prst="rect">
          <a:avLst/>
        </a:prstGeom>
        <a:ln>
          <a:noFill/>
        </a:ln>
      </xdr:spPr>
    </xdr:pic>
    <xdr:clientData/>
  </xdr:twoCellAnchor>
  <xdr:twoCellAnchor editAs="oneCell">
    <xdr:from>
      <xdr:col>4</xdr:col>
      <xdr:colOff>1278220</xdr:colOff>
      <xdr:row>31</xdr:row>
      <xdr:rowOff>152290</xdr:rowOff>
    </xdr:from>
    <xdr:to>
      <xdr:col>4</xdr:col>
      <xdr:colOff>1465930</xdr:colOff>
      <xdr:row>33</xdr:row>
      <xdr:rowOff>16420</xdr:rowOff>
    </xdr:to>
    <xdr:pic>
      <xdr:nvPicPr>
        <xdr:cNvPr id="44" name="Picture 60">
          <a:extLst>
            <a:ext uri="{FF2B5EF4-FFF2-40B4-BE49-F238E27FC236}">
              <a16:creationId xmlns:a16="http://schemas.microsoft.com/office/drawing/2014/main" id="{00000000-0008-0000-0300-00002C000000}"/>
            </a:ext>
          </a:extLst>
        </xdr:cNvPr>
        <xdr:cNvPicPr/>
      </xdr:nvPicPr>
      <xdr:blipFill>
        <a:blip xmlns:r="http://schemas.openxmlformats.org/officeDocument/2006/relationships" r:embed="rId12"/>
        <a:stretch/>
      </xdr:blipFill>
      <xdr:spPr>
        <a:xfrm>
          <a:off x="3248163" y="5152915"/>
          <a:ext cx="191520" cy="180706"/>
        </a:xfrm>
        <a:prstGeom prst="rect">
          <a:avLst/>
        </a:prstGeom>
        <a:ln>
          <a:noFill/>
        </a:ln>
      </xdr:spPr>
    </xdr:pic>
    <xdr:clientData/>
  </xdr:twoCellAnchor>
  <xdr:twoCellAnchor editAs="oneCell">
    <xdr:from>
      <xdr:col>7</xdr:col>
      <xdr:colOff>23760</xdr:colOff>
      <xdr:row>41</xdr:row>
      <xdr:rowOff>152290</xdr:rowOff>
    </xdr:from>
    <xdr:to>
      <xdr:col>7</xdr:col>
      <xdr:colOff>211470</xdr:colOff>
      <xdr:row>43</xdr:row>
      <xdr:rowOff>16420</xdr:rowOff>
    </xdr:to>
    <xdr:pic>
      <xdr:nvPicPr>
        <xdr:cNvPr id="45" name="Picture 61">
          <a:extLst>
            <a:ext uri="{FF2B5EF4-FFF2-40B4-BE49-F238E27FC236}">
              <a16:creationId xmlns:a16="http://schemas.microsoft.com/office/drawing/2014/main" id="{00000000-0008-0000-0300-00002D000000}"/>
            </a:ext>
          </a:extLst>
        </xdr:cNvPr>
        <xdr:cNvPicPr/>
      </xdr:nvPicPr>
      <xdr:blipFill>
        <a:blip xmlns:r="http://schemas.openxmlformats.org/officeDocument/2006/relationships" r:embed="rId12"/>
        <a:stretch/>
      </xdr:blipFill>
      <xdr:spPr>
        <a:xfrm>
          <a:off x="4071885" y="6754847"/>
          <a:ext cx="191520" cy="180706"/>
        </a:xfrm>
        <a:prstGeom prst="rect">
          <a:avLst/>
        </a:prstGeom>
        <a:ln>
          <a:noFill/>
        </a:ln>
      </xdr:spPr>
    </xdr:pic>
    <xdr:clientData/>
  </xdr:twoCellAnchor>
  <xdr:twoCellAnchor editAs="oneCell">
    <xdr:from>
      <xdr:col>4</xdr:col>
      <xdr:colOff>1285073</xdr:colOff>
      <xdr:row>11</xdr:row>
      <xdr:rowOff>150714</xdr:rowOff>
    </xdr:from>
    <xdr:to>
      <xdr:col>4</xdr:col>
      <xdr:colOff>1468973</xdr:colOff>
      <xdr:row>13</xdr:row>
      <xdr:rowOff>19523</xdr:rowOff>
    </xdr:to>
    <xdr:pic>
      <xdr:nvPicPr>
        <xdr:cNvPr id="46" name="Picture 59">
          <a:extLst>
            <a:ext uri="{FF2B5EF4-FFF2-40B4-BE49-F238E27FC236}">
              <a16:creationId xmlns:a16="http://schemas.microsoft.com/office/drawing/2014/main" id="{00000000-0008-0000-0300-00002E000000}"/>
            </a:ext>
          </a:extLst>
        </xdr:cNvPr>
        <xdr:cNvPicPr/>
      </xdr:nvPicPr>
      <xdr:blipFill>
        <a:blip xmlns:r="http://schemas.openxmlformats.org/officeDocument/2006/relationships" r:embed="rId13"/>
        <a:stretch/>
      </xdr:blipFill>
      <xdr:spPr>
        <a:xfrm>
          <a:off x="3255016" y="1947475"/>
          <a:ext cx="191520" cy="185386"/>
        </a:xfrm>
        <a:prstGeom prst="rect">
          <a:avLst/>
        </a:prstGeom>
        <a:ln>
          <a:noFill/>
        </a:ln>
      </xdr:spPr>
    </xdr:pic>
    <xdr:clientData/>
  </xdr:twoCellAnchor>
  <xdr:twoCellAnchor editAs="oneCell">
    <xdr:from>
      <xdr:col>7</xdr:col>
      <xdr:colOff>31820</xdr:colOff>
      <xdr:row>25</xdr:row>
      <xdr:rowOff>157329</xdr:rowOff>
    </xdr:from>
    <xdr:to>
      <xdr:col>7</xdr:col>
      <xdr:colOff>211910</xdr:colOff>
      <xdr:row>27</xdr:row>
      <xdr:rowOff>21820</xdr:rowOff>
    </xdr:to>
    <xdr:pic>
      <xdr:nvPicPr>
        <xdr:cNvPr id="47" name="Picture 63">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3"/>
        <a:stretch/>
      </xdr:blipFill>
      <xdr:spPr>
        <a:xfrm>
          <a:off x="4079945" y="4196795"/>
          <a:ext cx="191520" cy="181067"/>
        </a:xfrm>
        <a:prstGeom prst="rect">
          <a:avLst/>
        </a:prstGeom>
        <a:ln>
          <a:noFill/>
        </a:ln>
      </xdr:spPr>
    </xdr:pic>
    <xdr:clientData/>
  </xdr:twoCellAnchor>
  <xdr:twoCellAnchor editAs="oneCell">
    <xdr:from>
      <xdr:col>7</xdr:col>
      <xdr:colOff>26420</xdr:colOff>
      <xdr:row>35</xdr:row>
      <xdr:rowOff>157329</xdr:rowOff>
    </xdr:from>
    <xdr:to>
      <xdr:col>7</xdr:col>
      <xdr:colOff>208415</xdr:colOff>
      <xdr:row>37</xdr:row>
      <xdr:rowOff>21820</xdr:rowOff>
    </xdr:to>
    <xdr:pic>
      <xdr:nvPicPr>
        <xdr:cNvPr id="48" name="Picture 64">
          <a:extLst>
            <a:ext uri="{FF2B5EF4-FFF2-40B4-BE49-F238E27FC236}">
              <a16:creationId xmlns:a16="http://schemas.microsoft.com/office/drawing/2014/main" id="{00000000-0008-0000-0300-000030000000}"/>
            </a:ext>
          </a:extLst>
        </xdr:cNvPr>
        <xdr:cNvPicPr/>
      </xdr:nvPicPr>
      <xdr:blipFill>
        <a:blip xmlns:r="http://schemas.openxmlformats.org/officeDocument/2006/relationships" r:embed="rId13"/>
        <a:stretch/>
      </xdr:blipFill>
      <xdr:spPr>
        <a:xfrm>
          <a:off x="4074545" y="5798727"/>
          <a:ext cx="191520" cy="181067"/>
        </a:xfrm>
        <a:prstGeom prst="rect">
          <a:avLst/>
        </a:prstGeom>
        <a:ln>
          <a:noFill/>
        </a:ln>
      </xdr:spPr>
    </xdr:pic>
    <xdr:clientData/>
  </xdr:twoCellAnchor>
  <xdr:twoCellAnchor editAs="oneCell">
    <xdr:from>
      <xdr:col>4</xdr:col>
      <xdr:colOff>1280909</xdr:colOff>
      <xdr:row>17</xdr:row>
      <xdr:rowOff>150487</xdr:rowOff>
    </xdr:from>
    <xdr:to>
      <xdr:col>4</xdr:col>
      <xdr:colOff>1468619</xdr:colOff>
      <xdr:row>19</xdr:row>
      <xdr:rowOff>20691</xdr:rowOff>
    </xdr:to>
    <xdr:pic>
      <xdr:nvPicPr>
        <xdr:cNvPr id="49" name="Picture 62">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4"/>
        <a:stretch/>
      </xdr:blipFill>
      <xdr:spPr>
        <a:xfrm>
          <a:off x="3250852" y="2908407"/>
          <a:ext cx="191520" cy="181066"/>
        </a:xfrm>
        <a:prstGeom prst="rect">
          <a:avLst/>
        </a:prstGeom>
        <a:ln>
          <a:noFill/>
        </a:ln>
      </xdr:spPr>
    </xdr:pic>
    <xdr:clientData/>
  </xdr:twoCellAnchor>
  <xdr:twoCellAnchor editAs="oneCell">
    <xdr:from>
      <xdr:col>7</xdr:col>
      <xdr:colOff>28781</xdr:colOff>
      <xdr:row>27</xdr:row>
      <xdr:rowOff>152290</xdr:rowOff>
    </xdr:from>
    <xdr:to>
      <xdr:col>7</xdr:col>
      <xdr:colOff>212681</xdr:colOff>
      <xdr:row>29</xdr:row>
      <xdr:rowOff>16059</xdr:rowOff>
    </xdr:to>
    <xdr:pic>
      <xdr:nvPicPr>
        <xdr:cNvPr id="50" name="Picture 66">
          <a:extLst>
            <a:ext uri="{FF2B5EF4-FFF2-40B4-BE49-F238E27FC236}">
              <a16:creationId xmlns:a16="http://schemas.microsoft.com/office/drawing/2014/main" id="{00000000-0008-0000-0300-000032000000}"/>
            </a:ext>
          </a:extLst>
        </xdr:cNvPr>
        <xdr:cNvPicPr/>
      </xdr:nvPicPr>
      <xdr:blipFill>
        <a:blip xmlns:r="http://schemas.openxmlformats.org/officeDocument/2006/relationships" r:embed="rId14"/>
        <a:stretch/>
      </xdr:blipFill>
      <xdr:spPr>
        <a:xfrm>
          <a:off x="4076906" y="4512142"/>
          <a:ext cx="191520" cy="180346"/>
        </a:xfrm>
        <a:prstGeom prst="rect">
          <a:avLst/>
        </a:prstGeom>
        <a:ln>
          <a:noFill/>
        </a:ln>
      </xdr:spPr>
    </xdr:pic>
    <xdr:clientData/>
  </xdr:twoCellAnchor>
  <xdr:twoCellAnchor editAs="oneCell">
    <xdr:from>
      <xdr:col>7</xdr:col>
      <xdr:colOff>21581</xdr:colOff>
      <xdr:row>36</xdr:row>
      <xdr:rowOff>154080</xdr:rowOff>
    </xdr:from>
    <xdr:to>
      <xdr:col>7</xdr:col>
      <xdr:colOff>209291</xdr:colOff>
      <xdr:row>38</xdr:row>
      <xdr:rowOff>18210</xdr:rowOff>
    </xdr:to>
    <xdr:pic>
      <xdr:nvPicPr>
        <xdr:cNvPr id="51" name="Picture 67">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4"/>
        <a:stretch/>
      </xdr:blipFill>
      <xdr:spPr>
        <a:xfrm>
          <a:off x="4069706" y="5955671"/>
          <a:ext cx="191520" cy="180706"/>
        </a:xfrm>
        <a:prstGeom prst="rect">
          <a:avLst/>
        </a:prstGeom>
        <a:ln>
          <a:noFill/>
        </a:ln>
      </xdr:spPr>
    </xdr:pic>
    <xdr:clientData/>
  </xdr:twoCellAnchor>
  <xdr:twoCellAnchor editAs="oneCell">
    <xdr:from>
      <xdr:col>4</xdr:col>
      <xdr:colOff>1283059</xdr:colOff>
      <xdr:row>9</xdr:row>
      <xdr:rowOff>153361</xdr:rowOff>
    </xdr:from>
    <xdr:to>
      <xdr:col>4</xdr:col>
      <xdr:colOff>1465054</xdr:colOff>
      <xdr:row>11</xdr:row>
      <xdr:rowOff>17491</xdr:rowOff>
    </xdr:to>
    <xdr:pic>
      <xdr:nvPicPr>
        <xdr:cNvPr id="52" name="Picture 23807">
          <a:extLst>
            <a:ext uri="{FF2B5EF4-FFF2-40B4-BE49-F238E27FC236}">
              <a16:creationId xmlns:a16="http://schemas.microsoft.com/office/drawing/2014/main" id="{00000000-0008-0000-0300-000034000000}"/>
            </a:ext>
          </a:extLst>
        </xdr:cNvPr>
        <xdr:cNvPicPr/>
      </xdr:nvPicPr>
      <xdr:blipFill>
        <a:blip xmlns:r="http://schemas.openxmlformats.org/officeDocument/2006/relationships" r:embed="rId15"/>
        <a:stretch/>
      </xdr:blipFill>
      <xdr:spPr>
        <a:xfrm>
          <a:off x="3253002" y="1629736"/>
          <a:ext cx="191520" cy="180706"/>
        </a:xfrm>
        <a:prstGeom prst="rect">
          <a:avLst/>
        </a:prstGeom>
        <a:ln>
          <a:noFill/>
        </a:ln>
      </xdr:spPr>
    </xdr:pic>
    <xdr:clientData/>
  </xdr:twoCellAnchor>
  <xdr:twoCellAnchor editAs="oneCell">
    <xdr:from>
      <xdr:col>7</xdr:col>
      <xdr:colOff>30750</xdr:colOff>
      <xdr:row>21</xdr:row>
      <xdr:rowOff>149391</xdr:rowOff>
    </xdr:from>
    <xdr:to>
      <xdr:col>7</xdr:col>
      <xdr:colOff>208935</xdr:colOff>
      <xdr:row>23</xdr:row>
      <xdr:rowOff>22520</xdr:rowOff>
    </xdr:to>
    <xdr:pic>
      <xdr:nvPicPr>
        <xdr:cNvPr id="53" name="Picture 69">
          <a:extLst>
            <a:ext uri="{FF2B5EF4-FFF2-40B4-BE49-F238E27FC236}">
              <a16:creationId xmlns:a16="http://schemas.microsoft.com/office/drawing/2014/main" id="{00000000-0008-0000-0300-000035000000}"/>
            </a:ext>
          </a:extLst>
        </xdr:cNvPr>
        <xdr:cNvPicPr/>
      </xdr:nvPicPr>
      <xdr:blipFill>
        <a:blip xmlns:r="http://schemas.openxmlformats.org/officeDocument/2006/relationships" r:embed="rId15"/>
        <a:stretch/>
      </xdr:blipFill>
      <xdr:spPr>
        <a:xfrm>
          <a:off x="4078875" y="3548084"/>
          <a:ext cx="191520" cy="189706"/>
        </a:xfrm>
        <a:prstGeom prst="rect">
          <a:avLst/>
        </a:prstGeom>
        <a:ln>
          <a:noFill/>
        </a:ln>
      </xdr:spPr>
    </xdr:pic>
    <xdr:clientData/>
  </xdr:twoCellAnchor>
  <xdr:twoCellAnchor editAs="oneCell">
    <xdr:from>
      <xdr:col>7</xdr:col>
      <xdr:colOff>28061</xdr:colOff>
      <xdr:row>34</xdr:row>
      <xdr:rowOff>1825</xdr:rowOff>
    </xdr:from>
    <xdr:to>
      <xdr:col>7</xdr:col>
      <xdr:colOff>211961</xdr:colOff>
      <xdr:row>35</xdr:row>
      <xdr:rowOff>18168</xdr:rowOff>
    </xdr:to>
    <xdr:pic>
      <xdr:nvPicPr>
        <xdr:cNvPr id="54" name="Picture 70">
          <a:extLst>
            <a:ext uri="{FF2B5EF4-FFF2-40B4-BE49-F238E27FC236}">
              <a16:creationId xmlns:a16="http://schemas.microsoft.com/office/drawing/2014/main" id="{00000000-0008-0000-0300-000036000000}"/>
            </a:ext>
          </a:extLst>
        </xdr:cNvPr>
        <xdr:cNvPicPr/>
      </xdr:nvPicPr>
      <xdr:blipFill>
        <a:blip xmlns:r="http://schemas.openxmlformats.org/officeDocument/2006/relationships" r:embed="rId15"/>
        <a:stretch/>
      </xdr:blipFill>
      <xdr:spPr>
        <a:xfrm>
          <a:off x="4076186" y="5483030"/>
          <a:ext cx="191520" cy="180346"/>
        </a:xfrm>
        <a:prstGeom prst="rect">
          <a:avLst/>
        </a:prstGeom>
        <a:ln>
          <a:noFill/>
        </a:ln>
      </xdr:spPr>
    </xdr:pic>
    <xdr:clientData/>
  </xdr:twoCellAnchor>
  <xdr:twoCellAnchor editAs="oneCell">
    <xdr:from>
      <xdr:col>4</xdr:col>
      <xdr:colOff>1289058</xdr:colOff>
      <xdr:row>19</xdr:row>
      <xdr:rowOff>154081</xdr:rowOff>
    </xdr:from>
    <xdr:to>
      <xdr:col>4</xdr:col>
      <xdr:colOff>1469148</xdr:colOff>
      <xdr:row>21</xdr:row>
      <xdr:rowOff>18211</xdr:rowOff>
    </xdr:to>
    <xdr:pic>
      <xdr:nvPicPr>
        <xdr:cNvPr id="55" name="Picture 23808">
          <a:extLst>
            <a:ext uri="{FF2B5EF4-FFF2-40B4-BE49-F238E27FC236}">
              <a16:creationId xmlns:a16="http://schemas.microsoft.com/office/drawing/2014/main" id="{00000000-0008-0000-0300-000037000000}"/>
            </a:ext>
          </a:extLst>
        </xdr:cNvPr>
        <xdr:cNvPicPr/>
      </xdr:nvPicPr>
      <xdr:blipFill>
        <a:blip xmlns:r="http://schemas.openxmlformats.org/officeDocument/2006/relationships" r:embed="rId16"/>
        <a:stretch/>
      </xdr:blipFill>
      <xdr:spPr>
        <a:xfrm>
          <a:off x="3259001" y="3232388"/>
          <a:ext cx="191520" cy="180706"/>
        </a:xfrm>
        <a:prstGeom prst="rect">
          <a:avLst/>
        </a:prstGeom>
        <a:ln>
          <a:noFill/>
        </a:ln>
      </xdr:spPr>
    </xdr:pic>
    <xdr:clientData/>
  </xdr:twoCellAnchor>
  <xdr:twoCellAnchor editAs="oneCell">
    <xdr:from>
      <xdr:col>7</xdr:col>
      <xdr:colOff>27490</xdr:colOff>
      <xdr:row>30</xdr:row>
      <xdr:rowOff>149030</xdr:rowOff>
    </xdr:from>
    <xdr:to>
      <xdr:col>7</xdr:col>
      <xdr:colOff>209485</xdr:colOff>
      <xdr:row>32</xdr:row>
      <xdr:rowOff>21800</xdr:rowOff>
    </xdr:to>
    <xdr:pic>
      <xdr:nvPicPr>
        <xdr:cNvPr id="56" name="Picture 72">
          <a:extLst>
            <a:ext uri="{FF2B5EF4-FFF2-40B4-BE49-F238E27FC236}">
              <a16:creationId xmlns:a16="http://schemas.microsoft.com/office/drawing/2014/main" id="{00000000-0008-0000-0300-000038000000}"/>
            </a:ext>
          </a:extLst>
        </xdr:cNvPr>
        <xdr:cNvPicPr/>
      </xdr:nvPicPr>
      <xdr:blipFill>
        <a:blip xmlns:r="http://schemas.openxmlformats.org/officeDocument/2006/relationships" r:embed="rId16"/>
        <a:stretch/>
      </xdr:blipFill>
      <xdr:spPr>
        <a:xfrm>
          <a:off x="4075615" y="4989462"/>
          <a:ext cx="191520" cy="189346"/>
        </a:xfrm>
        <a:prstGeom prst="rect">
          <a:avLst/>
        </a:prstGeom>
        <a:ln>
          <a:noFill/>
        </a:ln>
      </xdr:spPr>
    </xdr:pic>
    <xdr:clientData/>
  </xdr:twoCellAnchor>
  <xdr:twoCellAnchor editAs="oneCell">
    <xdr:from>
      <xdr:col>7</xdr:col>
      <xdr:colOff>22835</xdr:colOff>
      <xdr:row>42</xdr:row>
      <xdr:rowOff>149751</xdr:rowOff>
    </xdr:from>
    <xdr:to>
      <xdr:col>7</xdr:col>
      <xdr:colOff>210545</xdr:colOff>
      <xdr:row>44</xdr:row>
      <xdr:rowOff>19597</xdr:rowOff>
    </xdr:to>
    <xdr:pic>
      <xdr:nvPicPr>
        <xdr:cNvPr id="57" name="Picture 73">
          <a:extLst>
            <a:ext uri="{FF2B5EF4-FFF2-40B4-BE49-F238E27FC236}">
              <a16:creationId xmlns:a16="http://schemas.microsoft.com/office/drawing/2014/main" id="{00000000-0008-0000-0300-000039000000}"/>
            </a:ext>
          </a:extLst>
        </xdr:cNvPr>
        <xdr:cNvPicPr/>
      </xdr:nvPicPr>
      <xdr:blipFill>
        <a:blip xmlns:r="http://schemas.openxmlformats.org/officeDocument/2006/relationships" r:embed="rId16"/>
        <a:stretch/>
      </xdr:blipFill>
      <xdr:spPr>
        <a:xfrm>
          <a:off x="4072602" y="6942061"/>
          <a:ext cx="191520" cy="182201"/>
        </a:xfrm>
        <a:prstGeom prst="rect">
          <a:avLst/>
        </a:prstGeom>
        <a:ln>
          <a:noFill/>
        </a:ln>
      </xdr:spPr>
    </xdr:pic>
    <xdr:clientData/>
  </xdr:twoCellAnchor>
  <xdr:twoCellAnchor editAs="oneCell">
    <xdr:from>
      <xdr:col>4</xdr:col>
      <xdr:colOff>1280909</xdr:colOff>
      <xdr:row>30</xdr:row>
      <xdr:rowOff>149390</xdr:rowOff>
    </xdr:from>
    <xdr:to>
      <xdr:col>4</xdr:col>
      <xdr:colOff>1468619</xdr:colOff>
      <xdr:row>32</xdr:row>
      <xdr:rowOff>19236</xdr:rowOff>
    </xdr:to>
    <xdr:pic>
      <xdr:nvPicPr>
        <xdr:cNvPr id="58" name="Picture 74">
          <a:extLst>
            <a:ext uri="{FF2B5EF4-FFF2-40B4-BE49-F238E27FC236}">
              <a16:creationId xmlns:a16="http://schemas.microsoft.com/office/drawing/2014/main" id="{00000000-0008-0000-0300-00003A000000}"/>
            </a:ext>
          </a:extLst>
        </xdr:cNvPr>
        <xdr:cNvPicPr/>
      </xdr:nvPicPr>
      <xdr:blipFill>
        <a:blip xmlns:r="http://schemas.openxmlformats.org/officeDocument/2006/relationships" r:embed="rId5"/>
        <a:stretch/>
      </xdr:blipFill>
      <xdr:spPr>
        <a:xfrm>
          <a:off x="3250852" y="4989822"/>
          <a:ext cx="191520" cy="180707"/>
        </a:xfrm>
        <a:prstGeom prst="rect">
          <a:avLst/>
        </a:prstGeom>
        <a:ln>
          <a:noFill/>
        </a:ln>
      </xdr:spPr>
    </xdr:pic>
    <xdr:clientData/>
  </xdr:twoCellAnchor>
  <xdr:twoCellAnchor editAs="oneCell">
    <xdr:from>
      <xdr:col>7</xdr:col>
      <xdr:colOff>32537</xdr:colOff>
      <xdr:row>14</xdr:row>
      <xdr:rowOff>16073</xdr:rowOff>
    </xdr:from>
    <xdr:to>
      <xdr:col>7</xdr:col>
      <xdr:colOff>211247</xdr:colOff>
      <xdr:row>14</xdr:row>
      <xdr:rowOff>152873</xdr:rowOff>
    </xdr:to>
    <xdr:pic>
      <xdr:nvPicPr>
        <xdr:cNvPr id="59" name="Picture 77">
          <a:extLst>
            <a:ext uri="{FF2B5EF4-FFF2-40B4-BE49-F238E27FC236}">
              <a16:creationId xmlns:a16="http://schemas.microsoft.com/office/drawing/2014/main" id="{00000000-0008-0000-0300-00003B000000}"/>
            </a:ext>
          </a:extLst>
        </xdr:cNvPr>
        <xdr:cNvPicPr/>
      </xdr:nvPicPr>
      <xdr:blipFill>
        <a:blip xmlns:r="http://schemas.openxmlformats.org/officeDocument/2006/relationships" r:embed="rId17"/>
        <a:stretch/>
      </xdr:blipFill>
      <xdr:spPr>
        <a:xfrm>
          <a:off x="4080662" y="2293414"/>
          <a:ext cx="182520" cy="136800"/>
        </a:xfrm>
        <a:prstGeom prst="rect">
          <a:avLst/>
        </a:prstGeom>
        <a:ln>
          <a:noFill/>
        </a:ln>
      </xdr:spPr>
    </xdr:pic>
    <xdr:clientData/>
  </xdr:twoCellAnchor>
  <xdr:twoCellAnchor editAs="oneCell">
    <xdr:from>
      <xdr:col>4</xdr:col>
      <xdr:colOff>1280890</xdr:colOff>
      <xdr:row>25</xdr:row>
      <xdr:rowOff>19440</xdr:rowOff>
    </xdr:from>
    <xdr:to>
      <xdr:col>4</xdr:col>
      <xdr:colOff>1467220</xdr:colOff>
      <xdr:row>25</xdr:row>
      <xdr:rowOff>167670</xdr:rowOff>
    </xdr:to>
    <xdr:pic>
      <xdr:nvPicPr>
        <xdr:cNvPr id="60" name="Picture 7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17"/>
        <a:stretch/>
      </xdr:blipFill>
      <xdr:spPr>
        <a:xfrm>
          <a:off x="3250833" y="4058906"/>
          <a:ext cx="182520" cy="136800"/>
        </a:xfrm>
        <a:prstGeom prst="rect">
          <a:avLst/>
        </a:prstGeom>
        <a:ln>
          <a:noFill/>
        </a:ln>
      </xdr:spPr>
    </xdr:pic>
    <xdr:clientData/>
  </xdr:twoCellAnchor>
  <xdr:twoCellAnchor editAs="oneCell">
    <xdr:from>
      <xdr:col>4</xdr:col>
      <xdr:colOff>1269930</xdr:colOff>
      <xdr:row>40</xdr:row>
      <xdr:rowOff>16929</xdr:rowOff>
    </xdr:from>
    <xdr:to>
      <xdr:col>4</xdr:col>
      <xdr:colOff>1463880</xdr:colOff>
      <xdr:row>40</xdr:row>
      <xdr:rowOff>153729</xdr:rowOff>
    </xdr:to>
    <xdr:pic>
      <xdr:nvPicPr>
        <xdr:cNvPr id="61" name="Picture 79">
          <a:extLst>
            <a:ext uri="{FF2B5EF4-FFF2-40B4-BE49-F238E27FC236}">
              <a16:creationId xmlns:a16="http://schemas.microsoft.com/office/drawing/2014/main" id="{00000000-0008-0000-0300-00003D000000}"/>
            </a:ext>
          </a:extLst>
        </xdr:cNvPr>
        <xdr:cNvPicPr/>
      </xdr:nvPicPr>
      <xdr:blipFill>
        <a:blip xmlns:r="http://schemas.openxmlformats.org/officeDocument/2006/relationships" r:embed="rId17"/>
        <a:stretch/>
      </xdr:blipFill>
      <xdr:spPr>
        <a:xfrm>
          <a:off x="3239873" y="6459293"/>
          <a:ext cx="182520" cy="136800"/>
        </a:xfrm>
        <a:prstGeom prst="rect">
          <a:avLst/>
        </a:prstGeom>
        <a:ln>
          <a:noFill/>
        </a:ln>
      </xdr:spPr>
    </xdr:pic>
    <xdr:clientData/>
  </xdr:twoCellAnchor>
  <xdr:twoCellAnchor editAs="oneCell">
    <xdr:from>
      <xdr:col>7</xdr:col>
      <xdr:colOff>33017</xdr:colOff>
      <xdr:row>13</xdr:row>
      <xdr:rowOff>21712</xdr:rowOff>
    </xdr:from>
    <xdr:to>
      <xdr:col>7</xdr:col>
      <xdr:colOff>211727</xdr:colOff>
      <xdr:row>13</xdr:row>
      <xdr:rowOff>131459</xdr:rowOff>
    </xdr:to>
    <xdr:pic>
      <xdr:nvPicPr>
        <xdr:cNvPr id="68" name="Picture 86">
          <a:extLst>
            <a:ext uri="{FF2B5EF4-FFF2-40B4-BE49-F238E27FC236}">
              <a16:creationId xmlns:a16="http://schemas.microsoft.com/office/drawing/2014/main" id="{00000000-0008-0000-0300-000044000000}"/>
            </a:ext>
          </a:extLst>
        </xdr:cNvPr>
        <xdr:cNvPicPr/>
      </xdr:nvPicPr>
      <xdr:blipFill>
        <a:blip xmlns:r="http://schemas.openxmlformats.org/officeDocument/2006/relationships" r:embed="rId18"/>
        <a:stretch/>
      </xdr:blipFill>
      <xdr:spPr>
        <a:xfrm>
          <a:off x="4081142" y="2138860"/>
          <a:ext cx="182520" cy="119272"/>
        </a:xfrm>
        <a:prstGeom prst="rect">
          <a:avLst/>
        </a:prstGeom>
        <a:ln>
          <a:noFill/>
        </a:ln>
      </xdr:spPr>
    </xdr:pic>
    <xdr:clientData/>
  </xdr:twoCellAnchor>
  <xdr:twoCellAnchor editAs="oneCell">
    <xdr:from>
      <xdr:col>4</xdr:col>
      <xdr:colOff>1280889</xdr:colOff>
      <xdr:row>37</xdr:row>
      <xdr:rowOff>17261</xdr:rowOff>
    </xdr:from>
    <xdr:to>
      <xdr:col>4</xdr:col>
      <xdr:colOff>1467219</xdr:colOff>
      <xdr:row>37</xdr:row>
      <xdr:rowOff>136571</xdr:rowOff>
    </xdr:to>
    <xdr:pic>
      <xdr:nvPicPr>
        <xdr:cNvPr id="69" name="Picture 87">
          <a:extLst>
            <a:ext uri="{FF2B5EF4-FFF2-40B4-BE49-F238E27FC236}">
              <a16:creationId xmlns:a16="http://schemas.microsoft.com/office/drawing/2014/main" id="{00000000-0008-0000-0300-000045000000}"/>
            </a:ext>
          </a:extLst>
        </xdr:cNvPr>
        <xdr:cNvPicPr/>
      </xdr:nvPicPr>
      <xdr:blipFill>
        <a:blip xmlns:r="http://schemas.openxmlformats.org/officeDocument/2006/relationships" r:embed="rId18"/>
        <a:stretch/>
      </xdr:blipFill>
      <xdr:spPr>
        <a:xfrm>
          <a:off x="3250832" y="5979045"/>
          <a:ext cx="182520" cy="123120"/>
        </a:xfrm>
        <a:prstGeom prst="rect">
          <a:avLst/>
        </a:prstGeom>
        <a:ln>
          <a:noFill/>
        </a:ln>
      </xdr:spPr>
    </xdr:pic>
    <xdr:clientData/>
  </xdr:twoCellAnchor>
  <xdr:twoCellAnchor editAs="oneCell">
    <xdr:from>
      <xdr:col>4</xdr:col>
      <xdr:colOff>1290138</xdr:colOff>
      <xdr:row>29</xdr:row>
      <xdr:rowOff>23030</xdr:rowOff>
    </xdr:from>
    <xdr:to>
      <xdr:col>4</xdr:col>
      <xdr:colOff>1468848</xdr:colOff>
      <xdr:row>29</xdr:row>
      <xdr:rowOff>132815</xdr:rowOff>
    </xdr:to>
    <xdr:pic>
      <xdr:nvPicPr>
        <xdr:cNvPr id="70" name="Picture 88">
          <a:extLst>
            <a:ext uri="{FF2B5EF4-FFF2-40B4-BE49-F238E27FC236}">
              <a16:creationId xmlns:a16="http://schemas.microsoft.com/office/drawing/2014/main" id="{00000000-0008-0000-0300-000046000000}"/>
            </a:ext>
          </a:extLst>
        </xdr:cNvPr>
        <xdr:cNvPicPr/>
      </xdr:nvPicPr>
      <xdr:blipFill>
        <a:blip xmlns:r="http://schemas.openxmlformats.org/officeDocument/2006/relationships" r:embed="rId18"/>
        <a:stretch/>
      </xdr:blipFill>
      <xdr:spPr>
        <a:xfrm>
          <a:off x="3260081" y="4703269"/>
          <a:ext cx="182520" cy="123120"/>
        </a:xfrm>
        <a:prstGeom prst="rect">
          <a:avLst/>
        </a:prstGeom>
        <a:ln>
          <a:noFill/>
        </a:ln>
      </xdr:spPr>
    </xdr:pic>
    <xdr:clientData/>
  </xdr:twoCellAnchor>
  <xdr:twoCellAnchor editAs="oneCell">
    <xdr:from>
      <xdr:col>7</xdr:col>
      <xdr:colOff>42611</xdr:colOff>
      <xdr:row>9</xdr:row>
      <xdr:rowOff>27710</xdr:rowOff>
    </xdr:from>
    <xdr:to>
      <xdr:col>7</xdr:col>
      <xdr:colOff>225131</xdr:colOff>
      <xdr:row>9</xdr:row>
      <xdr:rowOff>133340</xdr:rowOff>
    </xdr:to>
    <xdr:pic>
      <xdr:nvPicPr>
        <xdr:cNvPr id="71" name="Picture 89">
          <a:extLst>
            <a:ext uri="{FF2B5EF4-FFF2-40B4-BE49-F238E27FC236}">
              <a16:creationId xmlns:a16="http://schemas.microsoft.com/office/drawing/2014/main" id="{00000000-0008-0000-0300-000047000000}"/>
            </a:ext>
          </a:extLst>
        </xdr:cNvPr>
        <xdr:cNvPicPr/>
      </xdr:nvPicPr>
      <xdr:blipFill>
        <a:blip xmlns:r="http://schemas.openxmlformats.org/officeDocument/2006/relationships" r:embed="rId19"/>
        <a:stretch/>
      </xdr:blipFill>
      <xdr:spPr>
        <a:xfrm>
          <a:off x="4090736" y="1504085"/>
          <a:ext cx="182520" cy="109440"/>
        </a:xfrm>
        <a:prstGeom prst="rect">
          <a:avLst/>
        </a:prstGeom>
        <a:ln>
          <a:noFill/>
        </a:ln>
      </xdr:spPr>
    </xdr:pic>
    <xdr:clientData/>
  </xdr:twoCellAnchor>
  <xdr:twoCellAnchor editAs="oneCell">
    <xdr:from>
      <xdr:col>4</xdr:col>
      <xdr:colOff>1287248</xdr:colOff>
      <xdr:row>23</xdr:row>
      <xdr:rowOff>31680</xdr:rowOff>
    </xdr:from>
    <xdr:to>
      <xdr:col>4</xdr:col>
      <xdr:colOff>1465958</xdr:colOff>
      <xdr:row>23</xdr:row>
      <xdr:rowOff>131595</xdr:rowOff>
    </xdr:to>
    <xdr:pic>
      <xdr:nvPicPr>
        <xdr:cNvPr id="72" name="Picture 90">
          <a:extLst>
            <a:ext uri="{FF2B5EF4-FFF2-40B4-BE49-F238E27FC236}">
              <a16:creationId xmlns:a16="http://schemas.microsoft.com/office/drawing/2014/main" id="{00000000-0008-0000-0300-000048000000}"/>
            </a:ext>
          </a:extLst>
        </xdr:cNvPr>
        <xdr:cNvPicPr/>
      </xdr:nvPicPr>
      <xdr:blipFill>
        <a:blip xmlns:r="http://schemas.openxmlformats.org/officeDocument/2006/relationships" r:embed="rId19"/>
        <a:stretch/>
      </xdr:blipFill>
      <xdr:spPr>
        <a:xfrm>
          <a:off x="3257191" y="3750760"/>
          <a:ext cx="182520" cy="109440"/>
        </a:xfrm>
        <a:prstGeom prst="rect">
          <a:avLst/>
        </a:prstGeom>
        <a:ln>
          <a:noFill/>
        </a:ln>
      </xdr:spPr>
    </xdr:pic>
    <xdr:clientData/>
  </xdr:twoCellAnchor>
  <xdr:twoCellAnchor editAs="oneCell">
    <xdr:from>
      <xdr:col>4</xdr:col>
      <xdr:colOff>1287249</xdr:colOff>
      <xdr:row>34</xdr:row>
      <xdr:rowOff>27711</xdr:rowOff>
    </xdr:from>
    <xdr:to>
      <xdr:col>4</xdr:col>
      <xdr:colOff>1465959</xdr:colOff>
      <xdr:row>34</xdr:row>
      <xdr:rowOff>133341</xdr:rowOff>
    </xdr:to>
    <xdr:pic>
      <xdr:nvPicPr>
        <xdr:cNvPr id="73" name="Picture 91">
          <a:extLst>
            <a:ext uri="{FF2B5EF4-FFF2-40B4-BE49-F238E27FC236}">
              <a16:creationId xmlns:a16="http://schemas.microsoft.com/office/drawing/2014/main" id="{00000000-0008-0000-0300-000049000000}"/>
            </a:ext>
          </a:extLst>
        </xdr:cNvPr>
        <xdr:cNvPicPr/>
      </xdr:nvPicPr>
      <xdr:blipFill>
        <a:blip xmlns:r="http://schemas.openxmlformats.org/officeDocument/2006/relationships" r:embed="rId19"/>
        <a:stretch/>
      </xdr:blipFill>
      <xdr:spPr>
        <a:xfrm>
          <a:off x="3257192" y="5508916"/>
          <a:ext cx="182520" cy="109440"/>
        </a:xfrm>
        <a:prstGeom prst="rect">
          <a:avLst/>
        </a:prstGeom>
        <a:ln>
          <a:noFill/>
        </a:ln>
      </xdr:spPr>
    </xdr:pic>
    <xdr:clientData/>
  </xdr:twoCellAnchor>
  <xdr:twoCellAnchor editAs="oneCell">
    <xdr:from>
      <xdr:col>7</xdr:col>
      <xdr:colOff>38966</xdr:colOff>
      <xdr:row>12</xdr:row>
      <xdr:rowOff>12989</xdr:rowOff>
    </xdr:from>
    <xdr:to>
      <xdr:col>7</xdr:col>
      <xdr:colOff>213187</xdr:colOff>
      <xdr:row>12</xdr:row>
      <xdr:rowOff>133026</xdr:rowOff>
    </xdr:to>
    <xdr:pic>
      <xdr:nvPicPr>
        <xdr:cNvPr id="74" name="Picture 73">
          <a:extLst>
            <a:ext uri="{FF2B5EF4-FFF2-40B4-BE49-F238E27FC236}">
              <a16:creationId xmlns:a16="http://schemas.microsoft.com/office/drawing/2014/main" id="{5D2A7437-2A38-866B-8835-A9E4B90EEAC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7091" y="1969944"/>
          <a:ext cx="181841" cy="129562"/>
        </a:xfrm>
        <a:prstGeom prst="rect">
          <a:avLst/>
        </a:prstGeom>
      </xdr:spPr>
    </xdr:pic>
    <xdr:clientData/>
  </xdr:twoCellAnchor>
  <xdr:twoCellAnchor editAs="oneCell">
    <xdr:from>
      <xdr:col>7</xdr:col>
      <xdr:colOff>34640</xdr:colOff>
      <xdr:row>21</xdr:row>
      <xdr:rowOff>17320</xdr:rowOff>
    </xdr:from>
    <xdr:to>
      <xdr:col>7</xdr:col>
      <xdr:colOff>212671</xdr:colOff>
      <xdr:row>21</xdr:row>
      <xdr:rowOff>135452</xdr:rowOff>
    </xdr:to>
    <xdr:pic>
      <xdr:nvPicPr>
        <xdr:cNvPr id="75" name="Picture 74">
          <a:extLst>
            <a:ext uri="{FF2B5EF4-FFF2-40B4-BE49-F238E27FC236}">
              <a16:creationId xmlns:a16="http://schemas.microsoft.com/office/drawing/2014/main" id="{FE8EC670-172E-45E2-95F0-1DE9EAB380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2765" y="3416013"/>
          <a:ext cx="181841" cy="129562"/>
        </a:xfrm>
        <a:prstGeom prst="rect">
          <a:avLst/>
        </a:prstGeom>
      </xdr:spPr>
    </xdr:pic>
    <xdr:clientData/>
  </xdr:twoCellAnchor>
  <xdr:twoCellAnchor editAs="oneCell">
    <xdr:from>
      <xdr:col>4</xdr:col>
      <xdr:colOff>1285875</xdr:colOff>
      <xdr:row>35</xdr:row>
      <xdr:rowOff>21648</xdr:rowOff>
    </xdr:from>
    <xdr:to>
      <xdr:col>4</xdr:col>
      <xdr:colOff>1463906</xdr:colOff>
      <xdr:row>35</xdr:row>
      <xdr:rowOff>151210</xdr:rowOff>
    </xdr:to>
    <xdr:pic>
      <xdr:nvPicPr>
        <xdr:cNvPr id="76" name="Picture 75">
          <a:extLst>
            <a:ext uri="{FF2B5EF4-FFF2-40B4-BE49-F238E27FC236}">
              <a16:creationId xmlns:a16="http://schemas.microsoft.com/office/drawing/2014/main" id="{DD5BCD46-2E55-4EB2-ADE4-D301CFDA32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255818" y="5663046"/>
          <a:ext cx="181841" cy="129562"/>
        </a:xfrm>
        <a:prstGeom prst="rect">
          <a:avLst/>
        </a:prstGeom>
      </xdr:spPr>
    </xdr:pic>
    <xdr:clientData/>
  </xdr:twoCellAnchor>
  <xdr:twoCellAnchor editAs="oneCell">
    <xdr:from>
      <xdr:col>4</xdr:col>
      <xdr:colOff>1298863</xdr:colOff>
      <xdr:row>14</xdr:row>
      <xdr:rowOff>21648</xdr:rowOff>
    </xdr:from>
    <xdr:to>
      <xdr:col>4</xdr:col>
      <xdr:colOff>1463905</xdr:colOff>
      <xdr:row>14</xdr:row>
      <xdr:rowOff>131705</xdr:rowOff>
    </xdr:to>
    <xdr:pic>
      <xdr:nvPicPr>
        <xdr:cNvPr id="78" name="Picture 77">
          <a:extLst>
            <a:ext uri="{FF2B5EF4-FFF2-40B4-BE49-F238E27FC236}">
              <a16:creationId xmlns:a16="http://schemas.microsoft.com/office/drawing/2014/main" id="{95B1FDD5-2490-9F97-189F-F9E02C1E4E4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8806" y="2298989"/>
          <a:ext cx="168852" cy="123392"/>
        </a:xfrm>
        <a:prstGeom prst="rect">
          <a:avLst/>
        </a:prstGeom>
      </xdr:spPr>
    </xdr:pic>
    <xdr:clientData/>
  </xdr:twoCellAnchor>
  <xdr:twoCellAnchor editAs="oneCell">
    <xdr:from>
      <xdr:col>7</xdr:col>
      <xdr:colOff>30310</xdr:colOff>
      <xdr:row>39</xdr:row>
      <xdr:rowOff>21650</xdr:rowOff>
    </xdr:from>
    <xdr:to>
      <xdr:col>7</xdr:col>
      <xdr:colOff>206782</xdr:colOff>
      <xdr:row>39</xdr:row>
      <xdr:rowOff>131707</xdr:rowOff>
    </xdr:to>
    <xdr:pic>
      <xdr:nvPicPr>
        <xdr:cNvPr id="79" name="Picture 78">
          <a:extLst>
            <a:ext uri="{FF2B5EF4-FFF2-40B4-BE49-F238E27FC236}">
              <a16:creationId xmlns:a16="http://schemas.microsoft.com/office/drawing/2014/main" id="{A9086C05-BF40-4F03-B379-AD4D6F5D2AA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078435" y="6303820"/>
          <a:ext cx="168852" cy="123392"/>
        </a:xfrm>
        <a:prstGeom prst="rect">
          <a:avLst/>
        </a:prstGeom>
      </xdr:spPr>
    </xdr:pic>
    <xdr:clientData/>
  </xdr:twoCellAnchor>
  <xdr:twoCellAnchor editAs="oneCell">
    <xdr:from>
      <xdr:col>4</xdr:col>
      <xdr:colOff>1290205</xdr:colOff>
      <xdr:row>24</xdr:row>
      <xdr:rowOff>21648</xdr:rowOff>
    </xdr:from>
    <xdr:to>
      <xdr:col>4</xdr:col>
      <xdr:colOff>1468582</xdr:colOff>
      <xdr:row>24</xdr:row>
      <xdr:rowOff>131705</xdr:rowOff>
    </xdr:to>
    <xdr:pic>
      <xdr:nvPicPr>
        <xdr:cNvPr id="80" name="Picture 79">
          <a:extLst>
            <a:ext uri="{FF2B5EF4-FFF2-40B4-BE49-F238E27FC236}">
              <a16:creationId xmlns:a16="http://schemas.microsoft.com/office/drawing/2014/main" id="{874CE55D-FEB9-4F42-A674-4894B5E5A9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0148" y="3900921"/>
          <a:ext cx="168852" cy="123392"/>
        </a:xfrm>
        <a:prstGeom prst="rect">
          <a:avLst/>
        </a:prstGeom>
      </xdr:spPr>
    </xdr:pic>
    <xdr:clientData/>
  </xdr:twoCellAnchor>
  <xdr:twoCellAnchor editAs="oneCell">
    <xdr:from>
      <xdr:col>4</xdr:col>
      <xdr:colOff>1294534</xdr:colOff>
      <xdr:row>15</xdr:row>
      <xdr:rowOff>25980</xdr:rowOff>
    </xdr:from>
    <xdr:to>
      <xdr:col>4</xdr:col>
      <xdr:colOff>1468255</xdr:colOff>
      <xdr:row>15</xdr:row>
      <xdr:rowOff>134736</xdr:rowOff>
    </xdr:to>
    <xdr:pic>
      <xdr:nvPicPr>
        <xdr:cNvPr id="82" name="Picture 81">
          <a:extLst>
            <a:ext uri="{FF2B5EF4-FFF2-40B4-BE49-F238E27FC236}">
              <a16:creationId xmlns:a16="http://schemas.microsoft.com/office/drawing/2014/main" id="{83CFEC48-A653-1CF8-E6CD-F4743125C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264477" y="2463514"/>
          <a:ext cx="169911" cy="112566"/>
        </a:xfrm>
        <a:prstGeom prst="rect">
          <a:avLst/>
        </a:prstGeom>
      </xdr:spPr>
    </xdr:pic>
    <xdr:clientData/>
  </xdr:twoCellAnchor>
  <xdr:twoCellAnchor editAs="oneCell">
    <xdr:from>
      <xdr:col>7</xdr:col>
      <xdr:colOff>34640</xdr:colOff>
      <xdr:row>24</xdr:row>
      <xdr:rowOff>21650</xdr:rowOff>
    </xdr:from>
    <xdr:to>
      <xdr:col>7</xdr:col>
      <xdr:colOff>208361</xdr:colOff>
      <xdr:row>24</xdr:row>
      <xdr:rowOff>130406</xdr:rowOff>
    </xdr:to>
    <xdr:pic>
      <xdr:nvPicPr>
        <xdr:cNvPr id="83" name="Picture 82">
          <a:extLst>
            <a:ext uri="{FF2B5EF4-FFF2-40B4-BE49-F238E27FC236}">
              <a16:creationId xmlns:a16="http://schemas.microsoft.com/office/drawing/2014/main" id="{A1F29BBC-B3D7-4AD5-A73E-D035C22505D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2765" y="3900923"/>
          <a:ext cx="169911" cy="112566"/>
        </a:xfrm>
        <a:prstGeom prst="rect">
          <a:avLst/>
        </a:prstGeom>
      </xdr:spPr>
    </xdr:pic>
    <xdr:clientData/>
  </xdr:twoCellAnchor>
  <xdr:twoCellAnchor editAs="oneCell">
    <xdr:from>
      <xdr:col>7</xdr:col>
      <xdr:colOff>25980</xdr:colOff>
      <xdr:row>40</xdr:row>
      <xdr:rowOff>25980</xdr:rowOff>
    </xdr:from>
    <xdr:to>
      <xdr:col>7</xdr:col>
      <xdr:colOff>207321</xdr:colOff>
      <xdr:row>40</xdr:row>
      <xdr:rowOff>134736</xdr:rowOff>
    </xdr:to>
    <xdr:pic>
      <xdr:nvPicPr>
        <xdr:cNvPr id="84" name="Picture 83">
          <a:extLst>
            <a:ext uri="{FF2B5EF4-FFF2-40B4-BE49-F238E27FC236}">
              <a16:creationId xmlns:a16="http://schemas.microsoft.com/office/drawing/2014/main" id="{7DA35291-B2D3-432D-B463-B5E3CC4E169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074105" y="6468344"/>
          <a:ext cx="169911" cy="112566"/>
        </a:xfrm>
        <a:prstGeom prst="rect">
          <a:avLst/>
        </a:prstGeom>
      </xdr:spPr>
    </xdr:pic>
    <xdr:clientData/>
  </xdr:twoCellAnchor>
  <xdr:twoCellAnchor editAs="oneCell">
    <xdr:from>
      <xdr:col>4</xdr:col>
      <xdr:colOff>1285876</xdr:colOff>
      <xdr:row>16</xdr:row>
      <xdr:rowOff>21649</xdr:rowOff>
    </xdr:from>
    <xdr:to>
      <xdr:col>4</xdr:col>
      <xdr:colOff>1463907</xdr:colOff>
      <xdr:row>16</xdr:row>
      <xdr:rowOff>132594</xdr:rowOff>
    </xdr:to>
    <xdr:pic>
      <xdr:nvPicPr>
        <xdr:cNvPr id="86" name="Picture 85">
          <a:extLst>
            <a:ext uri="{FF2B5EF4-FFF2-40B4-BE49-F238E27FC236}">
              <a16:creationId xmlns:a16="http://schemas.microsoft.com/office/drawing/2014/main" id="{4CB85781-DDCB-5C4C-03DB-C8519A8B53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55819" y="2619376"/>
          <a:ext cx="181841" cy="120470"/>
        </a:xfrm>
        <a:prstGeom prst="rect">
          <a:avLst/>
        </a:prstGeom>
      </xdr:spPr>
    </xdr:pic>
    <xdr:clientData/>
  </xdr:twoCellAnchor>
  <xdr:twoCellAnchor editAs="oneCell">
    <xdr:from>
      <xdr:col>7</xdr:col>
      <xdr:colOff>25980</xdr:colOff>
      <xdr:row>32</xdr:row>
      <xdr:rowOff>17320</xdr:rowOff>
    </xdr:from>
    <xdr:to>
      <xdr:col>7</xdr:col>
      <xdr:colOff>211631</xdr:colOff>
      <xdr:row>32</xdr:row>
      <xdr:rowOff>133980</xdr:rowOff>
    </xdr:to>
    <xdr:pic>
      <xdr:nvPicPr>
        <xdr:cNvPr id="87" name="Picture 86">
          <a:extLst>
            <a:ext uri="{FF2B5EF4-FFF2-40B4-BE49-F238E27FC236}">
              <a16:creationId xmlns:a16="http://schemas.microsoft.com/office/drawing/2014/main" id="{8D07F90E-AA02-481A-ADF4-75FC63D7C92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4105" y="5178138"/>
          <a:ext cx="181841" cy="120470"/>
        </a:xfrm>
        <a:prstGeom prst="rect">
          <a:avLst/>
        </a:prstGeom>
      </xdr:spPr>
    </xdr:pic>
    <xdr:clientData/>
  </xdr:twoCellAnchor>
  <xdr:twoCellAnchor editAs="oneCell">
    <xdr:from>
      <xdr:col>7</xdr:col>
      <xdr:colOff>30307</xdr:colOff>
      <xdr:row>41</xdr:row>
      <xdr:rowOff>21648</xdr:rowOff>
    </xdr:from>
    <xdr:to>
      <xdr:col>7</xdr:col>
      <xdr:colOff>208338</xdr:colOff>
      <xdr:row>41</xdr:row>
      <xdr:rowOff>132593</xdr:rowOff>
    </xdr:to>
    <xdr:pic>
      <xdr:nvPicPr>
        <xdr:cNvPr id="88" name="Picture 87">
          <a:extLst>
            <a:ext uri="{FF2B5EF4-FFF2-40B4-BE49-F238E27FC236}">
              <a16:creationId xmlns:a16="http://schemas.microsoft.com/office/drawing/2014/main" id="{24F2606E-F59E-4893-9B0D-E41D0476186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8432" y="6624205"/>
          <a:ext cx="181841" cy="120470"/>
        </a:xfrm>
        <a:prstGeom prst="rect">
          <a:avLst/>
        </a:prstGeom>
      </xdr:spPr>
    </xdr:pic>
    <xdr:clientData/>
  </xdr:twoCellAnchor>
  <xdr:twoCellAnchor editAs="oneCell">
    <xdr:from>
      <xdr:col>7</xdr:col>
      <xdr:colOff>34638</xdr:colOff>
      <xdr:row>19</xdr:row>
      <xdr:rowOff>25978</xdr:rowOff>
    </xdr:from>
    <xdr:to>
      <xdr:col>7</xdr:col>
      <xdr:colOff>211630</xdr:colOff>
      <xdr:row>19</xdr:row>
      <xdr:rowOff>136901</xdr:rowOff>
    </xdr:to>
    <xdr:pic>
      <xdr:nvPicPr>
        <xdr:cNvPr id="90" name="Picture 89">
          <a:extLst>
            <a:ext uri="{FF2B5EF4-FFF2-40B4-BE49-F238E27FC236}">
              <a16:creationId xmlns:a16="http://schemas.microsoft.com/office/drawing/2014/main" id="{161FB1B1-125A-393C-3837-0855E9481BD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082763" y="3104285"/>
          <a:ext cx="173182" cy="114733"/>
        </a:xfrm>
        <a:prstGeom prst="rect">
          <a:avLst/>
        </a:prstGeom>
      </xdr:spPr>
    </xdr:pic>
    <xdr:clientData/>
  </xdr:twoCellAnchor>
  <xdr:twoCellAnchor editAs="oneCell">
    <xdr:from>
      <xdr:col>4</xdr:col>
      <xdr:colOff>1294535</xdr:colOff>
      <xdr:row>30</xdr:row>
      <xdr:rowOff>21648</xdr:rowOff>
    </xdr:from>
    <xdr:to>
      <xdr:col>4</xdr:col>
      <xdr:colOff>1463907</xdr:colOff>
      <xdr:row>30</xdr:row>
      <xdr:rowOff>132571</xdr:rowOff>
    </xdr:to>
    <xdr:pic>
      <xdr:nvPicPr>
        <xdr:cNvPr id="91" name="Picture 90">
          <a:extLst>
            <a:ext uri="{FF2B5EF4-FFF2-40B4-BE49-F238E27FC236}">
              <a16:creationId xmlns:a16="http://schemas.microsoft.com/office/drawing/2014/main" id="{8E1BDADA-CA22-4B45-9B0C-736DAB24BD6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64478" y="4862080"/>
          <a:ext cx="173182" cy="114733"/>
        </a:xfrm>
        <a:prstGeom prst="rect">
          <a:avLst/>
        </a:prstGeom>
      </xdr:spPr>
    </xdr:pic>
    <xdr:clientData/>
  </xdr:twoCellAnchor>
  <xdr:twoCellAnchor editAs="oneCell">
    <xdr:from>
      <xdr:col>4</xdr:col>
      <xdr:colOff>1285875</xdr:colOff>
      <xdr:row>43</xdr:row>
      <xdr:rowOff>25977</xdr:rowOff>
    </xdr:from>
    <xdr:to>
      <xdr:col>4</xdr:col>
      <xdr:colOff>1468582</xdr:colOff>
      <xdr:row>43</xdr:row>
      <xdr:rowOff>136900</xdr:rowOff>
    </xdr:to>
    <xdr:pic>
      <xdr:nvPicPr>
        <xdr:cNvPr id="92" name="Picture 91">
          <a:extLst>
            <a:ext uri="{FF2B5EF4-FFF2-40B4-BE49-F238E27FC236}">
              <a16:creationId xmlns:a16="http://schemas.microsoft.com/office/drawing/2014/main" id="{5609D93F-6D85-44DB-B105-CF21B531C90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55818" y="6948920"/>
          <a:ext cx="173182" cy="114733"/>
        </a:xfrm>
        <a:prstGeom prst="rect">
          <a:avLst/>
        </a:prstGeom>
      </xdr:spPr>
    </xdr:pic>
    <xdr:clientData/>
  </xdr:twoCellAnchor>
  <xdr:twoCellAnchor editAs="oneCell">
    <xdr:from>
      <xdr:col>1</xdr:col>
      <xdr:colOff>316230</xdr:colOff>
      <xdr:row>0</xdr:row>
      <xdr:rowOff>64771</xdr:rowOff>
    </xdr:from>
    <xdr:to>
      <xdr:col>3</xdr:col>
      <xdr:colOff>435876</xdr:colOff>
      <xdr:row>6</xdr:row>
      <xdr:rowOff>142876</xdr:rowOff>
    </xdr:to>
    <xdr:pic>
      <xdr:nvPicPr>
        <xdr:cNvPr id="8" name="Afbeelding 7">
          <a:extLst>
            <a:ext uri="{FF2B5EF4-FFF2-40B4-BE49-F238E27FC236}">
              <a16:creationId xmlns:a16="http://schemas.microsoft.com/office/drawing/2014/main" id="{4BE47C27-4209-40FA-8DE3-45FC088370B5}"/>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8142"/>
        <a:stretch/>
      </xdr:blipFill>
      <xdr:spPr bwMode="auto">
        <a:xfrm>
          <a:off x="649605" y="64771"/>
          <a:ext cx="1310271" cy="107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281940</xdr:colOff>
      <xdr:row>0</xdr:row>
      <xdr:rowOff>85725</xdr:rowOff>
    </xdr:from>
    <xdr:to>
      <xdr:col>19</xdr:col>
      <xdr:colOff>473976</xdr:colOff>
      <xdr:row>6</xdr:row>
      <xdr:rowOff>142875</xdr:rowOff>
    </xdr:to>
    <xdr:pic>
      <xdr:nvPicPr>
        <xdr:cNvPr id="9" name="Afbeelding 8">
          <a:extLst>
            <a:ext uri="{FF2B5EF4-FFF2-40B4-BE49-F238E27FC236}">
              <a16:creationId xmlns:a16="http://schemas.microsoft.com/office/drawing/2014/main" id="{17B7ACD0-910C-467F-8399-5CA27E8EC739}"/>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9410"/>
        <a:stretch/>
      </xdr:blipFill>
      <xdr:spPr bwMode="auto">
        <a:xfrm>
          <a:off x="9168765" y="85725"/>
          <a:ext cx="1306461"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91440</xdr:colOff>
      <xdr:row>0</xdr:row>
      <xdr:rowOff>449580</xdr:rowOff>
    </xdr:from>
    <xdr:to>
      <xdr:col>7</xdr:col>
      <xdr:colOff>1401711</xdr:colOff>
      <xdr:row>6</xdr:row>
      <xdr:rowOff>144780</xdr:rowOff>
    </xdr:to>
    <xdr:pic>
      <xdr:nvPicPr>
        <xdr:cNvPr id="10" name="Afbeelding 9">
          <a:extLst>
            <a:ext uri="{FF2B5EF4-FFF2-40B4-BE49-F238E27FC236}">
              <a16:creationId xmlns:a16="http://schemas.microsoft.com/office/drawing/2014/main" id="{B8D725DA-F6E8-43FF-8797-E4440299D27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t="60000"/>
        <a:stretch/>
      </xdr:blipFill>
      <xdr:spPr bwMode="auto">
        <a:xfrm>
          <a:off x="4253865" y="449580"/>
          <a:ext cx="1310271"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9_KENNIS/rapportering/9%20Persoonlijke%20mappen/Jonathan%20Platteau/Pronostieken/EK%2021/EK21_Berek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
      <sheetName val="Spelregels"/>
      <sheetName val="Settings"/>
      <sheetName val="3rd Places"/>
      <sheetName val="UEFA EURO 2021"/>
      <sheetName val="Blad1"/>
      <sheetName val="Pronostiek"/>
      <sheetName val="Berekening"/>
      <sheetName val="Overzicht pronostieken"/>
      <sheetName val="stand"/>
    </sheetNames>
    <sheetDataSet>
      <sheetData sheetId="0">
        <row r="1">
          <cell r="A1" t="str">
            <v>English</v>
          </cell>
          <cell r="B1" t="str">
            <v>Albanian</v>
          </cell>
          <cell r="C1" t="str">
            <v>Arabic</v>
          </cell>
          <cell r="D1" t="str">
            <v>Armenian</v>
          </cell>
          <cell r="E1" t="str">
            <v>Azerbaijan</v>
          </cell>
          <cell r="F1" t="str">
            <v>Bulgarian</v>
          </cell>
          <cell r="G1" t="str">
            <v>Català</v>
          </cell>
          <cell r="H1" t="str">
            <v>Chinese (Simplified)</v>
          </cell>
          <cell r="I1" t="str">
            <v>Chinese (Traditional)</v>
          </cell>
          <cell r="J1" t="str">
            <v>Croatian</v>
          </cell>
          <cell r="K1" t="str">
            <v>Czech</v>
          </cell>
          <cell r="L1" t="str">
            <v>Danish</v>
          </cell>
          <cell r="M1" t="str">
            <v>Dutch</v>
          </cell>
          <cell r="N1" t="str">
            <v>French</v>
          </cell>
          <cell r="O1" t="str">
            <v>Georgian</v>
          </cell>
          <cell r="P1" t="str">
            <v>German</v>
          </cell>
          <cell r="Q1" t="str">
            <v>Greek</v>
          </cell>
          <cell r="R1" t="str">
            <v>Hebrew</v>
          </cell>
          <cell r="S1" t="str">
            <v>Hungarian</v>
          </cell>
          <cell r="T1" t="str">
            <v>Indonesia</v>
          </cell>
          <cell r="U1" t="str">
            <v>Icelandic</v>
          </cell>
          <cell r="V1" t="str">
            <v>Italian</v>
          </cell>
          <cell r="W1" t="str">
            <v>Korean</v>
          </cell>
          <cell r="X1" t="str">
            <v>Lithuanian</v>
          </cell>
          <cell r="Y1" t="str">
            <v>Macedonian</v>
          </cell>
          <cell r="Z1" t="str">
            <v>Maltese</v>
          </cell>
          <cell r="AA1" t="str">
            <v>Norwegian</v>
          </cell>
          <cell r="AB1" t="str">
            <v>Persian</v>
          </cell>
          <cell r="AC1" t="str">
            <v>Polish</v>
          </cell>
          <cell r="AD1" t="str">
            <v>Portuguese</v>
          </cell>
          <cell r="AE1" t="str">
            <v>Romanian</v>
          </cell>
          <cell r="AF1" t="str">
            <v>Serbian</v>
          </cell>
          <cell r="AG1" t="str">
            <v>Slovak</v>
          </cell>
          <cell r="AH1" t="str">
            <v>Slovenian</v>
          </cell>
          <cell r="AI1" t="str">
            <v>Spanish</v>
          </cell>
          <cell r="AJ1" t="str">
            <v>Swedish</v>
          </cell>
          <cell r="AK1" t="str">
            <v>Thai</v>
          </cell>
          <cell r="AL1" t="str">
            <v>Turkish</v>
          </cell>
          <cell r="AM1" t="str">
            <v>Vietnamese</v>
          </cell>
          <cell r="AN1" t="str">
            <v>Ukrainian</v>
          </cell>
          <cell r="AO1" t="str">
            <v>Urdu</v>
          </cell>
        </row>
        <row r="2">
          <cell r="A2" t="str">
            <v>UEFA EURO 2021 Tournament Schedule</v>
          </cell>
          <cell r="B2" t="str">
            <v>UEFA Euro 2021 Tournament Schedule</v>
          </cell>
          <cell r="C2" t="str">
            <v>كأس الأمم الأوروبية 2021 جدول البطولة</v>
          </cell>
          <cell r="D2" t="str">
            <v>UEFA EURO 2021-մրցաշար ժամանակացույց</v>
          </cell>
          <cell r="E2" t="str">
            <v>UEFA EURO 2021 Tournament cədvəli</v>
          </cell>
          <cell r="F2" t="str">
            <v>Европейско първенство по футбол 2021 График на турнира</v>
          </cell>
          <cell r="G2" t="str">
            <v>UEFA EURO 2021 calendari de tornejos</v>
          </cell>
          <cell r="H2" t="str">
            <v>2021年欧洲足球锦标赛锦标赛时间表</v>
          </cell>
          <cell r="I2" t="str">
            <v>2021年歐洲足球錦標賽錦標賽時間表</v>
          </cell>
          <cell r="J2" t="str">
            <v>UEFA EURO 2021 Raspored turnira</v>
          </cell>
          <cell r="K2" t="str">
            <v>UEFA EURO 2021 Plán turnajů</v>
          </cell>
          <cell r="L2" t="str">
            <v>UEFA EURO 2021 Tournament Schedule</v>
          </cell>
          <cell r="M2" t="str">
            <v>UEFA EURO 2021 Toernooi schema</v>
          </cell>
          <cell r="N2" t="str">
            <v>UEFA EURO 2021</v>
          </cell>
          <cell r="O2" t="str">
            <v>UEFA EURO 2021 ტურნირი განრიგი</v>
          </cell>
          <cell r="P2" t="str">
            <v>UEFA EURO 2021 Turnierplan</v>
          </cell>
          <cell r="Q2" t="str">
            <v>UEFA EURO 2021 Πρόγραμμα Τουρνουά</v>
          </cell>
          <cell r="R2" t="str">
            <v>EURO אופ"א לו"ז טורניר 2021</v>
          </cell>
          <cell r="S2" t="str">
            <v>UEFA EURO 2021 versenyek időbeosztása</v>
          </cell>
          <cell r="T2" t="str">
            <v>UEFA EURO 2021 Jadwal Turnamen</v>
          </cell>
          <cell r="U2" t="str">
            <v>UEFA EURO 2021 Tournament Dagskrá</v>
          </cell>
          <cell r="V2" t="str">
            <v>UEFA EURO 2021 Tournament Schedule</v>
          </cell>
          <cell r="W2" t="str">
            <v>UEFA 유로​​ 2021 토너먼트 일정</v>
          </cell>
          <cell r="X2" t="str">
            <v>EURO 2021 turnyro tvarkaraštis</v>
          </cell>
          <cell r="Y2" t="str">
            <v>УЕФА Евро 2021 Распоред турнир</v>
          </cell>
          <cell r="Z2" t="str">
            <v>UEFA EURO 2021 Tournament Iskeda</v>
          </cell>
          <cell r="AA2" t="str">
            <v>UEFA EURO 2021 Turneringsskjema</v>
          </cell>
          <cell r="AB2" t="str">
            <v>UEFA EURO 2021 برنامه مسابقات</v>
          </cell>
          <cell r="AC2" t="str">
            <v>UEFA EURO 2021 Harmonogram turnieju</v>
          </cell>
          <cell r="AD2" t="str">
            <v>UEFA EURO 2021 Calendário de Torneios</v>
          </cell>
          <cell r="AE2" t="str">
            <v>UEFA EURO 2021 Programul turneelor</v>
          </cell>
          <cell r="AF2" t="str">
            <v>ЕВРО 2021 Турнир Распоред</v>
          </cell>
          <cell r="AG2" t="str">
            <v>UEFA EURO 2021 Plán turnajov</v>
          </cell>
          <cell r="AH2" t="str">
            <v>UEFA EURO 2021 turnir Razpored</v>
          </cell>
          <cell r="AI2" t="str">
            <v>UEFA EURO 2021 calendario de torneos</v>
          </cell>
          <cell r="AJ2" t="str">
            <v>UEFA EURO 2021 turneringsschemat</v>
          </cell>
          <cell r="AK2" t="str">
            <v>ฟุตบอลชิงแชมป์แห่งชาติยุโรป 2021 ตารางการแข่งขัน</v>
          </cell>
          <cell r="AL2" t="str">
            <v>2021 Avrupa Futbol Şampiyonası Turnuva Takvimi</v>
          </cell>
          <cell r="AM2" t="str">
            <v>UEFA EURO 2021 Lịch trình giải đấu</v>
          </cell>
          <cell r="AN2" t="str">
            <v>ЄВРО-2021 Розклад турнірів</v>
          </cell>
          <cell r="AO2" t="str">
            <v>UEFA EURO 2021 ٹورنامنٹ کے شیڈول</v>
          </cell>
        </row>
        <row r="3">
          <cell r="A3" t="str">
            <v>Group Stage</v>
          </cell>
          <cell r="B3" t="str">
            <v>Grupet</v>
          </cell>
          <cell r="C3" t="str">
            <v>الدور الأول</v>
          </cell>
          <cell r="D3" t="str">
            <v>Խմբային փուլ</v>
          </cell>
          <cell r="E3" t="str">
            <v>Qrup Mərhələsi</v>
          </cell>
          <cell r="F3" t="str">
            <v>Групова фаза</v>
          </cell>
          <cell r="G3" t="str">
            <v>Fase de grups</v>
          </cell>
          <cell r="H3" t="str">
            <v>小组赛阶段</v>
          </cell>
          <cell r="I3" t="str">
            <v>分組賽</v>
          </cell>
          <cell r="J3" t="str">
            <v>Prvi krug</v>
          </cell>
          <cell r="K3" t="str">
            <v>Základní skupiny</v>
          </cell>
          <cell r="L3" t="str">
            <v>Gruppespil</v>
          </cell>
          <cell r="M3" t="str">
            <v>Groepsfase</v>
          </cell>
          <cell r="N3" t="str">
            <v>Phase de groupes</v>
          </cell>
          <cell r="O3" t="str">
            <v>ჯგუფური ეტაპი</v>
          </cell>
          <cell r="P3" t="str">
            <v>Gruppenphase</v>
          </cell>
          <cell r="Q3" t="str">
            <v>Φάση Ομίλων</v>
          </cell>
          <cell r="R3" t="str">
            <v>שלב הבתים</v>
          </cell>
          <cell r="S3" t="str">
            <v>Csoportkörök</v>
          </cell>
          <cell r="T3" t="str">
            <v>Babak Kualifikasi</v>
          </cell>
          <cell r="U3" t="str">
            <v>Riðlakeppnin</v>
          </cell>
          <cell r="V3" t="str">
            <v>Fase a gironi</v>
          </cell>
          <cell r="W3" t="str">
            <v>조별 리그</v>
          </cell>
          <cell r="X3" t="str">
            <v>Grupės Etapas</v>
          </cell>
          <cell r="Y3" t="str">
            <v>Фаза по групи</v>
          </cell>
          <cell r="Z3" t="str">
            <v>Fażi tal-Gruppi</v>
          </cell>
          <cell r="AA3" t="str">
            <v>Gruppespill</v>
          </cell>
          <cell r="AB3" t="str">
            <v>مرحله گروهی</v>
          </cell>
          <cell r="AC3" t="str">
            <v>Faza Grupowa</v>
          </cell>
          <cell r="AD3" t="str">
            <v>Fase de grupos</v>
          </cell>
          <cell r="AE3" t="str">
            <v>Faza Grupelor</v>
          </cell>
          <cell r="AF3" t="str">
            <v>Grupno takmičenje</v>
          </cell>
          <cell r="AG3" t="str">
            <v>Skupinová fáza</v>
          </cell>
          <cell r="AH3" t="str">
            <v>Skupinski del</v>
          </cell>
          <cell r="AI3" t="str">
            <v>Fase de grupos</v>
          </cell>
          <cell r="AJ3" t="str">
            <v>Gruppspel</v>
          </cell>
          <cell r="AK3" t="str">
            <v>รอบแรก</v>
          </cell>
          <cell r="AL3" t="str">
            <v>Grup Aşaması</v>
          </cell>
          <cell r="AM3" t="str">
            <v>Vòng Bảng</v>
          </cell>
          <cell r="AN3" t="str">
            <v>Груповий етап</v>
          </cell>
          <cell r="AO3" t="str">
            <v>گروپ بندی</v>
          </cell>
        </row>
        <row r="4">
          <cell r="A4" t="str">
            <v>Round of 16</v>
          </cell>
          <cell r="B4" t="str">
            <v>Rundi I 16</v>
          </cell>
          <cell r="C4" t="str">
            <v>دور الستة عشر</v>
          </cell>
          <cell r="D4" t="str">
            <v>1/8 Եզրափակիչ</v>
          </cell>
          <cell r="E4" t="str">
            <v>16-da bir raund</v>
          </cell>
          <cell r="F4" t="str">
            <v>1/8 - финали</v>
          </cell>
          <cell r="G4" t="str">
            <v>Vuitens de final</v>
          </cell>
          <cell r="H4" t="str">
            <v>16强赛</v>
          </cell>
          <cell r="I4" t="str">
            <v>十六強</v>
          </cell>
          <cell r="J4" t="str">
            <v>Drugi krug</v>
          </cell>
          <cell r="K4" t="str">
            <v>Osmifinále</v>
          </cell>
          <cell r="L4" t="str">
            <v>Runde af 16</v>
          </cell>
          <cell r="M4" t="str">
            <v>Achtste finales</v>
          </cell>
          <cell r="N4" t="str">
            <v>1/8e de finales</v>
          </cell>
          <cell r="O4" t="str">
            <v>მერვედფინალი</v>
          </cell>
          <cell r="P4" t="str">
            <v>Achtelfinale</v>
          </cell>
          <cell r="Q4" t="str">
            <v>Φάση των 16</v>
          </cell>
          <cell r="R4" t="str">
            <v>שמינית גמר</v>
          </cell>
          <cell r="S4" t="str">
            <v>Nyolcaddöntők</v>
          </cell>
          <cell r="T4" t="str">
            <v>Per Delapan Final</v>
          </cell>
          <cell r="U4" t="str">
            <v>16 liða úrslit</v>
          </cell>
          <cell r="V4" t="str">
            <v>Ottavi di finale</v>
          </cell>
          <cell r="W4" t="str">
            <v>16강전</v>
          </cell>
          <cell r="X4" t="str">
            <v>16-tuko Raundas</v>
          </cell>
          <cell r="Y4" t="str">
            <v>1/8 финале</v>
          </cell>
          <cell r="Z4" t="str">
            <v>L-Aħħar Sittax</v>
          </cell>
          <cell r="AA4" t="str">
            <v>8-dels finale</v>
          </cell>
          <cell r="AB4" t="str">
            <v xml:space="preserve"> یک هشتم نهائی</v>
          </cell>
          <cell r="AC4" t="str">
            <v>1/8 Finału</v>
          </cell>
          <cell r="AD4" t="str">
            <v>Oitavos de Final</v>
          </cell>
          <cell r="AE4" t="str">
            <v>Optimi</v>
          </cell>
          <cell r="AF4" t="str">
            <v>Šesnaestina finala</v>
          </cell>
          <cell r="AG4" t="str">
            <v>Osemfinále</v>
          </cell>
          <cell r="AH4" t="str">
            <v>Osminafinala</v>
          </cell>
          <cell r="AI4" t="str">
            <v>Octavos de final</v>
          </cell>
          <cell r="AJ4" t="str">
            <v>Åttondelsfinal</v>
          </cell>
          <cell r="AK4" t="str">
            <v>รอบสอง</v>
          </cell>
          <cell r="AL4" t="str">
            <v>Son 16</v>
          </cell>
          <cell r="AM4" t="str">
            <v>Vòng 1/16</v>
          </cell>
          <cell r="AN4" t="str">
            <v>1/8 фіналу</v>
          </cell>
          <cell r="AO4" t="str">
            <v>سولھواں دور</v>
          </cell>
        </row>
        <row r="5">
          <cell r="A5" t="str">
            <v>Quarterfinals</v>
          </cell>
          <cell r="B5" t="str">
            <v>Qerekfinalja</v>
          </cell>
          <cell r="C5" t="str">
            <v>دور الربع نهائي</v>
          </cell>
          <cell r="D5" t="str">
            <v>1/4 Եզրափակիչ</v>
          </cell>
          <cell r="E5" t="str">
            <v>Dörddə bir Final</v>
          </cell>
          <cell r="F5" t="str">
            <v>1/4 - финали</v>
          </cell>
          <cell r="G5" t="str">
            <v>Quarts de final</v>
          </cell>
          <cell r="H5" t="str">
            <v>8强赛</v>
          </cell>
          <cell r="I5" t="str">
            <v>八強</v>
          </cell>
          <cell r="J5" t="str">
            <v>Četvrtfinale</v>
          </cell>
          <cell r="K5" t="str">
            <v>Čtvrtfinále</v>
          </cell>
          <cell r="L5" t="str">
            <v>Kvartfinale</v>
          </cell>
          <cell r="M5" t="str">
            <v>Kwartfinales</v>
          </cell>
          <cell r="N5" t="str">
            <v>1/4 de finales</v>
          </cell>
          <cell r="O5" t="str">
            <v>მეოთხედფინალი</v>
          </cell>
          <cell r="P5" t="str">
            <v>Viertelfinale</v>
          </cell>
          <cell r="Q5" t="str">
            <v>Προημιτελικοί</v>
          </cell>
          <cell r="R5" t="str">
            <v>רבע גמר</v>
          </cell>
          <cell r="S5" t="str">
            <v>Negyeddöntők</v>
          </cell>
          <cell r="T5" t="str">
            <v>Perempat Final</v>
          </cell>
          <cell r="U5" t="str">
            <v>8 liða úrslit</v>
          </cell>
          <cell r="V5" t="str">
            <v>Quarti di finale</v>
          </cell>
          <cell r="W5" t="str">
            <v>8강전</v>
          </cell>
          <cell r="X5" t="str">
            <v>Ketvirtfinaliai</v>
          </cell>
          <cell r="Y5" t="str">
            <v>1/4 финале</v>
          </cell>
          <cell r="Z5" t="str">
            <v>Kwarti-Finali</v>
          </cell>
          <cell r="AA5" t="str">
            <v>Kvartfinale</v>
          </cell>
          <cell r="AB5" t="str">
            <v>یک چهارم نهائی</v>
          </cell>
          <cell r="AC5" t="str">
            <v>Ćwierćfinały</v>
          </cell>
          <cell r="AD5" t="str">
            <v>Quartos de Final</v>
          </cell>
          <cell r="AE5" t="str">
            <v>Sferturi de finala</v>
          </cell>
          <cell r="AF5" t="str">
            <v>Četvrtfinale</v>
          </cell>
          <cell r="AG5" t="str">
            <v>Štvrťfinále</v>
          </cell>
          <cell r="AH5" t="str">
            <v>Četrtfinale</v>
          </cell>
          <cell r="AI5" t="str">
            <v>Cuartos de Final</v>
          </cell>
          <cell r="AJ5" t="str">
            <v>Kvartsfinal</v>
          </cell>
          <cell r="AK5" t="str">
            <v>รอบก่อนรองชนะเลิศ</v>
          </cell>
          <cell r="AL5" t="str">
            <v>Çeyrek Final</v>
          </cell>
          <cell r="AM5" t="str">
            <v>Tứ kết</v>
          </cell>
          <cell r="AN5" t="str">
            <v>Чвертьфінал</v>
          </cell>
          <cell r="AO5" t="str">
            <v>کواٹر فائنل</v>
          </cell>
        </row>
        <row r="6">
          <cell r="A6" t="str">
            <v>Semi-Finals</v>
          </cell>
          <cell r="B6" t="str">
            <v>Gjysmëfinalja</v>
          </cell>
          <cell r="C6" t="str">
            <v>دور النصف نهائي</v>
          </cell>
          <cell r="D6" t="str">
            <v>Կիսաեզրափակիչ</v>
          </cell>
          <cell r="E6" t="str">
            <v>Yarım Final</v>
          </cell>
          <cell r="F6" t="str">
            <v>1/2 - финали</v>
          </cell>
          <cell r="G6" t="str">
            <v>Semifinals</v>
          </cell>
          <cell r="H6" t="str">
            <v>半决赛</v>
          </cell>
          <cell r="I6" t="str">
            <v>準決賽</v>
          </cell>
          <cell r="J6" t="str">
            <v>Polufinale</v>
          </cell>
          <cell r="K6" t="str">
            <v>Semifinále</v>
          </cell>
          <cell r="L6" t="str">
            <v>Semifinale</v>
          </cell>
          <cell r="M6" t="str">
            <v>Halve finales</v>
          </cell>
          <cell r="N6" t="str">
            <v>1/2 finales</v>
          </cell>
          <cell r="O6" t="str">
            <v>ნახევარფინალი</v>
          </cell>
          <cell r="P6" t="str">
            <v>Halbfinale</v>
          </cell>
          <cell r="Q6" t="str">
            <v>Ημιτελικοί</v>
          </cell>
          <cell r="R6" t="str">
            <v>חצי גמר</v>
          </cell>
          <cell r="S6" t="str">
            <v>Elődöntők</v>
          </cell>
          <cell r="T6" t="str">
            <v>Semi Final</v>
          </cell>
          <cell r="U6" t="str">
            <v>Undanúrslit</v>
          </cell>
          <cell r="V6" t="str">
            <v>Semifinali</v>
          </cell>
          <cell r="W6" t="str">
            <v>준결승전</v>
          </cell>
          <cell r="X6" t="str">
            <v>Pusfinaliai</v>
          </cell>
          <cell r="Y6" t="str">
            <v>1/2 финале</v>
          </cell>
          <cell r="Z6" t="str">
            <v>Semi-Finali</v>
          </cell>
          <cell r="AA6" t="str">
            <v>Semifinale</v>
          </cell>
          <cell r="AB6" t="str">
            <v>نیمه نهائی</v>
          </cell>
          <cell r="AC6" t="str">
            <v>Półfinały</v>
          </cell>
          <cell r="AD6" t="str">
            <v>Semi-final</v>
          </cell>
          <cell r="AE6" t="str">
            <v>Semifinale</v>
          </cell>
          <cell r="AF6" t="str">
            <v>Polufinale</v>
          </cell>
          <cell r="AG6" t="str">
            <v>Semifinále</v>
          </cell>
          <cell r="AH6" t="str">
            <v>Polfinale</v>
          </cell>
          <cell r="AI6" t="str">
            <v>Semifinales</v>
          </cell>
          <cell r="AJ6" t="str">
            <v>Semifinal</v>
          </cell>
          <cell r="AK6" t="str">
            <v>รอบรองชนะเลิศ</v>
          </cell>
          <cell r="AL6" t="str">
            <v>Yarı Final</v>
          </cell>
          <cell r="AM6" t="str">
            <v>Bán kết</v>
          </cell>
          <cell r="AN6" t="str">
            <v>Півфінал</v>
          </cell>
          <cell r="AO6" t="str">
            <v>سیمی فائنل</v>
          </cell>
        </row>
        <row r="7">
          <cell r="A7" t="str">
            <v>Third-Place Play-Off</v>
          </cell>
          <cell r="B7" t="str">
            <v>Takimi për vendin e tretë</v>
          </cell>
          <cell r="C7" t="str">
            <v>تحديد المركزين الثالث والرابع</v>
          </cell>
          <cell r="D7" t="str">
            <v>3-րդ տեղի համար եզրափակիչ</v>
          </cell>
          <cell r="E7" t="str">
            <v>Üçüncü Yer Uğrunda</v>
          </cell>
          <cell r="F7" t="str">
            <v>Мач за трето място</v>
          </cell>
          <cell r="G7" t="str">
            <v>3r i 4t lloc</v>
          </cell>
          <cell r="H7" t="str">
            <v>季军赛</v>
          </cell>
          <cell r="I7" t="str">
            <v>季軍賽</v>
          </cell>
          <cell r="J7" t="str">
            <v>Za treće mjesto</v>
          </cell>
          <cell r="K7" t="str">
            <v>Zápas o 3.místo</v>
          </cell>
          <cell r="L7" t="str">
            <v>Tredjeplads Kamp</v>
          </cell>
          <cell r="M7" t="str">
            <v>Derde en vierde plaats</v>
          </cell>
          <cell r="N7" t="str">
            <v>Match pour la troisième place</v>
          </cell>
          <cell r="O7" t="str">
            <v>მესამე ადგილი</v>
          </cell>
          <cell r="P7" t="str">
            <v>Spiel um den dritten Platz</v>
          </cell>
          <cell r="Q7" t="str">
            <v>Μικρός Τελικός</v>
          </cell>
          <cell r="R7" t="str">
            <v>מקום 3-4</v>
          </cell>
          <cell r="S7" t="str">
            <v>Bronzmeccs</v>
          </cell>
          <cell r="T7" t="str">
            <v>Perebutan Tempat Ketiga</v>
          </cell>
          <cell r="U7" t="str">
            <v>Leikur um 3.sæti</v>
          </cell>
          <cell r="V7" t="str">
            <v>Finale 3°- 4° posto</v>
          </cell>
          <cell r="W7" t="str">
            <v>3,4위전</v>
          </cell>
          <cell r="X7" t="str">
            <v>Rungtynės dėl Trečios Vietos</v>
          </cell>
          <cell r="Y7" t="str">
            <v>Натпревар за трето место</v>
          </cell>
          <cell r="Z7" t="str">
            <v>Final għat-Tielet u r-Raba' Post</v>
          </cell>
          <cell r="AA7" t="str">
            <v>Bronsefinale</v>
          </cell>
          <cell r="AB7" t="str">
            <v>رده بندی</v>
          </cell>
          <cell r="AC7" t="str">
            <v>Mecz o trzecie miejsce</v>
          </cell>
          <cell r="AD7" t="str">
            <v>3º/4º lugar</v>
          </cell>
          <cell r="AE7" t="str">
            <v>Finala mica</v>
          </cell>
          <cell r="AF7" t="str">
            <v>Za treće mjesto</v>
          </cell>
          <cell r="AG7" t="str">
            <v xml:space="preserve">Zápas o 3. miesto </v>
          </cell>
          <cell r="AH7" t="str">
            <v>Za tretje mesto</v>
          </cell>
          <cell r="AI7" t="str">
            <v>Tercer puesto</v>
          </cell>
          <cell r="AJ7" t="str">
            <v>Match om tredje pris</v>
          </cell>
          <cell r="AK7" t="str">
            <v>รอบชิงที่ 3</v>
          </cell>
          <cell r="AL7" t="str">
            <v>Üçüncülük Maçı</v>
          </cell>
          <cell r="AM7" t="str">
            <v>Tranh hạng 3</v>
          </cell>
          <cell r="AN7" t="str">
            <v>Матч за третє місце</v>
          </cell>
          <cell r="AO7" t="str">
            <v>تیسرے مقام کے لئے کھیل</v>
          </cell>
        </row>
        <row r="8">
          <cell r="A8" t="str">
            <v>Final</v>
          </cell>
          <cell r="B8" t="str">
            <v>Finalja</v>
          </cell>
          <cell r="C8" t="str">
            <v>المباراة النهائية</v>
          </cell>
          <cell r="D8" t="str">
            <v>Եզրափակիչ</v>
          </cell>
          <cell r="E8" t="str">
            <v>Final</v>
          </cell>
          <cell r="F8" t="str">
            <v>Финал</v>
          </cell>
          <cell r="G8" t="str">
            <v>Final</v>
          </cell>
          <cell r="H8" t="str">
            <v>总决赛</v>
          </cell>
          <cell r="I8" t="str">
            <v>總決賽</v>
          </cell>
          <cell r="J8" t="str">
            <v>Finale</v>
          </cell>
          <cell r="K8" t="str">
            <v>Finále</v>
          </cell>
          <cell r="L8" t="str">
            <v>Finale</v>
          </cell>
          <cell r="M8" t="str">
            <v>Finale</v>
          </cell>
          <cell r="N8" t="str">
            <v>Finale</v>
          </cell>
          <cell r="O8" t="str">
            <v>ფინალი</v>
          </cell>
          <cell r="P8" t="str">
            <v>Finale</v>
          </cell>
          <cell r="Q8" t="str">
            <v>Τελικός</v>
          </cell>
          <cell r="R8" t="str">
            <v>גמר</v>
          </cell>
          <cell r="S8" t="str">
            <v>Döntő</v>
          </cell>
          <cell r="T8" t="str">
            <v>Final</v>
          </cell>
          <cell r="U8" t="str">
            <v>Úrslit</v>
          </cell>
          <cell r="V8" t="str">
            <v>Finale</v>
          </cell>
          <cell r="W8" t="str">
            <v>결승전</v>
          </cell>
          <cell r="X8" t="str">
            <v>Finalas</v>
          </cell>
          <cell r="Y8" t="str">
            <v>Финале</v>
          </cell>
          <cell r="Z8" t="str">
            <v>Finali</v>
          </cell>
          <cell r="AA8" t="str">
            <v>Finale</v>
          </cell>
          <cell r="AB8" t="str">
            <v>فینال</v>
          </cell>
          <cell r="AC8" t="str">
            <v>Finał</v>
          </cell>
          <cell r="AD8" t="str">
            <v>Final</v>
          </cell>
          <cell r="AE8" t="str">
            <v>FINALA</v>
          </cell>
          <cell r="AF8" t="str">
            <v>Finale</v>
          </cell>
          <cell r="AG8" t="str">
            <v>Finále</v>
          </cell>
          <cell r="AH8" t="str">
            <v>Finale</v>
          </cell>
          <cell r="AI8" t="str">
            <v>Final</v>
          </cell>
          <cell r="AJ8" t="str">
            <v>Final</v>
          </cell>
          <cell r="AK8" t="str">
            <v>รอบชิงชนะเลิศ</v>
          </cell>
          <cell r="AL8" t="str">
            <v>Final</v>
          </cell>
          <cell r="AM8" t="str">
            <v>Chung Kết</v>
          </cell>
          <cell r="AN8" t="str">
            <v>Фінал</v>
          </cell>
          <cell r="AO8" t="str">
            <v>فائنل</v>
          </cell>
        </row>
        <row r="9">
          <cell r="A9" t="str">
            <v>Group</v>
          </cell>
          <cell r="B9" t="str">
            <v>Grupi</v>
          </cell>
          <cell r="C9" t="str">
            <v>المجموعة</v>
          </cell>
          <cell r="D9" t="str">
            <v>Խումբ</v>
          </cell>
          <cell r="E9" t="str">
            <v>Qrup</v>
          </cell>
          <cell r="F9" t="str">
            <v>Група</v>
          </cell>
          <cell r="G9" t="str">
            <v>Grup</v>
          </cell>
          <cell r="H9" t="str">
            <v>小组</v>
          </cell>
          <cell r="I9" t="str">
            <v>小組</v>
          </cell>
          <cell r="J9" t="str">
            <v>Grupa</v>
          </cell>
          <cell r="K9" t="str">
            <v>Skupina</v>
          </cell>
          <cell r="L9" t="str">
            <v>Gruppe</v>
          </cell>
          <cell r="M9" t="str">
            <v>Groep</v>
          </cell>
          <cell r="N9" t="str">
            <v>Groupe</v>
          </cell>
          <cell r="O9" t="str">
            <v>ჯგუფი</v>
          </cell>
          <cell r="P9" t="str">
            <v>Gruppe</v>
          </cell>
          <cell r="Q9" t="str">
            <v>Όμιλος</v>
          </cell>
          <cell r="R9" t="str">
            <v>בית</v>
          </cell>
          <cell r="S9" t="str">
            <v>Csoport</v>
          </cell>
          <cell r="T9" t="str">
            <v>Kelompok</v>
          </cell>
          <cell r="U9" t="str">
            <v>Riðill</v>
          </cell>
          <cell r="V9" t="str">
            <v>Gruppo</v>
          </cell>
          <cell r="W9" t="str">
            <v>그룹</v>
          </cell>
          <cell r="X9" t="str">
            <v>Grupė</v>
          </cell>
          <cell r="Y9" t="str">
            <v>Група</v>
          </cell>
          <cell r="Z9" t="str">
            <v>Grupp</v>
          </cell>
          <cell r="AA9" t="str">
            <v>Gruppe</v>
          </cell>
          <cell r="AB9" t="str">
            <v>گروه</v>
          </cell>
          <cell r="AC9" t="str">
            <v>Grupa</v>
          </cell>
          <cell r="AD9" t="str">
            <v>Grupo</v>
          </cell>
          <cell r="AE9" t="str">
            <v>Grupa</v>
          </cell>
          <cell r="AF9" t="str">
            <v>Grupa</v>
          </cell>
          <cell r="AG9" t="str">
            <v>Skupina</v>
          </cell>
          <cell r="AH9" t="str">
            <v>Skupina</v>
          </cell>
          <cell r="AI9" t="str">
            <v>Grupo</v>
          </cell>
          <cell r="AJ9" t="str">
            <v>Grupp</v>
          </cell>
          <cell r="AK9" t="str">
            <v>สาย</v>
          </cell>
          <cell r="AL9" t="str">
            <v>Grup</v>
          </cell>
          <cell r="AM9" t="str">
            <v>Bảng</v>
          </cell>
          <cell r="AN9" t="str">
            <v>Група</v>
          </cell>
          <cell r="AO9" t="str">
            <v>گروپ بندی</v>
          </cell>
        </row>
        <row r="10">
          <cell r="A10" t="str">
            <v>PL</v>
          </cell>
          <cell r="B10" t="str">
            <v>L</v>
          </cell>
          <cell r="C10" t="str">
            <v>لعب</v>
          </cell>
          <cell r="D10" t="str">
            <v>Խ</v>
          </cell>
          <cell r="E10" t="str">
            <v>O</v>
          </cell>
          <cell r="F10" t="str">
            <v>М</v>
          </cell>
          <cell r="G10" t="str">
            <v>J</v>
          </cell>
          <cell r="H10" t="str">
            <v>场次</v>
          </cell>
          <cell r="I10" t="str">
            <v>賽</v>
          </cell>
          <cell r="J10" t="str">
            <v>PL</v>
          </cell>
          <cell r="K10" t="str">
            <v>Z</v>
          </cell>
          <cell r="L10" t="str">
            <v>SP</v>
          </cell>
          <cell r="M10" t="str">
            <v>WG</v>
          </cell>
          <cell r="N10" t="str">
            <v>J</v>
          </cell>
          <cell r="O10" t="str">
            <v>თ</v>
          </cell>
          <cell r="P10" t="str">
            <v>SP</v>
          </cell>
          <cell r="Q10" t="str">
            <v>ΑΓ</v>
          </cell>
          <cell r="R10" t="str">
            <v>משחקים</v>
          </cell>
          <cell r="S10" t="str">
            <v>M</v>
          </cell>
          <cell r="T10" t="str">
            <v>Main</v>
          </cell>
          <cell r="U10" t="str">
            <v>L</v>
          </cell>
          <cell r="V10" t="str">
            <v>G</v>
          </cell>
          <cell r="W10" t="str">
            <v>경기</v>
          </cell>
          <cell r="X10" t="str">
            <v>Žst</v>
          </cell>
          <cell r="Y10" t="str">
            <v>О</v>
          </cell>
          <cell r="Z10" t="str">
            <v>L</v>
          </cell>
          <cell r="AA10" t="str">
            <v>S</v>
          </cell>
          <cell r="AB10" t="str">
            <v>بازی</v>
          </cell>
          <cell r="AC10" t="str">
            <v>M</v>
          </cell>
          <cell r="AD10" t="str">
            <v>J</v>
          </cell>
          <cell r="AE10" t="str">
            <v>J</v>
          </cell>
          <cell r="AF10" t="str">
            <v>UT</v>
          </cell>
          <cell r="AG10" t="str">
            <v>Z</v>
          </cell>
          <cell r="AH10" t="str">
            <v>PL</v>
          </cell>
          <cell r="AI10" t="str">
            <v>J</v>
          </cell>
          <cell r="AJ10" t="str">
            <v>Sp</v>
          </cell>
          <cell r="AK10" t="str">
            <v>แข่ง</v>
          </cell>
          <cell r="AL10" t="str">
            <v>O</v>
          </cell>
          <cell r="AM10" t="str">
            <v>Trận</v>
          </cell>
          <cell r="AN10" t="str">
            <v>І</v>
          </cell>
          <cell r="AO10" t="str">
            <v>کھیلے گئے مقابلے</v>
          </cell>
        </row>
        <row r="11">
          <cell r="A11" t="str">
            <v>W</v>
          </cell>
          <cell r="B11" t="str">
            <v>F</v>
          </cell>
          <cell r="C11" t="str">
            <v>فاز</v>
          </cell>
          <cell r="D11" t="str">
            <v>Հ</v>
          </cell>
          <cell r="E11" t="str">
            <v>Q</v>
          </cell>
          <cell r="F11" t="str">
            <v>П</v>
          </cell>
          <cell r="G11" t="str">
            <v>G</v>
          </cell>
          <cell r="H11" t="str">
            <v>胜</v>
          </cell>
          <cell r="I11" t="str">
            <v>勝</v>
          </cell>
          <cell r="J11" t="str">
            <v>W</v>
          </cell>
          <cell r="K11" t="str">
            <v>V</v>
          </cell>
          <cell r="L11" t="str">
            <v>V</v>
          </cell>
          <cell r="M11" t="str">
            <v>W</v>
          </cell>
          <cell r="N11" t="str">
            <v>V</v>
          </cell>
          <cell r="O11" t="str">
            <v>მოგ</v>
          </cell>
          <cell r="P11" t="str">
            <v>S</v>
          </cell>
          <cell r="Q11" t="str">
            <v>Ν</v>
          </cell>
          <cell r="R11" t="str">
            <v>נצחונות</v>
          </cell>
          <cell r="S11" t="str">
            <v>GY</v>
          </cell>
          <cell r="T11" t="str">
            <v>Menang</v>
          </cell>
          <cell r="U11" t="str">
            <v>U</v>
          </cell>
          <cell r="V11" t="str">
            <v>V</v>
          </cell>
          <cell r="W11" t="str">
            <v>승</v>
          </cell>
          <cell r="X11" t="str">
            <v>L</v>
          </cell>
          <cell r="Y11" t="str">
            <v>П</v>
          </cell>
          <cell r="Z11" t="str">
            <v>R</v>
          </cell>
          <cell r="AA11" t="str">
            <v>V</v>
          </cell>
          <cell r="AB11" t="str">
            <v>برد</v>
          </cell>
          <cell r="AC11" t="str">
            <v>Z</v>
          </cell>
          <cell r="AD11" t="str">
            <v>V</v>
          </cell>
          <cell r="AE11" t="str">
            <v>V</v>
          </cell>
          <cell r="AF11" t="str">
            <v>P</v>
          </cell>
          <cell r="AG11" t="str">
            <v>V</v>
          </cell>
          <cell r="AH11" t="str">
            <v>W</v>
          </cell>
          <cell r="AI11" t="str">
            <v>G</v>
          </cell>
          <cell r="AJ11" t="str">
            <v>V</v>
          </cell>
          <cell r="AK11" t="str">
            <v>ชนะ</v>
          </cell>
          <cell r="AL11" t="str">
            <v>G</v>
          </cell>
          <cell r="AM11" t="str">
            <v>T</v>
          </cell>
          <cell r="AN11" t="str">
            <v>В</v>
          </cell>
          <cell r="AO11" t="str">
            <v>جیت</v>
          </cell>
        </row>
        <row r="12">
          <cell r="A12" t="str">
            <v>DRAW</v>
          </cell>
          <cell r="B12" t="str">
            <v>BAR</v>
          </cell>
          <cell r="C12" t="str">
            <v>تعادل</v>
          </cell>
          <cell r="D12" t="str">
            <v>Ո</v>
          </cell>
          <cell r="E12" t="str">
            <v>H</v>
          </cell>
          <cell r="F12" t="str">
            <v>Р</v>
          </cell>
          <cell r="G12" t="str">
            <v>E</v>
          </cell>
          <cell r="H12" t="str">
            <v>平</v>
          </cell>
          <cell r="I12" t="str">
            <v>和</v>
          </cell>
          <cell r="J12" t="str">
            <v>DRAW</v>
          </cell>
          <cell r="K12" t="str">
            <v>R</v>
          </cell>
          <cell r="L12" t="str">
            <v>Uafgjort</v>
          </cell>
          <cell r="M12" t="str">
            <v>G</v>
          </cell>
          <cell r="N12" t="str">
            <v>N</v>
          </cell>
          <cell r="O12" t="str">
            <v>ფრე</v>
          </cell>
          <cell r="P12" t="str">
            <v>DRAW</v>
          </cell>
          <cell r="Q12" t="str">
            <v>Ι</v>
          </cell>
          <cell r="R12" t="str">
            <v>תיקו</v>
          </cell>
          <cell r="S12" t="str">
            <v>D</v>
          </cell>
          <cell r="T12" t="str">
            <v>Seri</v>
          </cell>
          <cell r="U12" t="str">
            <v>Jafnt</v>
          </cell>
          <cell r="V12" t="str">
            <v>P</v>
          </cell>
          <cell r="W12" t="str">
            <v>무</v>
          </cell>
          <cell r="X12" t="str">
            <v>Lyg</v>
          </cell>
          <cell r="Y12" t="str">
            <v>Н</v>
          </cell>
          <cell r="Z12" t="str">
            <v>I</v>
          </cell>
          <cell r="AA12" t="str">
            <v>T</v>
          </cell>
          <cell r="AB12" t="str">
            <v>مساوی</v>
          </cell>
          <cell r="AC12" t="str">
            <v>R</v>
          </cell>
          <cell r="AD12" t="str">
            <v>E</v>
          </cell>
          <cell r="AE12" t="str">
            <v>E</v>
          </cell>
          <cell r="AF12" t="str">
            <v>NER.</v>
          </cell>
          <cell r="AG12" t="str">
            <v>R</v>
          </cell>
          <cell r="AH12" t="str">
            <v>DRAW</v>
          </cell>
          <cell r="AI12" t="str">
            <v>DRAW</v>
          </cell>
          <cell r="AJ12" t="str">
            <v>O</v>
          </cell>
          <cell r="AK12" t="str">
            <v>เสมอ</v>
          </cell>
          <cell r="AL12" t="str">
            <v>B</v>
          </cell>
          <cell r="AM12" t="str">
            <v>H</v>
          </cell>
          <cell r="AN12" t="str">
            <v>Н</v>
          </cell>
          <cell r="AO12" t="str">
            <v>برابر</v>
          </cell>
        </row>
        <row r="13">
          <cell r="A13" t="str">
            <v>L</v>
          </cell>
          <cell r="B13" t="str">
            <v>H</v>
          </cell>
          <cell r="C13" t="str">
            <v>خسر</v>
          </cell>
          <cell r="D13" t="str">
            <v>Պ</v>
          </cell>
          <cell r="E13" t="str">
            <v>M</v>
          </cell>
          <cell r="F13" t="str">
            <v>З</v>
          </cell>
          <cell r="G13" t="str">
            <v>P</v>
          </cell>
          <cell r="H13" t="str">
            <v>负</v>
          </cell>
          <cell r="I13" t="str">
            <v>負</v>
          </cell>
          <cell r="J13" t="str">
            <v>L</v>
          </cell>
          <cell r="K13" t="str">
            <v>P</v>
          </cell>
          <cell r="L13" t="str">
            <v>T</v>
          </cell>
          <cell r="M13" t="str">
            <v>V</v>
          </cell>
          <cell r="N13" t="str">
            <v>D</v>
          </cell>
          <cell r="O13" t="str">
            <v>წაგ</v>
          </cell>
          <cell r="P13" t="str">
            <v>N</v>
          </cell>
          <cell r="Q13" t="str">
            <v xml:space="preserve">Η </v>
          </cell>
          <cell r="R13" t="str">
            <v>הפסדים</v>
          </cell>
          <cell r="S13" t="str">
            <v>V</v>
          </cell>
          <cell r="T13" t="str">
            <v>Kalah</v>
          </cell>
          <cell r="U13" t="str">
            <v>T</v>
          </cell>
          <cell r="V13" t="str">
            <v>S</v>
          </cell>
          <cell r="W13" t="str">
            <v>패</v>
          </cell>
          <cell r="X13" t="str">
            <v>P</v>
          </cell>
          <cell r="Y13" t="str">
            <v>И</v>
          </cell>
          <cell r="Z13" t="str">
            <v>T</v>
          </cell>
          <cell r="AA13" t="str">
            <v>U</v>
          </cell>
          <cell r="AB13" t="str">
            <v>باخت</v>
          </cell>
          <cell r="AC13" t="str">
            <v>P</v>
          </cell>
          <cell r="AD13" t="str">
            <v>D</v>
          </cell>
          <cell r="AE13" t="str">
            <v>I</v>
          </cell>
          <cell r="AF13" t="str">
            <v>I</v>
          </cell>
          <cell r="AG13" t="str">
            <v>P</v>
          </cell>
          <cell r="AH13" t="str">
            <v>L</v>
          </cell>
          <cell r="AI13" t="str">
            <v>P</v>
          </cell>
          <cell r="AJ13" t="str">
            <v>F</v>
          </cell>
          <cell r="AK13" t="str">
            <v>แพ้</v>
          </cell>
          <cell r="AL13" t="str">
            <v>M</v>
          </cell>
          <cell r="AM13" t="str">
            <v>B</v>
          </cell>
          <cell r="AN13" t="str">
            <v>П</v>
          </cell>
          <cell r="AO13" t="str">
            <v>ہارے گئے مقابلے</v>
          </cell>
        </row>
        <row r="14">
          <cell r="A14" t="str">
            <v>GF - GA</v>
          </cell>
          <cell r="B14" t="str">
            <v>GSH-GP</v>
          </cell>
          <cell r="C14" t="str">
            <v>عليه - له</v>
          </cell>
          <cell r="D14" t="str">
            <v>ԽԳ-ԲԳ</v>
          </cell>
          <cell r="E14" t="str">
            <v>QV - QB</v>
          </cell>
          <cell r="F14" t="str">
            <v>Гол. Разл.</v>
          </cell>
          <cell r="G14" t="str">
            <v>GF - GC</v>
          </cell>
          <cell r="H14" t="str">
            <v>得失球</v>
          </cell>
          <cell r="I14" t="str">
            <v>得球 - 失球</v>
          </cell>
          <cell r="J14" t="str">
            <v>GF - GA</v>
          </cell>
          <cell r="K14" t="str">
            <v>GV - GI</v>
          </cell>
          <cell r="L14" t="str">
            <v>MF - MI</v>
          </cell>
          <cell r="M14" t="str">
            <v>DV-DT</v>
          </cell>
          <cell r="N14" t="str">
            <v>BP - BC</v>
          </cell>
          <cell r="O14" t="str">
            <v>გგ - მგ</v>
          </cell>
          <cell r="P14" t="str">
            <v>ET - KT</v>
          </cell>
          <cell r="Q14" t="str">
            <v>Υ-Κ</v>
          </cell>
          <cell r="R14" t="str">
            <v>יחס שערים</v>
          </cell>
          <cell r="S14" t="str">
            <v>Gólkül.</v>
          </cell>
          <cell r="T14" t="str">
            <v xml:space="preserve">Skor </v>
          </cell>
          <cell r="U14" t="str">
            <v>S - F</v>
          </cell>
          <cell r="V14" t="str">
            <v>GF - GS</v>
          </cell>
          <cell r="W14" t="str">
            <v>골득실</v>
          </cell>
          <cell r="X14" t="str">
            <v>Įm - Pr</v>
          </cell>
          <cell r="Y14" t="str">
            <v>Разлика</v>
          </cell>
          <cell r="Z14" t="str">
            <v>GF - GK</v>
          </cell>
          <cell r="AA14" t="str">
            <v>Mål</v>
          </cell>
          <cell r="AB14" t="str">
            <v>خورده-زده</v>
          </cell>
          <cell r="AC14" t="str">
            <v>Z - S</v>
          </cell>
          <cell r="AD14" t="str">
            <v>GM - GS</v>
          </cell>
          <cell r="AE14" t="str">
            <v>GM - GP</v>
          </cell>
          <cell r="AF14" t="str">
            <v>GD - GP</v>
          </cell>
          <cell r="AG14" t="str">
            <v>GS-GI</v>
          </cell>
          <cell r="AH14" t="str">
            <v>GF - GA</v>
          </cell>
          <cell r="AI14" t="str">
            <v>GF - GC</v>
          </cell>
          <cell r="AJ14" t="str">
            <v>GM – IM</v>
          </cell>
          <cell r="AK14" t="str">
            <v>ได้ - เสีย</v>
          </cell>
          <cell r="AL14" t="str">
            <v>A - Y</v>
          </cell>
          <cell r="AM14" t="str">
            <v>Hiệu số</v>
          </cell>
          <cell r="AN14" t="str">
            <v xml:space="preserve">М </v>
          </cell>
          <cell r="AO14" t="str">
            <v>گول کئے- انکے خلاف گول کئے گئے</v>
          </cell>
        </row>
        <row r="15">
          <cell r="A15" t="str">
            <v>PNT</v>
          </cell>
          <cell r="B15" t="str">
            <v>PIK</v>
          </cell>
          <cell r="C15" t="str">
            <v>النقاط</v>
          </cell>
          <cell r="D15" t="str">
            <v>Մ</v>
          </cell>
          <cell r="E15" t="str">
            <v>Xal</v>
          </cell>
          <cell r="F15" t="str">
            <v>Т</v>
          </cell>
          <cell r="G15" t="str">
            <v>Punts</v>
          </cell>
          <cell r="H15" t="str">
            <v>积分</v>
          </cell>
          <cell r="I15" t="str">
            <v>分數</v>
          </cell>
          <cell r="J15" t="str">
            <v>PNT</v>
          </cell>
          <cell r="K15" t="str">
            <v>Body</v>
          </cell>
          <cell r="L15" t="str">
            <v>PNT</v>
          </cell>
          <cell r="M15" t="str">
            <v>PNT</v>
          </cell>
          <cell r="N15" t="str">
            <v>PTS</v>
          </cell>
          <cell r="O15" t="str">
            <v>ქულა</v>
          </cell>
          <cell r="P15" t="str">
            <v>PKT</v>
          </cell>
          <cell r="Q15" t="str">
            <v>ΒΘ</v>
          </cell>
          <cell r="R15" t="str">
            <v>נקודות</v>
          </cell>
          <cell r="S15" t="str">
            <v>PNT</v>
          </cell>
          <cell r="T15" t="str">
            <v>Nilai</v>
          </cell>
          <cell r="U15" t="str">
            <v>Stig</v>
          </cell>
          <cell r="V15" t="str">
            <v>Punti</v>
          </cell>
          <cell r="W15" t="str">
            <v>승점</v>
          </cell>
          <cell r="X15" t="str">
            <v>Tšk</v>
          </cell>
          <cell r="Y15" t="str">
            <v>Б</v>
          </cell>
          <cell r="Z15" t="str">
            <v>P</v>
          </cell>
          <cell r="AA15" t="str">
            <v>P</v>
          </cell>
          <cell r="AB15" t="str">
            <v>امتیاز</v>
          </cell>
          <cell r="AC15" t="str">
            <v>Pkt</v>
          </cell>
          <cell r="AD15" t="str">
            <v>P</v>
          </cell>
          <cell r="AE15" t="str">
            <v>P</v>
          </cell>
          <cell r="AF15" t="str">
            <v>BOD</v>
          </cell>
          <cell r="AG15" t="str">
            <v>Body</v>
          </cell>
          <cell r="AH15" t="str">
            <v>PNT</v>
          </cell>
          <cell r="AI15" t="str">
            <v>PTS</v>
          </cell>
          <cell r="AJ15" t="str">
            <v>P</v>
          </cell>
          <cell r="AK15" t="str">
            <v>คะแนน</v>
          </cell>
          <cell r="AL15" t="str">
            <v>P</v>
          </cell>
          <cell r="AM15" t="str">
            <v>Điểm</v>
          </cell>
          <cell r="AN15" t="str">
            <v>О</v>
          </cell>
          <cell r="AO15" t="str">
            <v>نشان</v>
          </cell>
        </row>
        <row r="18">
          <cell r="A18" t="str">
            <v>Sun</v>
          </cell>
          <cell r="B18" t="str">
            <v>Diel</v>
          </cell>
          <cell r="C18" t="str">
            <v>الأحد</v>
          </cell>
          <cell r="D18" t="str">
            <v>Կիր.</v>
          </cell>
          <cell r="E18" t="str">
            <v>B</v>
          </cell>
          <cell r="F18" t="str">
            <v>Нед</v>
          </cell>
          <cell r="G18" t="str">
            <v>Diu</v>
          </cell>
          <cell r="H18" t="str">
            <v>周日</v>
          </cell>
          <cell r="I18" t="str">
            <v>Sun</v>
          </cell>
          <cell r="J18" t="str">
            <v>Ned</v>
          </cell>
          <cell r="K18" t="str">
            <v>Ne</v>
          </cell>
          <cell r="L18" t="str">
            <v>Søn</v>
          </cell>
          <cell r="M18" t="str">
            <v>Zo</v>
          </cell>
          <cell r="N18" t="str">
            <v>Dim</v>
          </cell>
          <cell r="O18" t="str">
            <v>კვირა</v>
          </cell>
          <cell r="P18" t="str">
            <v>Sun</v>
          </cell>
          <cell r="Q18" t="str">
            <v>Κυρ</v>
          </cell>
          <cell r="R18" t="str">
            <v>ראשון</v>
          </cell>
          <cell r="S18" t="str">
            <v>Vas</v>
          </cell>
          <cell r="T18" t="str">
            <v>Min</v>
          </cell>
          <cell r="U18" t="str">
            <v>Sun</v>
          </cell>
          <cell r="V18" t="str">
            <v>Dom</v>
          </cell>
          <cell r="W18" t="str">
            <v>일</v>
          </cell>
          <cell r="X18" t="str">
            <v>Sekm</v>
          </cell>
          <cell r="Y18" t="str">
            <v>Нед</v>
          </cell>
          <cell r="Z18" t="str">
            <v>Ħad</v>
          </cell>
          <cell r="AA18" t="str">
            <v>Søn</v>
          </cell>
          <cell r="AB18" t="str">
            <v>یکشنبه</v>
          </cell>
          <cell r="AC18" t="str">
            <v>Nd</v>
          </cell>
          <cell r="AD18" t="str">
            <v>Dom</v>
          </cell>
          <cell r="AE18" t="str">
            <v>Dum</v>
          </cell>
          <cell r="AF18" t="str">
            <v>Ned</v>
          </cell>
          <cell r="AG18" t="str">
            <v>Ne</v>
          </cell>
          <cell r="AH18" t="str">
            <v>Ned</v>
          </cell>
          <cell r="AI18" t="str">
            <v>Sun</v>
          </cell>
          <cell r="AJ18" t="str">
            <v>Sön</v>
          </cell>
          <cell r="AK18" t="str">
            <v>อาทิตย์</v>
          </cell>
          <cell r="AL18" t="str">
            <v>Paz</v>
          </cell>
          <cell r="AM18" t="str">
            <v>CN</v>
          </cell>
          <cell r="AN18" t="str">
            <v>Нд</v>
          </cell>
          <cell r="AO18" t="str">
            <v>اتوار</v>
          </cell>
        </row>
        <row r="19">
          <cell r="A19" t="str">
            <v>Mon</v>
          </cell>
          <cell r="B19" t="str">
            <v>Hënë</v>
          </cell>
          <cell r="C19" t="str">
            <v>الاثنين</v>
          </cell>
          <cell r="D19" t="str">
            <v>Երկ.</v>
          </cell>
          <cell r="E19" t="str">
            <v>BE</v>
          </cell>
          <cell r="F19" t="str">
            <v>Пон</v>
          </cell>
          <cell r="G19" t="str">
            <v>Dil</v>
          </cell>
          <cell r="H19" t="str">
            <v>周一</v>
          </cell>
          <cell r="I19" t="str">
            <v>Mon</v>
          </cell>
          <cell r="J19" t="str">
            <v>Pon</v>
          </cell>
          <cell r="K19" t="str">
            <v>Po</v>
          </cell>
          <cell r="L19" t="str">
            <v>Man</v>
          </cell>
          <cell r="M19" t="str">
            <v>Ma</v>
          </cell>
          <cell r="N19" t="str">
            <v>Lun</v>
          </cell>
          <cell r="O19" t="str">
            <v>ორშ</v>
          </cell>
          <cell r="P19" t="str">
            <v>Mon</v>
          </cell>
          <cell r="Q19" t="str">
            <v>Δευ</v>
          </cell>
          <cell r="R19" t="str">
            <v>שני</v>
          </cell>
          <cell r="S19" t="str">
            <v>Hét</v>
          </cell>
          <cell r="T19" t="str">
            <v>Sen</v>
          </cell>
          <cell r="U19" t="str">
            <v>Mán</v>
          </cell>
          <cell r="V19" t="str">
            <v>Lun</v>
          </cell>
          <cell r="W19" t="str">
            <v>월</v>
          </cell>
          <cell r="X19" t="str">
            <v>Pirm</v>
          </cell>
          <cell r="Y19" t="str">
            <v>Пон</v>
          </cell>
          <cell r="Z19" t="str">
            <v>Tne</v>
          </cell>
          <cell r="AA19" t="str">
            <v>Man</v>
          </cell>
          <cell r="AB19" t="str">
            <v>دوشنبه</v>
          </cell>
          <cell r="AC19" t="str">
            <v>Pn</v>
          </cell>
          <cell r="AD19" t="str">
            <v>Seg</v>
          </cell>
          <cell r="AE19" t="str">
            <v>Lun</v>
          </cell>
          <cell r="AF19" t="str">
            <v>Pon</v>
          </cell>
          <cell r="AG19" t="str">
            <v>Po</v>
          </cell>
          <cell r="AH19" t="str">
            <v>Pon</v>
          </cell>
          <cell r="AI19" t="str">
            <v>Mon</v>
          </cell>
          <cell r="AJ19" t="str">
            <v>Mån</v>
          </cell>
          <cell r="AK19" t="str">
            <v>จันทร์</v>
          </cell>
          <cell r="AL19" t="str">
            <v>Pzt</v>
          </cell>
          <cell r="AM19" t="str">
            <v>T2</v>
          </cell>
          <cell r="AN19" t="str">
            <v>Пн</v>
          </cell>
          <cell r="AO19" t="str">
            <v>پیر</v>
          </cell>
        </row>
        <row r="20">
          <cell r="A20" t="str">
            <v>Tue</v>
          </cell>
          <cell r="B20" t="str">
            <v>Mar</v>
          </cell>
          <cell r="C20" t="str">
            <v>الثلاثاء</v>
          </cell>
          <cell r="D20" t="str">
            <v>Երեք.</v>
          </cell>
          <cell r="E20" t="str">
            <v>ÇA</v>
          </cell>
          <cell r="F20" t="str">
            <v>Вт</v>
          </cell>
          <cell r="G20" t="str">
            <v>Dim</v>
          </cell>
          <cell r="H20" t="str">
            <v>周二</v>
          </cell>
          <cell r="I20" t="str">
            <v>Tue</v>
          </cell>
          <cell r="J20" t="str">
            <v>Uto</v>
          </cell>
          <cell r="K20" t="str">
            <v>Út</v>
          </cell>
          <cell r="L20" t="str">
            <v>Tir</v>
          </cell>
          <cell r="M20" t="str">
            <v>Di</v>
          </cell>
          <cell r="N20" t="str">
            <v>Mar</v>
          </cell>
          <cell r="O20" t="str">
            <v>სამშ</v>
          </cell>
          <cell r="P20" t="str">
            <v>Tue</v>
          </cell>
          <cell r="Q20" t="str">
            <v>Τρι</v>
          </cell>
          <cell r="R20" t="str">
            <v>שלישי</v>
          </cell>
          <cell r="S20" t="str">
            <v>Ke</v>
          </cell>
          <cell r="T20" t="str">
            <v>Sel</v>
          </cell>
          <cell r="U20" t="str">
            <v>Þri</v>
          </cell>
          <cell r="V20" t="str">
            <v>Mar</v>
          </cell>
          <cell r="W20" t="str">
            <v>화</v>
          </cell>
          <cell r="X20" t="str">
            <v>Antr</v>
          </cell>
          <cell r="Y20" t="str">
            <v>Вто</v>
          </cell>
          <cell r="Z20" t="str">
            <v>Tli</v>
          </cell>
          <cell r="AA20" t="str">
            <v>Tirs</v>
          </cell>
          <cell r="AB20" t="str">
            <v>سه شنبه</v>
          </cell>
          <cell r="AC20" t="str">
            <v>Wt</v>
          </cell>
          <cell r="AD20" t="str">
            <v>Ter</v>
          </cell>
          <cell r="AE20" t="str">
            <v>Mar</v>
          </cell>
          <cell r="AF20" t="str">
            <v>Uto</v>
          </cell>
          <cell r="AG20" t="str">
            <v>Ut</v>
          </cell>
          <cell r="AH20" t="str">
            <v>Tor</v>
          </cell>
          <cell r="AI20" t="str">
            <v>Tue</v>
          </cell>
          <cell r="AJ20" t="str">
            <v>Tis</v>
          </cell>
          <cell r="AK20" t="str">
            <v>อังคาร</v>
          </cell>
          <cell r="AL20" t="str">
            <v>Sal</v>
          </cell>
          <cell r="AM20" t="str">
            <v>T3</v>
          </cell>
          <cell r="AN20" t="str">
            <v>Вт</v>
          </cell>
          <cell r="AO20" t="str">
            <v>منگل</v>
          </cell>
        </row>
        <row r="21">
          <cell r="A21" t="str">
            <v>Wed</v>
          </cell>
          <cell r="B21" t="str">
            <v>Mër</v>
          </cell>
          <cell r="C21" t="str">
            <v>الأربعاء</v>
          </cell>
          <cell r="D21" t="str">
            <v>Չոր.</v>
          </cell>
          <cell r="E21" t="str">
            <v>Ç</v>
          </cell>
          <cell r="F21" t="str">
            <v>Сря</v>
          </cell>
          <cell r="G21" t="str">
            <v>Dix</v>
          </cell>
          <cell r="H21" t="str">
            <v>周三</v>
          </cell>
          <cell r="I21" t="str">
            <v>Wed</v>
          </cell>
          <cell r="J21" t="str">
            <v>Sri</v>
          </cell>
          <cell r="K21" t="str">
            <v>St</v>
          </cell>
          <cell r="L21" t="str">
            <v>Ons</v>
          </cell>
          <cell r="M21" t="str">
            <v>Wo</v>
          </cell>
          <cell r="N21" t="str">
            <v>Mer</v>
          </cell>
          <cell r="O21" t="str">
            <v>ოთხშ</v>
          </cell>
          <cell r="P21" t="str">
            <v>Wed</v>
          </cell>
          <cell r="Q21" t="str">
            <v>Τετ</v>
          </cell>
          <cell r="R21" t="str">
            <v>רביעי</v>
          </cell>
          <cell r="S21" t="str">
            <v>Sze</v>
          </cell>
          <cell r="T21" t="str">
            <v>Rab</v>
          </cell>
          <cell r="U21" t="str">
            <v>Mið</v>
          </cell>
          <cell r="V21" t="str">
            <v>Mer</v>
          </cell>
          <cell r="W21" t="str">
            <v>수</v>
          </cell>
          <cell r="X21" t="str">
            <v>Treč</v>
          </cell>
          <cell r="Y21" t="str">
            <v>Сре</v>
          </cell>
          <cell r="Z21" t="str">
            <v>Erb</v>
          </cell>
          <cell r="AA21" t="str">
            <v>Ons</v>
          </cell>
          <cell r="AB21" t="str">
            <v>چهارشنبه</v>
          </cell>
          <cell r="AC21" t="str">
            <v>Śr</v>
          </cell>
          <cell r="AD21" t="str">
            <v>Qua</v>
          </cell>
          <cell r="AE21" t="str">
            <v>Mie</v>
          </cell>
          <cell r="AF21" t="str">
            <v>Sre</v>
          </cell>
          <cell r="AG21" t="str">
            <v>St</v>
          </cell>
          <cell r="AH21" t="str">
            <v>Sre</v>
          </cell>
          <cell r="AI21" t="str">
            <v>Wed</v>
          </cell>
          <cell r="AJ21" t="str">
            <v>Ons</v>
          </cell>
          <cell r="AK21" t="str">
            <v>พุธ</v>
          </cell>
          <cell r="AL21" t="str">
            <v>Çar</v>
          </cell>
          <cell r="AM21" t="str">
            <v>T4</v>
          </cell>
          <cell r="AN21" t="str">
            <v>Ср</v>
          </cell>
          <cell r="AO21" t="str">
            <v>بدھ</v>
          </cell>
        </row>
        <row r="22">
          <cell r="A22" t="str">
            <v>Thu</v>
          </cell>
          <cell r="B22" t="str">
            <v>Enjt</v>
          </cell>
          <cell r="C22" t="str">
            <v>الخميس</v>
          </cell>
          <cell r="D22" t="str">
            <v>Հինգ.</v>
          </cell>
          <cell r="E22" t="str">
            <v>CA</v>
          </cell>
          <cell r="F22" t="str">
            <v>Четв</v>
          </cell>
          <cell r="G22" t="str">
            <v>Dij</v>
          </cell>
          <cell r="H22" t="str">
            <v>周四</v>
          </cell>
          <cell r="I22" t="str">
            <v>Thu</v>
          </cell>
          <cell r="J22" t="str">
            <v>Čet</v>
          </cell>
          <cell r="K22" t="str">
            <v>Čt</v>
          </cell>
          <cell r="L22" t="str">
            <v>Tor</v>
          </cell>
          <cell r="M22" t="str">
            <v>Do</v>
          </cell>
          <cell r="N22" t="str">
            <v>Jeu</v>
          </cell>
          <cell r="O22" t="str">
            <v>ხუთშ</v>
          </cell>
          <cell r="P22" t="str">
            <v>Thu</v>
          </cell>
          <cell r="Q22" t="str">
            <v>Πεμ</v>
          </cell>
          <cell r="R22" t="str">
            <v>חמישי</v>
          </cell>
          <cell r="S22" t="str">
            <v>Csü</v>
          </cell>
          <cell r="T22" t="str">
            <v>Kam</v>
          </cell>
          <cell r="U22" t="str">
            <v>Fim</v>
          </cell>
          <cell r="V22" t="str">
            <v>Gio</v>
          </cell>
          <cell r="W22" t="str">
            <v>목</v>
          </cell>
          <cell r="X22" t="str">
            <v>Ketv</v>
          </cell>
          <cell r="Y22" t="str">
            <v>Чет</v>
          </cell>
          <cell r="Z22" t="str">
            <v>Ħam</v>
          </cell>
          <cell r="AA22" t="str">
            <v>Tors</v>
          </cell>
          <cell r="AB22" t="str">
            <v>پنجشنبه</v>
          </cell>
          <cell r="AC22" t="str">
            <v>Cz</v>
          </cell>
          <cell r="AD22" t="str">
            <v>Qui</v>
          </cell>
          <cell r="AE22" t="str">
            <v>Joi</v>
          </cell>
          <cell r="AF22" t="str">
            <v>Čet</v>
          </cell>
          <cell r="AG22" t="str">
            <v>Št</v>
          </cell>
          <cell r="AH22" t="str">
            <v>Čet</v>
          </cell>
          <cell r="AI22" t="str">
            <v>Thu</v>
          </cell>
          <cell r="AJ22" t="str">
            <v>Tor</v>
          </cell>
          <cell r="AK22" t="str">
            <v>พฤหัส</v>
          </cell>
          <cell r="AL22" t="str">
            <v>Per</v>
          </cell>
          <cell r="AM22" t="str">
            <v>T5</v>
          </cell>
          <cell r="AN22" t="str">
            <v>Чт</v>
          </cell>
          <cell r="AO22" t="str">
            <v>جمعرات</v>
          </cell>
        </row>
        <row r="23">
          <cell r="A23" t="str">
            <v>Fri</v>
          </cell>
          <cell r="B23" t="str">
            <v>Pre</v>
          </cell>
          <cell r="C23" t="str">
            <v>الجمعة</v>
          </cell>
          <cell r="D23" t="str">
            <v>Ուրբ.</v>
          </cell>
          <cell r="E23" t="str">
            <v>C</v>
          </cell>
          <cell r="F23" t="str">
            <v>Пет</v>
          </cell>
          <cell r="G23" t="str">
            <v>Div</v>
          </cell>
          <cell r="H23" t="str">
            <v>周五</v>
          </cell>
          <cell r="I23" t="str">
            <v>Fri</v>
          </cell>
          <cell r="J23" t="str">
            <v>Pet</v>
          </cell>
          <cell r="K23" t="str">
            <v>Pá</v>
          </cell>
          <cell r="L23" t="str">
            <v>Fre</v>
          </cell>
          <cell r="M23" t="str">
            <v>Vr</v>
          </cell>
          <cell r="N23" t="str">
            <v>Ven</v>
          </cell>
          <cell r="O23" t="str">
            <v>პარ</v>
          </cell>
          <cell r="P23" t="str">
            <v>Fri</v>
          </cell>
          <cell r="Q23" t="str">
            <v>Παρ</v>
          </cell>
          <cell r="R23" t="str">
            <v>שישי</v>
          </cell>
          <cell r="S23" t="str">
            <v>Pé</v>
          </cell>
          <cell r="T23" t="str">
            <v>Jum</v>
          </cell>
          <cell r="U23" t="str">
            <v>Fös</v>
          </cell>
          <cell r="V23" t="str">
            <v>Ven</v>
          </cell>
          <cell r="W23" t="str">
            <v>금</v>
          </cell>
          <cell r="X23" t="str">
            <v>Penk</v>
          </cell>
          <cell r="Y23" t="str">
            <v>Пет</v>
          </cell>
          <cell r="Z23" t="str">
            <v>Ġim</v>
          </cell>
          <cell r="AA23" t="str">
            <v>Fre</v>
          </cell>
          <cell r="AB23" t="str">
            <v>جمعه</v>
          </cell>
          <cell r="AC23" t="str">
            <v>Pt</v>
          </cell>
          <cell r="AD23" t="str">
            <v>Sex</v>
          </cell>
          <cell r="AE23" t="str">
            <v>Vin</v>
          </cell>
          <cell r="AF23" t="str">
            <v>Pet</v>
          </cell>
          <cell r="AG23" t="str">
            <v>Pi</v>
          </cell>
          <cell r="AH23" t="str">
            <v>Pet</v>
          </cell>
          <cell r="AI23" t="str">
            <v>Fri</v>
          </cell>
          <cell r="AJ23" t="str">
            <v>Fre</v>
          </cell>
          <cell r="AK23" t="str">
            <v>ศุกร์</v>
          </cell>
          <cell r="AL23" t="str">
            <v>Cum</v>
          </cell>
          <cell r="AM23" t="str">
            <v>T6</v>
          </cell>
          <cell r="AN23" t="str">
            <v>Пт</v>
          </cell>
          <cell r="AO23" t="str">
            <v>جمعہ</v>
          </cell>
        </row>
        <row r="24">
          <cell r="A24" t="str">
            <v>Sat</v>
          </cell>
          <cell r="B24" t="str">
            <v>Sht</v>
          </cell>
          <cell r="C24" t="str">
            <v>السبت</v>
          </cell>
          <cell r="D24" t="str">
            <v>Շաբ.</v>
          </cell>
          <cell r="E24" t="str">
            <v>Ş</v>
          </cell>
          <cell r="F24" t="str">
            <v>Съб</v>
          </cell>
          <cell r="G24" t="str">
            <v>Dis</v>
          </cell>
          <cell r="H24" t="str">
            <v>周六</v>
          </cell>
          <cell r="I24" t="str">
            <v>Sat</v>
          </cell>
          <cell r="J24" t="str">
            <v>Sub</v>
          </cell>
          <cell r="K24" t="str">
            <v>So</v>
          </cell>
          <cell r="L24" t="str">
            <v>Lør</v>
          </cell>
          <cell r="M24" t="str">
            <v>Za</v>
          </cell>
          <cell r="N24" t="str">
            <v>Sam</v>
          </cell>
          <cell r="O24" t="str">
            <v>შაბ</v>
          </cell>
          <cell r="P24" t="str">
            <v>Sat</v>
          </cell>
          <cell r="Q24" t="str">
            <v>Σαβ</v>
          </cell>
          <cell r="R24" t="str">
            <v>שבת</v>
          </cell>
          <cell r="S24" t="str">
            <v>Szo</v>
          </cell>
          <cell r="T24" t="str">
            <v>Sab</v>
          </cell>
          <cell r="U24" t="str">
            <v>Lau</v>
          </cell>
          <cell r="V24" t="str">
            <v>Sab</v>
          </cell>
          <cell r="W24" t="str">
            <v>토</v>
          </cell>
          <cell r="X24" t="str">
            <v>Šešt</v>
          </cell>
          <cell r="Y24" t="str">
            <v>Саб</v>
          </cell>
          <cell r="Z24" t="str">
            <v>Sib</v>
          </cell>
          <cell r="AA24" t="str">
            <v>Lør</v>
          </cell>
          <cell r="AB24" t="str">
            <v>شنبه</v>
          </cell>
          <cell r="AC24" t="str">
            <v>So</v>
          </cell>
          <cell r="AD24" t="str">
            <v>Sab</v>
          </cell>
          <cell r="AE24" t="str">
            <v>Sam</v>
          </cell>
          <cell r="AF24" t="str">
            <v>Sub</v>
          </cell>
          <cell r="AG24" t="str">
            <v>So</v>
          </cell>
          <cell r="AH24" t="str">
            <v>Sob</v>
          </cell>
          <cell r="AI24" t="str">
            <v>Sat</v>
          </cell>
          <cell r="AJ24" t="str">
            <v>Lör</v>
          </cell>
          <cell r="AK24" t="str">
            <v>เสาร์</v>
          </cell>
          <cell r="AL24" t="str">
            <v>Cmt</v>
          </cell>
          <cell r="AM24" t="str">
            <v>T7</v>
          </cell>
          <cell r="AN24" t="str">
            <v>Сб</v>
          </cell>
          <cell r="AO24" t="str">
            <v>سنیچر</v>
          </cell>
        </row>
        <row r="25">
          <cell r="A25" t="str">
            <v>Jan</v>
          </cell>
          <cell r="B25" t="str">
            <v>Jan</v>
          </cell>
          <cell r="C25" t="str">
            <v>كانون ثاني</v>
          </cell>
          <cell r="D25" t="str">
            <v>Հունվ.</v>
          </cell>
          <cell r="E25" t="str">
            <v>Yan</v>
          </cell>
          <cell r="F25" t="str">
            <v>Януари</v>
          </cell>
          <cell r="G25" t="str">
            <v>Gen</v>
          </cell>
          <cell r="H25" t="str">
            <v>一月</v>
          </cell>
          <cell r="I25" t="str">
            <v>Jan</v>
          </cell>
          <cell r="J25" t="str">
            <v>Sij</v>
          </cell>
          <cell r="K25" t="str">
            <v>Jan</v>
          </cell>
          <cell r="L25" t="str">
            <v>Jan</v>
          </cell>
          <cell r="M25" t="str">
            <v>Jan</v>
          </cell>
          <cell r="N25" t="str">
            <v>Janv</v>
          </cell>
          <cell r="O25" t="str">
            <v>იან</v>
          </cell>
          <cell r="P25" t="str">
            <v>Jan</v>
          </cell>
          <cell r="Q25" t="str">
            <v>Ιαν</v>
          </cell>
          <cell r="R25" t="str">
            <v>ינואר</v>
          </cell>
          <cell r="S25" t="str">
            <v>Jan</v>
          </cell>
          <cell r="T25" t="str">
            <v>Jan</v>
          </cell>
          <cell r="U25" t="str">
            <v>Jan</v>
          </cell>
          <cell r="V25" t="str">
            <v>Gen</v>
          </cell>
          <cell r="W25" t="str">
            <v>1월</v>
          </cell>
          <cell r="X25" t="str">
            <v>Saus</v>
          </cell>
          <cell r="Y25" t="str">
            <v>Јан</v>
          </cell>
          <cell r="Z25" t="str">
            <v>Jan</v>
          </cell>
          <cell r="AA25" t="str">
            <v>Jan</v>
          </cell>
          <cell r="AB25" t="str">
            <v>زانویه</v>
          </cell>
          <cell r="AC25" t="str">
            <v>Sty</v>
          </cell>
          <cell r="AD25" t="str">
            <v>Jan</v>
          </cell>
          <cell r="AE25" t="str">
            <v>Ian</v>
          </cell>
          <cell r="AF25" t="str">
            <v>Jan</v>
          </cell>
          <cell r="AG25" t="str">
            <v>Jan</v>
          </cell>
          <cell r="AH25" t="str">
            <v>Jan</v>
          </cell>
          <cell r="AI25" t="str">
            <v>Ene</v>
          </cell>
          <cell r="AJ25" t="str">
            <v>jan</v>
          </cell>
          <cell r="AK25" t="str">
            <v>มกราคม</v>
          </cell>
          <cell r="AL25" t="str">
            <v>Oca</v>
          </cell>
          <cell r="AM25" t="str">
            <v>Tháng 1</v>
          </cell>
          <cell r="AN25" t="str">
            <v>Січ</v>
          </cell>
          <cell r="AO25" t="str">
            <v>جنوری</v>
          </cell>
        </row>
        <row r="26">
          <cell r="A26" t="str">
            <v>Feb</v>
          </cell>
          <cell r="B26" t="str">
            <v>Shk</v>
          </cell>
          <cell r="C26" t="str">
            <v>شباط</v>
          </cell>
          <cell r="D26" t="str">
            <v>Փետր.</v>
          </cell>
          <cell r="E26" t="str">
            <v>Fev</v>
          </cell>
          <cell r="F26" t="str">
            <v>Февруари</v>
          </cell>
          <cell r="G26" t="str">
            <v>Feb</v>
          </cell>
          <cell r="H26" t="str">
            <v>二月</v>
          </cell>
          <cell r="I26" t="str">
            <v>Feb</v>
          </cell>
          <cell r="J26" t="str">
            <v>Vel</v>
          </cell>
          <cell r="K26" t="str">
            <v>Feb</v>
          </cell>
          <cell r="L26" t="str">
            <v>Feb</v>
          </cell>
          <cell r="M26" t="str">
            <v>Feb</v>
          </cell>
          <cell r="N26" t="str">
            <v>Févr</v>
          </cell>
          <cell r="O26" t="str">
            <v>თებ</v>
          </cell>
          <cell r="P26" t="str">
            <v>Feb</v>
          </cell>
          <cell r="Q26" t="str">
            <v>Φεβ</v>
          </cell>
          <cell r="R26" t="str">
            <v>פברואר</v>
          </cell>
          <cell r="S26" t="str">
            <v>Feb</v>
          </cell>
          <cell r="T26" t="str">
            <v>Peb</v>
          </cell>
          <cell r="U26" t="str">
            <v>Feb</v>
          </cell>
          <cell r="V26" t="str">
            <v>Feb</v>
          </cell>
          <cell r="W26" t="str">
            <v>2월</v>
          </cell>
          <cell r="X26" t="str">
            <v>Vas</v>
          </cell>
          <cell r="Y26" t="str">
            <v>Фев</v>
          </cell>
          <cell r="Z26" t="str">
            <v>Fra</v>
          </cell>
          <cell r="AA26" t="str">
            <v>Feb</v>
          </cell>
          <cell r="AB26" t="str">
            <v>فوریه</v>
          </cell>
          <cell r="AC26" t="str">
            <v>Lut</v>
          </cell>
          <cell r="AD26" t="str">
            <v>Fev</v>
          </cell>
          <cell r="AE26" t="str">
            <v>Feb</v>
          </cell>
          <cell r="AF26" t="str">
            <v>Feb</v>
          </cell>
          <cell r="AG26" t="str">
            <v>Feb</v>
          </cell>
          <cell r="AH26" t="str">
            <v>Feb</v>
          </cell>
          <cell r="AI26" t="str">
            <v>Feb</v>
          </cell>
          <cell r="AJ26" t="str">
            <v>Feb</v>
          </cell>
          <cell r="AK26" t="str">
            <v>กุมภาพันธ์</v>
          </cell>
          <cell r="AL26" t="str">
            <v>Şub</v>
          </cell>
          <cell r="AM26" t="str">
            <v>Tháng 2</v>
          </cell>
          <cell r="AN26" t="str">
            <v>Лют</v>
          </cell>
          <cell r="AO26" t="str">
            <v>فروری</v>
          </cell>
        </row>
        <row r="27">
          <cell r="A27" t="str">
            <v>Mar</v>
          </cell>
          <cell r="B27" t="str">
            <v>Mar</v>
          </cell>
          <cell r="C27" t="str">
            <v>آذار</v>
          </cell>
          <cell r="D27" t="str">
            <v>Մարտ</v>
          </cell>
          <cell r="E27" t="str">
            <v>Mar</v>
          </cell>
          <cell r="F27" t="str">
            <v>Март</v>
          </cell>
          <cell r="G27" t="str">
            <v>Mar</v>
          </cell>
          <cell r="H27" t="str">
            <v>三月</v>
          </cell>
          <cell r="I27" t="str">
            <v>Mar</v>
          </cell>
          <cell r="J27" t="str">
            <v>Ožu</v>
          </cell>
          <cell r="K27" t="str">
            <v>Mar</v>
          </cell>
          <cell r="L27" t="str">
            <v>Mar</v>
          </cell>
          <cell r="M27" t="str">
            <v>Mrt</v>
          </cell>
          <cell r="N27" t="str">
            <v>Mars</v>
          </cell>
          <cell r="O27" t="str">
            <v>მარ</v>
          </cell>
          <cell r="P27" t="str">
            <v>Mrz</v>
          </cell>
          <cell r="Q27" t="str">
            <v>Μαρ</v>
          </cell>
          <cell r="R27" t="str">
            <v>מרץ</v>
          </cell>
          <cell r="S27" t="str">
            <v>Már</v>
          </cell>
          <cell r="T27" t="str">
            <v>Mar</v>
          </cell>
          <cell r="U27" t="str">
            <v>Mar</v>
          </cell>
          <cell r="V27" t="str">
            <v>Mar</v>
          </cell>
          <cell r="W27" t="str">
            <v>3월</v>
          </cell>
          <cell r="X27" t="str">
            <v>Kov</v>
          </cell>
          <cell r="Y27" t="str">
            <v>Мар</v>
          </cell>
          <cell r="Z27" t="str">
            <v>Mar</v>
          </cell>
          <cell r="AA27" t="str">
            <v>Mar</v>
          </cell>
          <cell r="AB27" t="str">
            <v>مارس</v>
          </cell>
          <cell r="AC27" t="str">
            <v>Mar</v>
          </cell>
          <cell r="AD27" t="str">
            <v>Mar</v>
          </cell>
          <cell r="AE27" t="str">
            <v>Mar</v>
          </cell>
          <cell r="AF27" t="str">
            <v>Mar</v>
          </cell>
          <cell r="AG27" t="str">
            <v>Mar</v>
          </cell>
          <cell r="AH27" t="str">
            <v>Mar</v>
          </cell>
          <cell r="AI27" t="str">
            <v>Mar</v>
          </cell>
          <cell r="AJ27" t="str">
            <v>mar</v>
          </cell>
          <cell r="AK27" t="str">
            <v>มีนาคม</v>
          </cell>
          <cell r="AL27" t="str">
            <v>Mar</v>
          </cell>
          <cell r="AM27" t="str">
            <v>Tháng 3</v>
          </cell>
          <cell r="AN27" t="str">
            <v>Бер</v>
          </cell>
          <cell r="AO27" t="str">
            <v>مارچ</v>
          </cell>
        </row>
        <row r="28">
          <cell r="A28" t="str">
            <v>Apr</v>
          </cell>
          <cell r="B28" t="str">
            <v>Pri</v>
          </cell>
          <cell r="C28" t="str">
            <v>نيسان</v>
          </cell>
          <cell r="D28" t="str">
            <v>Ապրիլ</v>
          </cell>
          <cell r="E28" t="str">
            <v>Apr</v>
          </cell>
          <cell r="F28" t="str">
            <v>Април</v>
          </cell>
          <cell r="G28" t="str">
            <v>Abr</v>
          </cell>
          <cell r="H28" t="str">
            <v>四月</v>
          </cell>
          <cell r="I28" t="str">
            <v>Apr</v>
          </cell>
          <cell r="J28" t="str">
            <v>Tra</v>
          </cell>
          <cell r="K28" t="str">
            <v>Apr</v>
          </cell>
          <cell r="L28" t="str">
            <v>Apr</v>
          </cell>
          <cell r="M28" t="str">
            <v>Apr</v>
          </cell>
          <cell r="N28" t="str">
            <v>Avr</v>
          </cell>
          <cell r="O28" t="str">
            <v>აპრ</v>
          </cell>
          <cell r="P28" t="str">
            <v>Apr</v>
          </cell>
          <cell r="Q28" t="str">
            <v>Απρ</v>
          </cell>
          <cell r="R28" t="str">
            <v>אפריל</v>
          </cell>
          <cell r="S28" t="str">
            <v>Ápr</v>
          </cell>
          <cell r="T28" t="str">
            <v>Apr</v>
          </cell>
          <cell r="U28" t="str">
            <v>Apr</v>
          </cell>
          <cell r="V28" t="str">
            <v>Apr</v>
          </cell>
          <cell r="W28" t="str">
            <v>4월</v>
          </cell>
          <cell r="X28" t="str">
            <v>Bal</v>
          </cell>
          <cell r="Y28" t="str">
            <v>Апр</v>
          </cell>
          <cell r="Z28" t="str">
            <v>Apr</v>
          </cell>
          <cell r="AA28" t="str">
            <v>Apr</v>
          </cell>
          <cell r="AB28" t="str">
            <v>آوریل</v>
          </cell>
          <cell r="AC28" t="str">
            <v>Kwi</v>
          </cell>
          <cell r="AD28" t="str">
            <v>Abr</v>
          </cell>
          <cell r="AE28" t="str">
            <v>Apr</v>
          </cell>
          <cell r="AF28" t="str">
            <v>Apr</v>
          </cell>
          <cell r="AG28" t="str">
            <v>Apr</v>
          </cell>
          <cell r="AH28" t="str">
            <v>Apr</v>
          </cell>
          <cell r="AI28" t="str">
            <v>Abr</v>
          </cell>
          <cell r="AJ28" t="str">
            <v>apr</v>
          </cell>
          <cell r="AK28" t="str">
            <v>เมษายน</v>
          </cell>
          <cell r="AL28" t="str">
            <v>Nis</v>
          </cell>
          <cell r="AM28" t="str">
            <v>Tháng 4</v>
          </cell>
          <cell r="AN28" t="str">
            <v>Квіт</v>
          </cell>
          <cell r="AO28" t="str">
            <v>اپریل</v>
          </cell>
        </row>
        <row r="29">
          <cell r="A29" t="str">
            <v>May</v>
          </cell>
          <cell r="B29" t="str">
            <v>Maj</v>
          </cell>
          <cell r="C29" t="str">
            <v>أياد</v>
          </cell>
          <cell r="D29" t="str">
            <v>Մայիս</v>
          </cell>
          <cell r="E29" t="str">
            <v>May</v>
          </cell>
          <cell r="F29" t="str">
            <v>Май</v>
          </cell>
          <cell r="G29" t="str">
            <v>Mai</v>
          </cell>
          <cell r="H29" t="str">
            <v>五月</v>
          </cell>
          <cell r="I29" t="str">
            <v>May</v>
          </cell>
          <cell r="J29" t="str">
            <v>Svi</v>
          </cell>
          <cell r="K29" t="str">
            <v>May</v>
          </cell>
          <cell r="L29" t="str">
            <v>Maj</v>
          </cell>
          <cell r="M29" t="str">
            <v>Mei</v>
          </cell>
          <cell r="N29" t="str">
            <v>Mai</v>
          </cell>
          <cell r="O29" t="str">
            <v>მაი</v>
          </cell>
          <cell r="P29" t="str">
            <v>Mai</v>
          </cell>
          <cell r="Q29" t="str">
            <v>Μαϊ</v>
          </cell>
          <cell r="R29" t="str">
            <v>מאי</v>
          </cell>
          <cell r="S29" t="str">
            <v>Máj</v>
          </cell>
          <cell r="T29" t="str">
            <v>Mei</v>
          </cell>
          <cell r="U29" t="str">
            <v>Maí</v>
          </cell>
          <cell r="V29" t="str">
            <v>Mag</v>
          </cell>
          <cell r="W29" t="str">
            <v>5월</v>
          </cell>
          <cell r="X29" t="str">
            <v>Geg</v>
          </cell>
          <cell r="Y29" t="str">
            <v>Мај</v>
          </cell>
          <cell r="Z29" t="str">
            <v>Mej</v>
          </cell>
          <cell r="AA29" t="str">
            <v>Mai</v>
          </cell>
          <cell r="AB29" t="str">
            <v>می</v>
          </cell>
          <cell r="AC29" t="str">
            <v>Maj</v>
          </cell>
          <cell r="AD29" t="str">
            <v>Mai</v>
          </cell>
          <cell r="AE29" t="str">
            <v>Mai</v>
          </cell>
          <cell r="AF29" t="str">
            <v>Maj</v>
          </cell>
          <cell r="AG29" t="str">
            <v>Máj</v>
          </cell>
          <cell r="AH29" t="str">
            <v>Maj</v>
          </cell>
          <cell r="AI29" t="str">
            <v>May</v>
          </cell>
          <cell r="AJ29" t="str">
            <v>maj</v>
          </cell>
          <cell r="AK29" t="str">
            <v>พฤษภาคม</v>
          </cell>
          <cell r="AL29" t="str">
            <v>May</v>
          </cell>
          <cell r="AM29" t="str">
            <v>Tháng 5</v>
          </cell>
          <cell r="AN29" t="str">
            <v>Трав</v>
          </cell>
          <cell r="AO29" t="str">
            <v>مئی</v>
          </cell>
        </row>
        <row r="30">
          <cell r="A30" t="str">
            <v>Jun</v>
          </cell>
          <cell r="B30" t="str">
            <v>Qer</v>
          </cell>
          <cell r="C30" t="str">
            <v>حزيران</v>
          </cell>
          <cell r="D30" t="str">
            <v>Հունիս</v>
          </cell>
          <cell r="E30" t="str">
            <v>İyn</v>
          </cell>
          <cell r="F30" t="str">
            <v>Юни</v>
          </cell>
          <cell r="G30" t="str">
            <v>Jun</v>
          </cell>
          <cell r="H30" t="str">
            <v>六月</v>
          </cell>
          <cell r="I30" t="str">
            <v>Jun</v>
          </cell>
          <cell r="J30" t="str">
            <v>Lip</v>
          </cell>
          <cell r="K30" t="str">
            <v>Čer</v>
          </cell>
          <cell r="L30" t="str">
            <v>Jun</v>
          </cell>
          <cell r="M30" t="str">
            <v>Jun</v>
          </cell>
          <cell r="N30" t="str">
            <v>Juin</v>
          </cell>
          <cell r="O30" t="str">
            <v>ივნ</v>
          </cell>
          <cell r="P30" t="str">
            <v>Jun</v>
          </cell>
          <cell r="Q30" t="str">
            <v>Ιουν</v>
          </cell>
          <cell r="R30" t="str">
            <v>יוני</v>
          </cell>
          <cell r="S30" t="str">
            <v>Jún</v>
          </cell>
          <cell r="T30" t="str">
            <v>Jun</v>
          </cell>
          <cell r="U30" t="str">
            <v>Jún</v>
          </cell>
          <cell r="V30" t="str">
            <v>Giu</v>
          </cell>
          <cell r="W30" t="str">
            <v>6월</v>
          </cell>
          <cell r="X30" t="str">
            <v>Birž</v>
          </cell>
          <cell r="Y30" t="str">
            <v>Јун</v>
          </cell>
          <cell r="Z30" t="str">
            <v>Ġun</v>
          </cell>
          <cell r="AA30" t="str">
            <v>Jun</v>
          </cell>
          <cell r="AB30" t="str">
            <v>ژوئن</v>
          </cell>
          <cell r="AC30" t="str">
            <v>Cze</v>
          </cell>
          <cell r="AD30" t="str">
            <v>Jun</v>
          </cell>
          <cell r="AE30" t="str">
            <v>Iun</v>
          </cell>
          <cell r="AF30" t="str">
            <v>Jun</v>
          </cell>
          <cell r="AG30" t="str">
            <v>Jún</v>
          </cell>
          <cell r="AH30" t="str">
            <v>Jun</v>
          </cell>
          <cell r="AI30" t="str">
            <v>Jun</v>
          </cell>
          <cell r="AJ30" t="str">
            <v>jun</v>
          </cell>
          <cell r="AK30" t="str">
            <v>มิถุนายน</v>
          </cell>
          <cell r="AL30" t="str">
            <v>Haz</v>
          </cell>
          <cell r="AM30" t="str">
            <v>Tháng 6</v>
          </cell>
          <cell r="AN30" t="str">
            <v>Черв</v>
          </cell>
          <cell r="AO30" t="str">
            <v>جون</v>
          </cell>
        </row>
        <row r="31">
          <cell r="A31" t="str">
            <v>Jul</v>
          </cell>
          <cell r="B31" t="str">
            <v>Kor</v>
          </cell>
          <cell r="C31" t="str">
            <v>تموز</v>
          </cell>
          <cell r="D31" t="str">
            <v>Հուլիս</v>
          </cell>
          <cell r="E31" t="str">
            <v>İyl</v>
          </cell>
          <cell r="F31" t="str">
            <v>Юли</v>
          </cell>
          <cell r="G31" t="str">
            <v>Jul</v>
          </cell>
          <cell r="H31" t="str">
            <v>七月</v>
          </cell>
          <cell r="I31" t="str">
            <v>Jul</v>
          </cell>
          <cell r="J31" t="str">
            <v>Srp</v>
          </cell>
          <cell r="K31" t="str">
            <v>Čec</v>
          </cell>
          <cell r="L31" t="str">
            <v>Jul</v>
          </cell>
          <cell r="M31" t="str">
            <v>Jul</v>
          </cell>
          <cell r="N31" t="str">
            <v>Juil</v>
          </cell>
          <cell r="O31" t="str">
            <v>ივლ</v>
          </cell>
          <cell r="P31" t="str">
            <v>Jul</v>
          </cell>
          <cell r="Q31" t="str">
            <v>Ιουλ</v>
          </cell>
          <cell r="R31" t="str">
            <v>יולי</v>
          </cell>
          <cell r="S31" t="str">
            <v>Júl</v>
          </cell>
          <cell r="T31" t="str">
            <v>Jul</v>
          </cell>
          <cell r="U31" t="str">
            <v>Júl</v>
          </cell>
          <cell r="V31" t="str">
            <v>Lug</v>
          </cell>
          <cell r="W31" t="str">
            <v>7월</v>
          </cell>
          <cell r="X31" t="str">
            <v>Lie</v>
          </cell>
          <cell r="Y31" t="str">
            <v>Јул</v>
          </cell>
          <cell r="Z31" t="str">
            <v>Lul</v>
          </cell>
          <cell r="AA31" t="str">
            <v>Jul</v>
          </cell>
          <cell r="AB31" t="str">
            <v>ژولای</v>
          </cell>
          <cell r="AC31" t="str">
            <v>Lip</v>
          </cell>
          <cell r="AD31" t="str">
            <v>Jul</v>
          </cell>
          <cell r="AE31" t="str">
            <v>Iul</v>
          </cell>
          <cell r="AF31" t="str">
            <v>Jul</v>
          </cell>
          <cell r="AG31" t="str">
            <v>Júl</v>
          </cell>
          <cell r="AH31" t="str">
            <v>Jul</v>
          </cell>
          <cell r="AI31" t="str">
            <v>Jul</v>
          </cell>
          <cell r="AJ31" t="str">
            <v>jul</v>
          </cell>
          <cell r="AK31" t="str">
            <v>กรกฎาคม</v>
          </cell>
          <cell r="AL31" t="str">
            <v>Tem</v>
          </cell>
          <cell r="AM31" t="str">
            <v>Tháng 7</v>
          </cell>
          <cell r="AN31" t="str">
            <v>Лип</v>
          </cell>
          <cell r="AO31" t="str">
            <v>جولائی</v>
          </cell>
        </row>
        <row r="32">
          <cell r="A32" t="str">
            <v>Aug</v>
          </cell>
          <cell r="B32" t="str">
            <v>Gus</v>
          </cell>
          <cell r="C32" t="str">
            <v>آب</v>
          </cell>
          <cell r="D32" t="str">
            <v>Օգոս.</v>
          </cell>
          <cell r="E32" t="str">
            <v>Avq</v>
          </cell>
          <cell r="F32" t="str">
            <v>Август</v>
          </cell>
          <cell r="G32" t="str">
            <v>Ago</v>
          </cell>
          <cell r="H32" t="str">
            <v>八月</v>
          </cell>
          <cell r="I32" t="str">
            <v>Aug</v>
          </cell>
          <cell r="J32" t="str">
            <v>Kol</v>
          </cell>
          <cell r="K32" t="str">
            <v>Aug</v>
          </cell>
          <cell r="L32" t="str">
            <v>Aug</v>
          </cell>
          <cell r="M32" t="str">
            <v>Aug</v>
          </cell>
          <cell r="N32" t="str">
            <v>Août</v>
          </cell>
          <cell r="O32" t="str">
            <v>აგვ</v>
          </cell>
          <cell r="P32" t="str">
            <v>Aug</v>
          </cell>
          <cell r="Q32" t="str">
            <v>Αυγ</v>
          </cell>
          <cell r="R32" t="str">
            <v>אוגוסט</v>
          </cell>
          <cell r="S32" t="str">
            <v>Aug</v>
          </cell>
          <cell r="T32" t="str">
            <v>Agu</v>
          </cell>
          <cell r="U32" t="str">
            <v>Ágú</v>
          </cell>
          <cell r="V32" t="str">
            <v>Ago</v>
          </cell>
          <cell r="W32" t="str">
            <v>8월</v>
          </cell>
          <cell r="X32" t="str">
            <v>Rugp</v>
          </cell>
          <cell r="Y32" t="str">
            <v>Авг</v>
          </cell>
          <cell r="Z32" t="str">
            <v>Aww</v>
          </cell>
          <cell r="AA32" t="str">
            <v>Aug</v>
          </cell>
          <cell r="AB32" t="str">
            <v>اگوست</v>
          </cell>
          <cell r="AC32" t="str">
            <v>Się</v>
          </cell>
          <cell r="AD32" t="str">
            <v>Ago</v>
          </cell>
          <cell r="AE32" t="str">
            <v>Aug</v>
          </cell>
          <cell r="AF32" t="str">
            <v>Avg</v>
          </cell>
          <cell r="AG32" t="str">
            <v>Aug</v>
          </cell>
          <cell r="AH32" t="str">
            <v>Avg</v>
          </cell>
          <cell r="AI32" t="str">
            <v>Ago</v>
          </cell>
          <cell r="AJ32" t="str">
            <v>Aug</v>
          </cell>
          <cell r="AK32" t="str">
            <v>สิงหาคม</v>
          </cell>
          <cell r="AL32" t="str">
            <v>Ağu</v>
          </cell>
          <cell r="AM32" t="str">
            <v>Tháng 8</v>
          </cell>
          <cell r="AN32" t="str">
            <v>Серп</v>
          </cell>
          <cell r="AO32" t="str">
            <v>اگست</v>
          </cell>
        </row>
        <row r="33">
          <cell r="A33" t="str">
            <v>Sep</v>
          </cell>
          <cell r="B33" t="str">
            <v>Shta</v>
          </cell>
          <cell r="C33" t="str">
            <v>أيلول</v>
          </cell>
          <cell r="D33" t="str">
            <v>Սեպտ.</v>
          </cell>
          <cell r="E33" t="str">
            <v>Sen</v>
          </cell>
          <cell r="F33" t="str">
            <v>Септември</v>
          </cell>
          <cell r="G33" t="str">
            <v>Set</v>
          </cell>
          <cell r="H33" t="str">
            <v>九月</v>
          </cell>
          <cell r="I33" t="str">
            <v>Sep</v>
          </cell>
          <cell r="J33" t="str">
            <v>Ruj</v>
          </cell>
          <cell r="K33" t="str">
            <v>Sep</v>
          </cell>
          <cell r="L33" t="str">
            <v>Sep</v>
          </cell>
          <cell r="M33" t="str">
            <v>Sep</v>
          </cell>
          <cell r="N33" t="str">
            <v>Sept</v>
          </cell>
          <cell r="O33" t="str">
            <v>სექ</v>
          </cell>
          <cell r="P33" t="str">
            <v>Sep</v>
          </cell>
          <cell r="Q33" t="str">
            <v>Σεπ</v>
          </cell>
          <cell r="R33" t="str">
            <v>ספטמבר</v>
          </cell>
          <cell r="S33" t="str">
            <v>Szep</v>
          </cell>
          <cell r="T33" t="str">
            <v>Sep</v>
          </cell>
          <cell r="U33" t="str">
            <v>Sep</v>
          </cell>
          <cell r="V33" t="str">
            <v>Set</v>
          </cell>
          <cell r="W33" t="str">
            <v>9월</v>
          </cell>
          <cell r="X33" t="str">
            <v>Rugs</v>
          </cell>
          <cell r="Y33" t="str">
            <v>Сеп</v>
          </cell>
          <cell r="Z33" t="str">
            <v>Set</v>
          </cell>
          <cell r="AA33" t="str">
            <v>Sep</v>
          </cell>
          <cell r="AB33" t="str">
            <v>سپتامبر</v>
          </cell>
          <cell r="AC33" t="str">
            <v>Wrz</v>
          </cell>
          <cell r="AD33" t="str">
            <v>Set</v>
          </cell>
          <cell r="AE33" t="str">
            <v>Sep</v>
          </cell>
          <cell r="AF33" t="str">
            <v>Sep</v>
          </cell>
          <cell r="AG33" t="str">
            <v>Sep</v>
          </cell>
          <cell r="AH33" t="str">
            <v>Sep</v>
          </cell>
          <cell r="AI33" t="str">
            <v>Sep</v>
          </cell>
          <cell r="AJ33" t="str">
            <v>sep</v>
          </cell>
          <cell r="AK33" t="str">
            <v>กันยายน</v>
          </cell>
          <cell r="AL33" t="str">
            <v>Eyl</v>
          </cell>
          <cell r="AM33" t="str">
            <v>Tháng 9</v>
          </cell>
          <cell r="AN33" t="str">
            <v>Вер</v>
          </cell>
          <cell r="AO33" t="str">
            <v>ستمبر</v>
          </cell>
        </row>
        <row r="34">
          <cell r="A34" t="str">
            <v>Oct</v>
          </cell>
          <cell r="B34" t="str">
            <v>Tet</v>
          </cell>
          <cell r="C34" t="str">
            <v>تشرين أول</v>
          </cell>
          <cell r="D34" t="str">
            <v>Հոկտ.</v>
          </cell>
          <cell r="E34" t="str">
            <v>Okt</v>
          </cell>
          <cell r="F34" t="str">
            <v>Октомври</v>
          </cell>
          <cell r="G34" t="str">
            <v>Oct</v>
          </cell>
          <cell r="H34" t="str">
            <v>十月</v>
          </cell>
          <cell r="I34" t="str">
            <v>Oct</v>
          </cell>
          <cell r="J34" t="str">
            <v>Lis</v>
          </cell>
          <cell r="K34" t="str">
            <v>Oct</v>
          </cell>
          <cell r="L34" t="str">
            <v>Okt</v>
          </cell>
          <cell r="M34" t="str">
            <v>Okt</v>
          </cell>
          <cell r="N34" t="str">
            <v>Oct</v>
          </cell>
          <cell r="O34" t="str">
            <v>ოქტ</v>
          </cell>
          <cell r="P34" t="str">
            <v>Okt</v>
          </cell>
          <cell r="Q34" t="str">
            <v>Οκτ</v>
          </cell>
          <cell r="R34" t="str">
            <v>אוקטובר</v>
          </cell>
          <cell r="S34" t="str">
            <v>Okt</v>
          </cell>
          <cell r="T34" t="str">
            <v>Okt</v>
          </cell>
          <cell r="U34" t="str">
            <v>Okt</v>
          </cell>
          <cell r="V34" t="str">
            <v>Ott</v>
          </cell>
          <cell r="W34" t="str">
            <v>10월</v>
          </cell>
          <cell r="X34" t="str">
            <v>Spa</v>
          </cell>
          <cell r="Y34" t="str">
            <v>Окт</v>
          </cell>
          <cell r="Z34" t="str">
            <v>Ott</v>
          </cell>
          <cell r="AA34" t="str">
            <v>Okt</v>
          </cell>
          <cell r="AB34" t="str">
            <v>اکتبر</v>
          </cell>
          <cell r="AC34" t="str">
            <v>Paź</v>
          </cell>
          <cell r="AD34" t="str">
            <v>Out</v>
          </cell>
          <cell r="AE34" t="str">
            <v>Oct</v>
          </cell>
          <cell r="AF34" t="str">
            <v>Okt</v>
          </cell>
          <cell r="AG34" t="str">
            <v>Okt</v>
          </cell>
          <cell r="AH34" t="str">
            <v>Oct</v>
          </cell>
          <cell r="AI34" t="str">
            <v>Oct</v>
          </cell>
          <cell r="AJ34" t="str">
            <v>okt</v>
          </cell>
          <cell r="AK34" t="str">
            <v>ตุลาคม</v>
          </cell>
          <cell r="AL34" t="str">
            <v>Eki</v>
          </cell>
          <cell r="AM34" t="str">
            <v>Tháng 10</v>
          </cell>
          <cell r="AN34" t="str">
            <v>Жовт</v>
          </cell>
          <cell r="AO34" t="str">
            <v>اکتوبر</v>
          </cell>
        </row>
        <row r="35">
          <cell r="A35" t="str">
            <v>Nov</v>
          </cell>
          <cell r="B35" t="str">
            <v>Nën</v>
          </cell>
          <cell r="C35" t="str">
            <v>تشرين ثاني</v>
          </cell>
          <cell r="D35" t="str">
            <v>Նոյեմ.</v>
          </cell>
          <cell r="E35" t="str">
            <v>Noy</v>
          </cell>
          <cell r="F35" t="str">
            <v>Ноември</v>
          </cell>
          <cell r="G35" t="str">
            <v>Nov</v>
          </cell>
          <cell r="H35" t="str">
            <v>十一月</v>
          </cell>
          <cell r="I35" t="str">
            <v>Nov</v>
          </cell>
          <cell r="J35" t="str">
            <v>Stu</v>
          </cell>
          <cell r="K35" t="str">
            <v>Nov</v>
          </cell>
          <cell r="L35" t="str">
            <v>Nov</v>
          </cell>
          <cell r="M35" t="str">
            <v>Nov</v>
          </cell>
          <cell r="N35" t="str">
            <v>Nov</v>
          </cell>
          <cell r="O35" t="str">
            <v>ნოე</v>
          </cell>
          <cell r="P35" t="str">
            <v>Nov</v>
          </cell>
          <cell r="Q35" t="str">
            <v>Νοε</v>
          </cell>
          <cell r="R35" t="str">
            <v>נובמבר</v>
          </cell>
          <cell r="S35" t="str">
            <v>Nov</v>
          </cell>
          <cell r="T35" t="str">
            <v>Nop</v>
          </cell>
          <cell r="U35" t="str">
            <v>Nóv</v>
          </cell>
          <cell r="V35" t="str">
            <v>Nov</v>
          </cell>
          <cell r="W35" t="str">
            <v>11월</v>
          </cell>
          <cell r="X35" t="str">
            <v>Lapk</v>
          </cell>
          <cell r="Y35" t="str">
            <v>Ное</v>
          </cell>
          <cell r="Z35" t="str">
            <v>Nov</v>
          </cell>
          <cell r="AA35" t="str">
            <v>Nov</v>
          </cell>
          <cell r="AB35" t="str">
            <v>نوامبر</v>
          </cell>
          <cell r="AC35" t="str">
            <v>Lis</v>
          </cell>
          <cell r="AD35" t="str">
            <v>Nov</v>
          </cell>
          <cell r="AE35" t="str">
            <v>Noi</v>
          </cell>
          <cell r="AF35" t="str">
            <v>Nov</v>
          </cell>
          <cell r="AG35" t="str">
            <v>Nov</v>
          </cell>
          <cell r="AH35" t="str">
            <v>Nov</v>
          </cell>
          <cell r="AI35" t="str">
            <v>Nov</v>
          </cell>
          <cell r="AJ35" t="str">
            <v>nov</v>
          </cell>
          <cell r="AK35" t="str">
            <v>พฤศจิกายน</v>
          </cell>
          <cell r="AL35" t="str">
            <v>Kas</v>
          </cell>
          <cell r="AM35" t="str">
            <v>Tháng 11</v>
          </cell>
          <cell r="AN35" t="str">
            <v>Лист</v>
          </cell>
          <cell r="AO35" t="str">
            <v>نومبر</v>
          </cell>
        </row>
        <row r="36">
          <cell r="A36" t="str">
            <v>Dec</v>
          </cell>
          <cell r="B36" t="str">
            <v>Dhj</v>
          </cell>
          <cell r="C36" t="str">
            <v>كانون أول</v>
          </cell>
          <cell r="D36" t="str">
            <v>Դեկտ.</v>
          </cell>
          <cell r="E36" t="str">
            <v>Dek</v>
          </cell>
          <cell r="F36" t="str">
            <v>Декември</v>
          </cell>
          <cell r="G36" t="str">
            <v>Des</v>
          </cell>
          <cell r="H36" t="str">
            <v>十二月</v>
          </cell>
          <cell r="I36" t="str">
            <v>Dec</v>
          </cell>
          <cell r="J36" t="str">
            <v>Pro</v>
          </cell>
          <cell r="K36" t="str">
            <v>Dec</v>
          </cell>
          <cell r="L36" t="str">
            <v>Dec</v>
          </cell>
          <cell r="M36" t="str">
            <v>Dec</v>
          </cell>
          <cell r="N36" t="str">
            <v>Déc</v>
          </cell>
          <cell r="O36" t="str">
            <v>დეკ</v>
          </cell>
          <cell r="P36" t="str">
            <v>Dez</v>
          </cell>
          <cell r="Q36" t="str">
            <v>Δεκ</v>
          </cell>
          <cell r="R36" t="str">
            <v>דצמבר</v>
          </cell>
          <cell r="S36" t="str">
            <v>Dec</v>
          </cell>
          <cell r="T36" t="str">
            <v>Des</v>
          </cell>
          <cell r="U36" t="str">
            <v>Des</v>
          </cell>
          <cell r="V36" t="str">
            <v>Dic</v>
          </cell>
          <cell r="W36" t="str">
            <v>12월</v>
          </cell>
          <cell r="X36" t="str">
            <v>Gruo</v>
          </cell>
          <cell r="Y36" t="str">
            <v>Дек</v>
          </cell>
          <cell r="Z36" t="str">
            <v>Deċ</v>
          </cell>
          <cell r="AA36" t="str">
            <v>Des</v>
          </cell>
          <cell r="AB36" t="str">
            <v>دسامبر</v>
          </cell>
          <cell r="AC36" t="str">
            <v>Gru</v>
          </cell>
          <cell r="AD36" t="str">
            <v>Dez</v>
          </cell>
          <cell r="AE36" t="str">
            <v>Dec</v>
          </cell>
          <cell r="AF36" t="str">
            <v>Dec</v>
          </cell>
          <cell r="AG36" t="str">
            <v>Dec</v>
          </cell>
          <cell r="AH36" t="str">
            <v>Dec</v>
          </cell>
          <cell r="AI36" t="str">
            <v>Dic</v>
          </cell>
          <cell r="AJ36" t="str">
            <v>dec</v>
          </cell>
          <cell r="AK36" t="str">
            <v>ธันวาคม</v>
          </cell>
          <cell r="AL36" t="str">
            <v>Ara</v>
          </cell>
          <cell r="AM36" t="str">
            <v>Tháng 12</v>
          </cell>
          <cell r="AN36" t="str">
            <v>Груд</v>
          </cell>
          <cell r="AO36" t="str">
            <v>دسمبر</v>
          </cell>
        </row>
        <row r="37">
          <cell r="A37" t="str">
            <v>Team</v>
          </cell>
          <cell r="B37" t="str">
            <v>Ekipi</v>
          </cell>
          <cell r="C37" t="str">
            <v>المنتخب</v>
          </cell>
          <cell r="D37" t="str">
            <v>Հավաքական</v>
          </cell>
          <cell r="E37" t="str">
            <v>Komanda</v>
          </cell>
          <cell r="F37" t="str">
            <v>Отбор</v>
          </cell>
          <cell r="G37" t="str">
            <v>Equip</v>
          </cell>
          <cell r="H37" t="str">
            <v>球队</v>
          </cell>
          <cell r="I37" t="str">
            <v>隊伍</v>
          </cell>
          <cell r="J37" t="str">
            <v>Team</v>
          </cell>
          <cell r="K37" t="str">
            <v>Team</v>
          </cell>
          <cell r="L37" t="str">
            <v>Hold</v>
          </cell>
          <cell r="M37" t="str">
            <v>Team</v>
          </cell>
          <cell r="N37" t="str">
            <v>Équipe</v>
          </cell>
          <cell r="O37" t="str">
            <v>ნაკრები</v>
          </cell>
          <cell r="P37" t="str">
            <v>Team</v>
          </cell>
          <cell r="Q37" t="str">
            <v>Ομάδα</v>
          </cell>
          <cell r="R37" t="str">
            <v>קבוצה</v>
          </cell>
          <cell r="S37" t="str">
            <v>Csapat</v>
          </cell>
          <cell r="T37" t="str">
            <v>Tim</v>
          </cell>
          <cell r="U37" t="str">
            <v>Lið</v>
          </cell>
          <cell r="V37" t="str">
            <v>Squadra</v>
          </cell>
          <cell r="W37" t="str">
            <v>팀</v>
          </cell>
          <cell r="X37" t="str">
            <v>Komanda</v>
          </cell>
          <cell r="Y37" t="str">
            <v>Тим</v>
          </cell>
          <cell r="Z37" t="str">
            <v>Tim</v>
          </cell>
          <cell r="AA37" t="str">
            <v>Lag</v>
          </cell>
          <cell r="AB37" t="str">
            <v>تیم</v>
          </cell>
          <cell r="AC37" t="str">
            <v>Drużyna</v>
          </cell>
          <cell r="AD37" t="str">
            <v>Equipa</v>
          </cell>
          <cell r="AE37" t="str">
            <v>Echipa</v>
          </cell>
          <cell r="AF37" t="str">
            <v>Reprezentacija</v>
          </cell>
          <cell r="AG37" t="str">
            <v>Mužstvo</v>
          </cell>
          <cell r="AH37" t="str">
            <v>Moštvo</v>
          </cell>
          <cell r="AI37" t="str">
            <v>Equipo</v>
          </cell>
          <cell r="AJ37" t="str">
            <v>Lag</v>
          </cell>
          <cell r="AK37" t="str">
            <v>ทึม</v>
          </cell>
          <cell r="AL37" t="str">
            <v>Takım</v>
          </cell>
          <cell r="AM37" t="str">
            <v>Đội</v>
          </cell>
          <cell r="AN37" t="str">
            <v>Команда</v>
          </cell>
          <cell r="AO37" t="str">
            <v>ٹیم</v>
          </cell>
        </row>
        <row r="38">
          <cell r="A38" t="str">
            <v>Albania</v>
          </cell>
          <cell r="B38" t="str">
            <v>Shqipëri</v>
          </cell>
          <cell r="C38" t="str">
            <v>ألبانيا</v>
          </cell>
          <cell r="D38" t="str">
            <v>Ալբանիա</v>
          </cell>
          <cell r="E38" t="str">
            <v>Albaniya</v>
          </cell>
          <cell r="F38" t="str">
            <v>Албания</v>
          </cell>
          <cell r="G38" t="str">
            <v>Albània</v>
          </cell>
          <cell r="H38" t="str">
            <v>阿尔巴尼亚</v>
          </cell>
          <cell r="I38" t="str">
            <v>阿爾巴尼亞</v>
          </cell>
          <cell r="J38" t="str">
            <v>Albanija</v>
          </cell>
          <cell r="K38" t="str">
            <v>Albánie</v>
          </cell>
          <cell r="L38" t="str">
            <v>Albanien</v>
          </cell>
          <cell r="M38" t="str">
            <v>Albanië</v>
          </cell>
          <cell r="N38" t="str">
            <v>Albanie</v>
          </cell>
          <cell r="O38" t="str">
            <v>Albania</v>
          </cell>
          <cell r="P38" t="str">
            <v>Albanien</v>
          </cell>
          <cell r="Q38" t="str">
            <v>Αλβανία</v>
          </cell>
          <cell r="R38" t="str">
            <v>אלבניה</v>
          </cell>
          <cell r="S38" t="str">
            <v>Albánia</v>
          </cell>
          <cell r="T38" t="str">
            <v>Albania</v>
          </cell>
          <cell r="U38" t="str">
            <v>Albanía</v>
          </cell>
          <cell r="V38" t="str">
            <v>Albania</v>
          </cell>
          <cell r="W38" t="str">
            <v>알바니아</v>
          </cell>
          <cell r="X38" t="str">
            <v>Albanija</v>
          </cell>
          <cell r="Y38" t="str">
            <v>Албанија</v>
          </cell>
          <cell r="Z38" t="str">
            <v>Albanija</v>
          </cell>
          <cell r="AA38" t="str">
            <v>Albania</v>
          </cell>
          <cell r="AB38" t="str">
            <v>آلبانی</v>
          </cell>
          <cell r="AC38" t="str">
            <v>Albania</v>
          </cell>
          <cell r="AD38" t="str">
            <v>Albânia</v>
          </cell>
          <cell r="AE38" t="str">
            <v>Albania</v>
          </cell>
          <cell r="AF38" t="str">
            <v>Албанија</v>
          </cell>
          <cell r="AG38" t="str">
            <v>Albánsko</v>
          </cell>
          <cell r="AH38" t="str">
            <v>Albanija</v>
          </cell>
          <cell r="AI38" t="str">
            <v>Albania</v>
          </cell>
          <cell r="AJ38" t="str">
            <v>albanien</v>
          </cell>
          <cell r="AK38" t="str">
            <v>แอลเบเนีย</v>
          </cell>
          <cell r="AL38" t="str">
            <v>Arnavutluk</v>
          </cell>
          <cell r="AM38" t="str">
            <v>Albania</v>
          </cell>
          <cell r="AN38" t="str">
            <v>Албанія</v>
          </cell>
          <cell r="AO38" t="str">
            <v>البانیا</v>
          </cell>
        </row>
        <row r="39">
          <cell r="A39" t="str">
            <v>Romania</v>
          </cell>
          <cell r="B39" t="str">
            <v>Rumani</v>
          </cell>
          <cell r="C39" t="str">
            <v>رومانيا</v>
          </cell>
          <cell r="D39" t="str">
            <v>Ռումինիա</v>
          </cell>
          <cell r="E39" t="str">
            <v>Rumıniya</v>
          </cell>
          <cell r="F39" t="str">
            <v>Румъния</v>
          </cell>
          <cell r="G39" t="str">
            <v>Romania</v>
          </cell>
          <cell r="H39" t="str">
            <v>罗马尼亚</v>
          </cell>
          <cell r="I39" t="str">
            <v>羅馬尼亞</v>
          </cell>
          <cell r="J39" t="str">
            <v>Rumunija</v>
          </cell>
          <cell r="K39" t="str">
            <v>Rumunsko</v>
          </cell>
          <cell r="L39" t="str">
            <v>Rumænien</v>
          </cell>
          <cell r="M39" t="str">
            <v>Roemenië</v>
          </cell>
          <cell r="N39" t="str">
            <v>Roumanie</v>
          </cell>
          <cell r="O39" t="str">
            <v>რუმინეთი</v>
          </cell>
          <cell r="P39" t="str">
            <v>Rumänien</v>
          </cell>
          <cell r="Q39" t="str">
            <v>Ρουμανία</v>
          </cell>
          <cell r="R39" t="str">
            <v>רומני</v>
          </cell>
          <cell r="S39" t="str">
            <v>Románia</v>
          </cell>
          <cell r="T39" t="str">
            <v>Rumania</v>
          </cell>
          <cell r="U39" t="str">
            <v>rúmenía</v>
          </cell>
          <cell r="V39" t="str">
            <v>Romania</v>
          </cell>
          <cell r="W39" t="str">
            <v>루마니아</v>
          </cell>
          <cell r="X39" t="str">
            <v>Rumunija</v>
          </cell>
          <cell r="Y39" t="str">
            <v>Романија</v>
          </cell>
          <cell r="Z39" t="str">
            <v>Ir-Rumanija</v>
          </cell>
          <cell r="AA39" t="str">
            <v>Romania</v>
          </cell>
          <cell r="AB39" t="str">
            <v>رومانی</v>
          </cell>
          <cell r="AC39" t="str">
            <v>Rumunia</v>
          </cell>
          <cell r="AD39" t="str">
            <v>Romênia</v>
          </cell>
          <cell r="AE39" t="str">
            <v>România</v>
          </cell>
          <cell r="AF39" t="str">
            <v>Румунија</v>
          </cell>
          <cell r="AG39" t="str">
            <v>Rumunsko</v>
          </cell>
          <cell r="AH39" t="str">
            <v>Romunija</v>
          </cell>
          <cell r="AI39" t="str">
            <v>Rumania</v>
          </cell>
          <cell r="AJ39" t="str">
            <v>rumänien</v>
          </cell>
          <cell r="AK39" t="str">
            <v>โรมาเนีย</v>
          </cell>
          <cell r="AL39" t="str">
            <v>Romanya</v>
          </cell>
          <cell r="AM39" t="str">
            <v>Romania</v>
          </cell>
          <cell r="AN39" t="str">
            <v>Румунія</v>
          </cell>
          <cell r="AO39" t="str">
            <v>رومانیہ</v>
          </cell>
        </row>
        <row r="40">
          <cell r="A40" t="str">
            <v>Spain</v>
          </cell>
          <cell r="B40" t="str">
            <v>Spanjë</v>
          </cell>
          <cell r="C40" t="str">
            <v>إسبانيا</v>
          </cell>
          <cell r="D40" t="str">
            <v>Իսպանիա</v>
          </cell>
          <cell r="E40" t="str">
            <v>İspaniya</v>
          </cell>
          <cell r="F40" t="str">
            <v>Испания</v>
          </cell>
          <cell r="G40" t="str">
            <v>Espanya</v>
          </cell>
          <cell r="H40" t="str">
            <v>西班牙</v>
          </cell>
          <cell r="I40" t="str">
            <v>西班牙</v>
          </cell>
          <cell r="J40" t="str">
            <v>Španjolska</v>
          </cell>
          <cell r="K40" t="str">
            <v>Španělsko</v>
          </cell>
          <cell r="L40" t="str">
            <v>Spanien</v>
          </cell>
          <cell r="M40" t="str">
            <v>Spanje</v>
          </cell>
          <cell r="N40" t="str">
            <v>Espagne</v>
          </cell>
          <cell r="O40" t="str">
            <v>ესპანეთში</v>
          </cell>
          <cell r="P40" t="str">
            <v>Spanien</v>
          </cell>
          <cell r="Q40" t="str">
            <v>Ισπανία</v>
          </cell>
          <cell r="R40" t="str">
            <v>ספרד</v>
          </cell>
          <cell r="S40" t="str">
            <v>Spanyolország</v>
          </cell>
          <cell r="T40" t="str">
            <v>Spanyol</v>
          </cell>
          <cell r="U40" t="str">
            <v>spain</v>
          </cell>
          <cell r="V40" t="str">
            <v>Spagna</v>
          </cell>
          <cell r="W40" t="str">
            <v>스페인</v>
          </cell>
          <cell r="X40" t="str">
            <v>Ispanija</v>
          </cell>
          <cell r="Y40" t="str">
            <v>Шпанија</v>
          </cell>
          <cell r="Z40" t="str">
            <v>Spanja</v>
          </cell>
          <cell r="AA40" t="str">
            <v>Spania</v>
          </cell>
          <cell r="AB40" t="str">
            <v>کشور اسپانیا</v>
          </cell>
          <cell r="AC40" t="str">
            <v>Hiszpania</v>
          </cell>
          <cell r="AD40" t="str">
            <v>Espanha</v>
          </cell>
          <cell r="AE40" t="str">
            <v>Spania</v>
          </cell>
          <cell r="AF40" t="str">
            <v>Шпанија</v>
          </cell>
          <cell r="AG40" t="str">
            <v>španielsko</v>
          </cell>
          <cell r="AH40" t="str">
            <v>Španija</v>
          </cell>
          <cell r="AI40" t="str">
            <v>España</v>
          </cell>
          <cell r="AJ40" t="str">
            <v>Spanien</v>
          </cell>
          <cell r="AK40" t="str">
            <v>สเปน</v>
          </cell>
          <cell r="AL40" t="str">
            <v>İspanya</v>
          </cell>
          <cell r="AM40" t="str">
            <v>Tây ban nha</v>
          </cell>
          <cell r="AN40" t="str">
            <v>Іспанія</v>
          </cell>
          <cell r="AO40" t="str">
            <v>سپین</v>
          </cell>
        </row>
        <row r="41">
          <cell r="A41" t="str">
            <v>Italy</v>
          </cell>
          <cell r="B41" t="str">
            <v>Itali</v>
          </cell>
          <cell r="C41" t="str">
            <v>إيطاليا</v>
          </cell>
          <cell r="D41" t="str">
            <v>Իտալիա</v>
          </cell>
          <cell r="E41" t="str">
            <v>İtaliya</v>
          </cell>
          <cell r="F41" t="str">
            <v>Италия</v>
          </cell>
          <cell r="G41" t="str">
            <v>Itàlia</v>
          </cell>
          <cell r="H41" t="str">
            <v>意大利</v>
          </cell>
          <cell r="I41" t="str">
            <v>意大利</v>
          </cell>
          <cell r="J41" t="str">
            <v>Italija</v>
          </cell>
          <cell r="K41" t="str">
            <v>Itálie</v>
          </cell>
          <cell r="L41" t="str">
            <v>Italien</v>
          </cell>
          <cell r="M41" t="str">
            <v>Italië</v>
          </cell>
          <cell r="N41" t="str">
            <v>Italie</v>
          </cell>
          <cell r="O41" t="str">
            <v>იტალიაში</v>
          </cell>
          <cell r="P41" t="str">
            <v>Italien</v>
          </cell>
          <cell r="Q41" t="str">
            <v>Ιταλία</v>
          </cell>
          <cell r="R41" t="str">
            <v>איטליה</v>
          </cell>
          <cell r="S41" t="str">
            <v>Olaszország</v>
          </cell>
          <cell r="T41" t="str">
            <v>Italia</v>
          </cell>
          <cell r="U41" t="str">
            <v>Italy</v>
          </cell>
          <cell r="V41" t="str">
            <v>Italia</v>
          </cell>
          <cell r="W41" t="str">
            <v>이탈리아</v>
          </cell>
          <cell r="X41" t="str">
            <v>Italija</v>
          </cell>
          <cell r="Y41" t="str">
            <v>Италија</v>
          </cell>
          <cell r="Z41" t="str">
            <v>Italja</v>
          </cell>
          <cell r="AA41" t="str">
            <v>Italia</v>
          </cell>
          <cell r="AB41" t="str">
            <v>ایتالیا</v>
          </cell>
          <cell r="AC41" t="str">
            <v>Włochy</v>
          </cell>
          <cell r="AD41" t="str">
            <v>Itália</v>
          </cell>
          <cell r="AE41" t="str">
            <v>Italia</v>
          </cell>
          <cell r="AF41" t="str">
            <v>Италија</v>
          </cell>
          <cell r="AG41" t="str">
            <v>taliansko</v>
          </cell>
          <cell r="AH41" t="str">
            <v>Italija</v>
          </cell>
          <cell r="AI41" t="str">
            <v>Italia</v>
          </cell>
          <cell r="AJ41" t="str">
            <v>Italien</v>
          </cell>
          <cell r="AK41" t="str">
            <v>อิตาลี</v>
          </cell>
          <cell r="AL41" t="str">
            <v>İtalya</v>
          </cell>
          <cell r="AM41" t="str">
            <v>Ý</v>
          </cell>
          <cell r="AN41" t="str">
            <v>Італія</v>
          </cell>
          <cell r="AO41" t="str">
            <v>اٹلی</v>
          </cell>
        </row>
        <row r="42">
          <cell r="A42" t="str">
            <v>Portugal</v>
          </cell>
          <cell r="B42" t="str">
            <v>Portugali</v>
          </cell>
          <cell r="C42" t="str">
            <v>البرتغال</v>
          </cell>
          <cell r="D42" t="str">
            <v>Պորտուգալիա</v>
          </cell>
          <cell r="E42" t="str">
            <v>Portuqaliya</v>
          </cell>
          <cell r="F42" t="str">
            <v>Португалия</v>
          </cell>
          <cell r="G42" t="str">
            <v>Portugal</v>
          </cell>
          <cell r="H42" t="str">
            <v>葡萄牙</v>
          </cell>
          <cell r="I42" t="str">
            <v>葡萄牙</v>
          </cell>
          <cell r="J42" t="str">
            <v>Portugalija</v>
          </cell>
          <cell r="K42" t="str">
            <v>Portugalsko</v>
          </cell>
          <cell r="L42" t="str">
            <v>Portugal</v>
          </cell>
          <cell r="M42" t="str">
            <v>Portugal</v>
          </cell>
          <cell r="N42" t="str">
            <v>Portugal</v>
          </cell>
          <cell r="O42" t="str">
            <v>პორტუგალიის</v>
          </cell>
          <cell r="P42" t="str">
            <v>Portugal</v>
          </cell>
          <cell r="Q42" t="str">
            <v>Πορτογαλία</v>
          </cell>
          <cell r="R42" t="str">
            <v>פורטוגל</v>
          </cell>
          <cell r="S42" t="str">
            <v>Portugália</v>
          </cell>
          <cell r="T42" t="str">
            <v>Portugal</v>
          </cell>
          <cell r="U42" t="str">
            <v>Portugal</v>
          </cell>
          <cell r="V42" t="str">
            <v>Portogallo</v>
          </cell>
          <cell r="W42" t="str">
            <v>포르투갈</v>
          </cell>
          <cell r="X42" t="str">
            <v>Portugalija</v>
          </cell>
          <cell r="Y42" t="str">
            <v>Португалија</v>
          </cell>
          <cell r="Z42" t="str">
            <v>Portugall</v>
          </cell>
          <cell r="AA42" t="str">
            <v>Portugal</v>
          </cell>
          <cell r="AB42" t="str">
            <v>پرتغال</v>
          </cell>
          <cell r="AC42" t="str">
            <v>Portugalia</v>
          </cell>
          <cell r="AD42" t="str">
            <v>Portugal</v>
          </cell>
          <cell r="AE42" t="str">
            <v>Portugalia</v>
          </cell>
          <cell r="AF42" t="str">
            <v>Португалија</v>
          </cell>
          <cell r="AG42" t="str">
            <v>Portugalsko</v>
          </cell>
          <cell r="AH42" t="str">
            <v>Portugalska</v>
          </cell>
          <cell r="AI42" t="str">
            <v>Portugal</v>
          </cell>
          <cell r="AJ42" t="str">
            <v>Portugal</v>
          </cell>
          <cell r="AK42" t="str">
            <v>โปรตุเกส</v>
          </cell>
          <cell r="AL42" t="str">
            <v>Portekiz</v>
          </cell>
          <cell r="AM42" t="str">
            <v>Bồ Đào Nha</v>
          </cell>
          <cell r="AN42" t="str">
            <v>Португалія</v>
          </cell>
          <cell r="AO42" t="str">
            <v>پرتگال</v>
          </cell>
        </row>
        <row r="43">
          <cell r="A43" t="str">
            <v>Hungary</v>
          </cell>
          <cell r="B43" t="str">
            <v>Hungari</v>
          </cell>
          <cell r="C43" t="str">
            <v>هنغاريا</v>
          </cell>
          <cell r="D43" t="str">
            <v>Հունգարիա</v>
          </cell>
          <cell r="E43" t="str">
            <v>Macarıstan</v>
          </cell>
          <cell r="F43" t="str">
            <v>Унгария</v>
          </cell>
          <cell r="G43" t="str">
            <v>Hongria</v>
          </cell>
          <cell r="H43" t="str">
            <v>匈牙利</v>
          </cell>
          <cell r="I43" t="str">
            <v>匈牙利</v>
          </cell>
          <cell r="J43" t="str">
            <v>Mađarska</v>
          </cell>
          <cell r="K43" t="str">
            <v>Maďarsko</v>
          </cell>
          <cell r="L43" t="str">
            <v>Ungarn</v>
          </cell>
          <cell r="M43" t="str">
            <v>Hongarije</v>
          </cell>
          <cell r="N43" t="str">
            <v>Hongrie</v>
          </cell>
          <cell r="O43" t="str">
            <v>უნგრეთი</v>
          </cell>
          <cell r="P43" t="str">
            <v>Ungarn</v>
          </cell>
          <cell r="Q43" t="str">
            <v>Ουγγαρία</v>
          </cell>
          <cell r="R43" t="str">
            <v>הונגריה</v>
          </cell>
          <cell r="S43" t="str">
            <v>Magyarország</v>
          </cell>
          <cell r="T43" t="str">
            <v>Hongaria</v>
          </cell>
          <cell r="U43" t="str">
            <v>Ungverjaland</v>
          </cell>
          <cell r="V43" t="str">
            <v>Ungheria</v>
          </cell>
          <cell r="W43" t="str">
            <v>헝가리</v>
          </cell>
          <cell r="X43" t="str">
            <v>Vengrija</v>
          </cell>
          <cell r="Y43" t="str">
            <v>Унгарија</v>
          </cell>
          <cell r="Z43" t="str">
            <v>L-Ungerija</v>
          </cell>
          <cell r="AA43" t="str">
            <v>Ungarn</v>
          </cell>
          <cell r="AB43" t="str">
            <v>مجارستان</v>
          </cell>
          <cell r="AC43" t="str">
            <v>Węgry</v>
          </cell>
          <cell r="AD43" t="str">
            <v>Hungria</v>
          </cell>
          <cell r="AE43" t="str">
            <v>Ungaria</v>
          </cell>
          <cell r="AF43" t="str">
            <v>Мађарска</v>
          </cell>
          <cell r="AG43" t="str">
            <v>maďarsko</v>
          </cell>
          <cell r="AH43" t="str">
            <v>Madžarska</v>
          </cell>
          <cell r="AI43" t="str">
            <v>Hungría</v>
          </cell>
          <cell r="AJ43" t="str">
            <v>Ungern</v>
          </cell>
          <cell r="AK43" t="str">
            <v>ฮังการี</v>
          </cell>
          <cell r="AL43" t="str">
            <v>Macaristan</v>
          </cell>
          <cell r="AM43" t="str">
            <v>Hungary</v>
          </cell>
          <cell r="AN43" t="str">
            <v>Угорщина</v>
          </cell>
          <cell r="AO43" t="str">
            <v>ہنگری</v>
          </cell>
        </row>
        <row r="44">
          <cell r="A44" t="str">
            <v>Denmark</v>
          </cell>
          <cell r="B44" t="str">
            <v>Danimarkë</v>
          </cell>
          <cell r="C44" t="str">
            <v>الدنمارك</v>
          </cell>
          <cell r="D44" t="str">
            <v>Դանիա</v>
          </cell>
          <cell r="E44" t="str">
            <v>Danimarka</v>
          </cell>
          <cell r="F44" t="str">
            <v>Дания</v>
          </cell>
          <cell r="G44" t="str">
            <v>Dinamarca</v>
          </cell>
          <cell r="H44" t="str">
            <v>丹麦</v>
          </cell>
          <cell r="I44" t="str">
            <v>丹麥</v>
          </cell>
          <cell r="J44" t="str">
            <v>Danska</v>
          </cell>
          <cell r="K44" t="str">
            <v>Dánsko</v>
          </cell>
          <cell r="L44" t="str">
            <v>Danmark</v>
          </cell>
          <cell r="M44" t="str">
            <v>Denemarken</v>
          </cell>
          <cell r="N44" t="str">
            <v>Danemark</v>
          </cell>
          <cell r="O44" t="str">
            <v>დანია</v>
          </cell>
          <cell r="P44" t="str">
            <v>Dänemark</v>
          </cell>
          <cell r="Q44" t="str">
            <v>Δανία</v>
          </cell>
          <cell r="R44" t="str">
            <v>דנמרק</v>
          </cell>
          <cell r="S44" t="str">
            <v>Dánia</v>
          </cell>
          <cell r="T44" t="str">
            <v>Denmark</v>
          </cell>
          <cell r="U44" t="str">
            <v>Denmark</v>
          </cell>
          <cell r="V44" t="str">
            <v>Danimarca</v>
          </cell>
          <cell r="W44" t="str">
            <v>덴마크</v>
          </cell>
          <cell r="X44" t="str">
            <v>Danija</v>
          </cell>
          <cell r="Y44" t="str">
            <v>Данска</v>
          </cell>
          <cell r="Z44" t="str">
            <v>Id-Danimarka</v>
          </cell>
          <cell r="AA44" t="str">
            <v>Danmark</v>
          </cell>
          <cell r="AB44" t="str">
            <v>دانمارک</v>
          </cell>
          <cell r="AC44" t="str">
            <v>Dania</v>
          </cell>
          <cell r="AD44" t="str">
            <v>Dinamarca</v>
          </cell>
          <cell r="AE44" t="str">
            <v>Danemarca</v>
          </cell>
          <cell r="AF44" t="str">
            <v>Данска</v>
          </cell>
          <cell r="AG44" t="str">
            <v>Dánsko</v>
          </cell>
          <cell r="AH44" t="str">
            <v>Danska</v>
          </cell>
          <cell r="AI44" t="str">
            <v>Dinamarca</v>
          </cell>
          <cell r="AJ44" t="str">
            <v>Danmark</v>
          </cell>
          <cell r="AK44" t="str">
            <v>เดนมาร์ก</v>
          </cell>
          <cell r="AL44" t="str">
            <v>Danimarka</v>
          </cell>
          <cell r="AM44" t="str">
            <v>Đan MạCh</v>
          </cell>
          <cell r="AN44" t="str">
            <v>Данія</v>
          </cell>
          <cell r="AO44" t="str">
            <v>ڈنمارک</v>
          </cell>
        </row>
        <row r="45">
          <cell r="A45" t="str">
            <v>Ukraine</v>
          </cell>
          <cell r="B45" t="str">
            <v>Ukrainë</v>
          </cell>
          <cell r="C45" t="str">
            <v>أوكرانيا</v>
          </cell>
          <cell r="D45" t="str">
            <v>Ուկրաինան</v>
          </cell>
          <cell r="E45" t="str">
            <v>Ukrayna</v>
          </cell>
          <cell r="F45" t="str">
            <v>Украйна</v>
          </cell>
          <cell r="G45" t="str">
            <v>Ucraïna</v>
          </cell>
          <cell r="H45" t="str">
            <v>乌克兰</v>
          </cell>
          <cell r="I45" t="str">
            <v>烏克蘭</v>
          </cell>
          <cell r="J45" t="str">
            <v>Ukrajina</v>
          </cell>
          <cell r="K45" t="str">
            <v>Ukrajina</v>
          </cell>
          <cell r="L45" t="str">
            <v>Ukraine</v>
          </cell>
          <cell r="M45" t="str">
            <v>Oekraïne</v>
          </cell>
          <cell r="N45" t="str">
            <v>Ukraine</v>
          </cell>
          <cell r="O45" t="str">
            <v>უკრაინა</v>
          </cell>
          <cell r="P45" t="str">
            <v>Ukraine</v>
          </cell>
          <cell r="Q45" t="str">
            <v>Ουκρανία</v>
          </cell>
          <cell r="R45" t="str">
            <v>אוקראינה</v>
          </cell>
          <cell r="S45" t="str">
            <v>Ukrajna</v>
          </cell>
          <cell r="T45" t="str">
            <v>Ukraina</v>
          </cell>
          <cell r="U45" t="str">
            <v>Úkraína</v>
          </cell>
          <cell r="V45" t="str">
            <v>Ucraina</v>
          </cell>
          <cell r="W45" t="str">
            <v>우크라이나</v>
          </cell>
          <cell r="X45" t="str">
            <v>Ukraina</v>
          </cell>
          <cell r="Y45" t="str">
            <v>Украина</v>
          </cell>
          <cell r="Z45" t="str">
            <v>Ukraina</v>
          </cell>
          <cell r="AA45" t="str">
            <v>Ukraina</v>
          </cell>
          <cell r="AB45" t="str">
            <v>اوکراین</v>
          </cell>
          <cell r="AC45" t="str">
            <v>Ukraina</v>
          </cell>
          <cell r="AD45" t="str">
            <v>Ucrânia</v>
          </cell>
          <cell r="AE45" t="str">
            <v>Ucraina</v>
          </cell>
          <cell r="AF45" t="str">
            <v>Украјина</v>
          </cell>
          <cell r="AG45" t="str">
            <v>Ukrajina</v>
          </cell>
          <cell r="AH45" t="str">
            <v>Ukrajina</v>
          </cell>
          <cell r="AI45" t="str">
            <v>Ucrania</v>
          </cell>
          <cell r="AJ45" t="str">
            <v>Ukraina</v>
          </cell>
          <cell r="AK45" t="str">
            <v>ยูเครน</v>
          </cell>
          <cell r="AL45" t="str">
            <v>Ukrayna</v>
          </cell>
          <cell r="AM45" t="str">
            <v>Ukraina</v>
          </cell>
          <cell r="AN45" t="str">
            <v>Україна</v>
          </cell>
          <cell r="AO45" t="str">
            <v>یوکرائن</v>
          </cell>
        </row>
        <row r="46">
          <cell r="A46" t="str">
            <v>Turkey</v>
          </cell>
          <cell r="B46" t="str">
            <v>Turqi</v>
          </cell>
          <cell r="C46" t="str">
            <v>ديك رومي</v>
          </cell>
          <cell r="D46" t="str">
            <v>Turkey</v>
          </cell>
          <cell r="E46" t="str">
            <v>Turkey</v>
          </cell>
          <cell r="F46" t="str">
            <v>Турция</v>
          </cell>
          <cell r="G46" t="str">
            <v>Turquia</v>
          </cell>
          <cell r="H46" t="str">
            <v>火鸡</v>
          </cell>
          <cell r="I46" t="str">
            <v>火雞</v>
          </cell>
          <cell r="J46" t="str">
            <v>Turska</v>
          </cell>
          <cell r="K46" t="str">
            <v>Turecko</v>
          </cell>
          <cell r="L46" t="str">
            <v>Tyrkia</v>
          </cell>
          <cell r="M46" t="str">
            <v>Turkije</v>
          </cell>
          <cell r="N46" t="str">
            <v>Turquie</v>
          </cell>
          <cell r="O46" t="str">
            <v>თურქეთში</v>
          </cell>
          <cell r="P46" t="str">
            <v>Türkei</v>
          </cell>
          <cell r="Q46" t="str">
            <v>Turkey</v>
          </cell>
          <cell r="R46" t="str">
            <v>טורקיה</v>
          </cell>
          <cell r="S46" t="str">
            <v>Törökország</v>
          </cell>
          <cell r="T46" t="str">
            <v>Turki</v>
          </cell>
          <cell r="U46" t="str">
            <v>Tyrkland</v>
          </cell>
          <cell r="V46" t="str">
            <v>la Turchia</v>
          </cell>
          <cell r="W46" t="str">
            <v>터키</v>
          </cell>
          <cell r="X46" t="str">
            <v>Turkija</v>
          </cell>
          <cell r="Y46" t="str">
            <v>Турција</v>
          </cell>
          <cell r="Z46" t="str">
            <v>Turkija</v>
          </cell>
          <cell r="AA46" t="str">
            <v>Tyrkia</v>
          </cell>
          <cell r="AB46" t="str">
            <v>بوقلمون</v>
          </cell>
          <cell r="AC46" t="str">
            <v>Turcja</v>
          </cell>
          <cell r="AD46" t="str">
            <v>Turquia</v>
          </cell>
          <cell r="AE46" t="str">
            <v>Turcia</v>
          </cell>
          <cell r="AF46" t="str">
            <v>Турска</v>
          </cell>
          <cell r="AG46" t="str">
            <v>Turecko</v>
          </cell>
          <cell r="AH46" t="str">
            <v>Turkey</v>
          </cell>
          <cell r="AI46" t="str">
            <v>Turquía</v>
          </cell>
          <cell r="AJ46" t="str">
            <v>Turkey</v>
          </cell>
          <cell r="AK46" t="str">
            <v>ตุรกี</v>
          </cell>
          <cell r="AL46" t="str">
            <v>Türkiye</v>
          </cell>
          <cell r="AM46" t="str">
            <v>Thổ Nhĩ Kỳ</v>
          </cell>
          <cell r="AN46" t="str">
            <v>Туреччина</v>
          </cell>
          <cell r="AO46" t="str">
            <v>ترکی</v>
          </cell>
        </row>
        <row r="47">
          <cell r="A47" t="str">
            <v>Finland</v>
          </cell>
          <cell r="B47" t="str">
            <v>Finlandë</v>
          </cell>
          <cell r="C47" t="str">
            <v>فنلندا</v>
          </cell>
          <cell r="D47" t="str">
            <v>Ֆինլանդիա</v>
          </cell>
          <cell r="E47" t="str">
            <v>Finlandiya</v>
          </cell>
          <cell r="F47" t="str">
            <v>Финландия</v>
          </cell>
          <cell r="G47" t="str">
            <v>Finlàndia</v>
          </cell>
          <cell r="H47" t="str">
            <v>芬兰</v>
          </cell>
          <cell r="I47" t="str">
            <v>芬蘭</v>
          </cell>
          <cell r="J47" t="str">
            <v>Finska</v>
          </cell>
          <cell r="K47" t="str">
            <v>Finsko</v>
          </cell>
          <cell r="L47" t="str">
            <v>Finland</v>
          </cell>
          <cell r="M47" t="str">
            <v>Finland</v>
          </cell>
          <cell r="N47" t="str">
            <v>Finlande</v>
          </cell>
          <cell r="O47" t="str">
            <v>ფინეთი</v>
          </cell>
          <cell r="P47" t="str">
            <v>Finnland</v>
          </cell>
          <cell r="Q47" t="str">
            <v>Φινλανδία</v>
          </cell>
          <cell r="R47" t="str">
            <v>פינלנד</v>
          </cell>
          <cell r="S47" t="str">
            <v>Finnország</v>
          </cell>
          <cell r="T47" t="str">
            <v>Finlandia</v>
          </cell>
          <cell r="U47" t="str">
            <v>Finnland</v>
          </cell>
          <cell r="V47" t="str">
            <v>Finlandia</v>
          </cell>
          <cell r="W47" t="str">
            <v>핀란드</v>
          </cell>
          <cell r="X47" t="str">
            <v>Suomija</v>
          </cell>
          <cell r="Y47" t="str">
            <v>Финска</v>
          </cell>
          <cell r="Z47" t="str">
            <v>Il-Finlandja</v>
          </cell>
          <cell r="AA47" t="str">
            <v>Finland</v>
          </cell>
          <cell r="AB47" t="str">
            <v>فنلاند</v>
          </cell>
          <cell r="AC47" t="str">
            <v>Finlandia</v>
          </cell>
          <cell r="AD47" t="str">
            <v>Finlândia</v>
          </cell>
          <cell r="AE47" t="str">
            <v>Finlanda</v>
          </cell>
          <cell r="AF47" t="str">
            <v>Финска</v>
          </cell>
          <cell r="AG47" t="str">
            <v>Fínsko</v>
          </cell>
          <cell r="AH47" t="str">
            <v>Finska</v>
          </cell>
          <cell r="AI47" t="str">
            <v>Finlandia</v>
          </cell>
          <cell r="AJ47" t="str">
            <v>Finland</v>
          </cell>
          <cell r="AK47" t="str">
            <v>ฟินแลนด์</v>
          </cell>
          <cell r="AL47" t="str">
            <v>Finlandiya</v>
          </cell>
          <cell r="AM47" t="str">
            <v>PhầN Lan</v>
          </cell>
          <cell r="AN47" t="str">
            <v>Фінляндія</v>
          </cell>
          <cell r="AO47" t="str">
            <v>فن لینڈ</v>
          </cell>
        </row>
        <row r="48">
          <cell r="A48" t="str">
            <v>Netherlands</v>
          </cell>
          <cell r="B48" t="str">
            <v>Holandë</v>
          </cell>
          <cell r="C48" t="str">
            <v>هولندا</v>
          </cell>
          <cell r="D48" t="str">
            <v>Netherlands</v>
          </cell>
          <cell r="E48" t="str">
            <v>Hollandiya</v>
          </cell>
          <cell r="F48" t="str">
            <v>Холандия</v>
          </cell>
          <cell r="G48" t="str">
            <v>Països Baixos</v>
          </cell>
          <cell r="H48" t="str">
            <v>荷兰</v>
          </cell>
          <cell r="I48" t="str">
            <v>荷蘭</v>
          </cell>
          <cell r="J48" t="str">
            <v>Nizozemska</v>
          </cell>
          <cell r="K48" t="str">
            <v>Holandsko</v>
          </cell>
          <cell r="L48" t="str">
            <v>Holland</v>
          </cell>
          <cell r="M48" t="str">
            <v>Nederland</v>
          </cell>
          <cell r="N48" t="str">
            <v>Pays-Bas</v>
          </cell>
          <cell r="O48" t="str">
            <v>ნიდერლანდები</v>
          </cell>
          <cell r="P48" t="str">
            <v>Niederlande</v>
          </cell>
          <cell r="Q48" t="str">
            <v>Ολλανδία</v>
          </cell>
          <cell r="R48" t="str">
            <v>הולנד</v>
          </cell>
          <cell r="S48" t="str">
            <v>Hollandia</v>
          </cell>
          <cell r="T48" t="str">
            <v>Belanda</v>
          </cell>
          <cell r="U48" t="str">
            <v>Holland</v>
          </cell>
          <cell r="V48" t="str">
            <v>Olanda</v>
          </cell>
          <cell r="W48" t="str">
            <v>네덜란드</v>
          </cell>
          <cell r="X48" t="str">
            <v>Nyderlandai</v>
          </cell>
          <cell r="Y48" t="str">
            <v>Холандија</v>
          </cell>
          <cell r="Z48" t="str">
            <v>Pajjiżi L-Baxxi</v>
          </cell>
          <cell r="AA48" t="str">
            <v>Nederland</v>
          </cell>
          <cell r="AB48" t="str">
            <v>هلند</v>
          </cell>
          <cell r="AC48" t="str">
            <v>Holandia</v>
          </cell>
          <cell r="AD48" t="str">
            <v>Países Baixos</v>
          </cell>
          <cell r="AE48" t="str">
            <v>Olanda</v>
          </cell>
          <cell r="AF48" t="str">
            <v>Низоземска</v>
          </cell>
          <cell r="AG48" t="str">
            <v>Holandsko</v>
          </cell>
          <cell r="AH48" t="str">
            <v>Nizozemska</v>
          </cell>
          <cell r="AI48" t="str">
            <v>Países Bajos</v>
          </cell>
          <cell r="AJ48" t="str">
            <v>Nederländerna</v>
          </cell>
          <cell r="AK48" t="str">
            <v>เนเธอร์แลนด์</v>
          </cell>
          <cell r="AL48" t="str">
            <v>Hollanda</v>
          </cell>
          <cell r="AM48" t="str">
            <v>NướC Hà Lan</v>
          </cell>
          <cell r="AN48" t="str">
            <v>Нідерланди</v>
          </cell>
          <cell r="AO48" t="str">
            <v>ہالینڈ</v>
          </cell>
        </row>
        <row r="49">
          <cell r="A49" t="str">
            <v>North Macedonia</v>
          </cell>
          <cell r="B49" t="str">
            <v>North Maqedoni</v>
          </cell>
          <cell r="C49" t="str">
            <v>شمال مقدونيا</v>
          </cell>
          <cell r="D49" t="str">
            <v>Հյուսիս Մակեդոնիա</v>
          </cell>
          <cell r="E49" t="str">
            <v>Şimali Makedoniya</v>
          </cell>
          <cell r="F49" t="str">
            <v>Северна Македония</v>
          </cell>
          <cell r="G49" t="str">
            <v>Nord Macedònia</v>
          </cell>
          <cell r="H49" t="str">
            <v>北马其顿</v>
          </cell>
          <cell r="I49" t="str">
            <v>北馬其頓</v>
          </cell>
          <cell r="J49" t="str">
            <v>Sjeverna Makedonija</v>
          </cell>
          <cell r="K49" t="str">
            <v>Severní Makedonie</v>
          </cell>
          <cell r="L49" t="str">
            <v>Nordmakedonien</v>
          </cell>
          <cell r="M49" t="str">
            <v>Noord-Macedonië</v>
          </cell>
          <cell r="N49" t="str">
            <v>Macédoine Du Nord</v>
          </cell>
          <cell r="O49" t="str">
            <v>ჩრდილოეთ მაკედონია</v>
          </cell>
          <cell r="P49" t="str">
            <v>Nord Mazedonien</v>
          </cell>
          <cell r="Q49" t="str">
            <v>Βόρεια Μακεδονία</v>
          </cell>
          <cell r="R49" t="str">
            <v>צפון מקדוניה</v>
          </cell>
          <cell r="S49" t="str">
            <v>Észak-Macedónia</v>
          </cell>
          <cell r="T49" t="str">
            <v>Utara Makedonia</v>
          </cell>
          <cell r="U49" t="str">
            <v>Norður-Makedónía</v>
          </cell>
          <cell r="V49" t="str">
            <v>Nord Macedonia</v>
          </cell>
          <cell r="W49" t="str">
            <v>북 마케도니아</v>
          </cell>
          <cell r="X49" t="str">
            <v>Šiaurės Makedonija</v>
          </cell>
          <cell r="Y49" t="str">
            <v>Северна Македонија</v>
          </cell>
          <cell r="Z49" t="str">
            <v>Tramuntana Maċedonja</v>
          </cell>
          <cell r="AA49" t="str">
            <v>Nord-Makedonia</v>
          </cell>
          <cell r="AB49" t="str">
            <v>شمالی مقدونیه</v>
          </cell>
          <cell r="AC49" t="str">
            <v>Północna Macedonia</v>
          </cell>
          <cell r="AD49" t="str">
            <v>Norte Macedônia</v>
          </cell>
          <cell r="AE49" t="str">
            <v>Macedonia De Nord</v>
          </cell>
          <cell r="AF49" t="str">
            <v>Северна Македонија</v>
          </cell>
          <cell r="AG49" t="str">
            <v>Severné Macedónsko</v>
          </cell>
          <cell r="AH49" t="str">
            <v>Severna Makedonija</v>
          </cell>
          <cell r="AI49" t="str">
            <v>Norte Macedonia</v>
          </cell>
          <cell r="AJ49" t="str">
            <v>Nordmakedonien</v>
          </cell>
          <cell r="AK49" t="str">
            <v>นอร์ทมาซิโดเนีย</v>
          </cell>
          <cell r="AL49" t="str">
            <v>Kuzey Makedonya</v>
          </cell>
          <cell r="AM49" t="str">
            <v>BắC Macedonia</v>
          </cell>
          <cell r="AN49" t="str">
            <v>Північна Македонія</v>
          </cell>
          <cell r="AO49" t="str">
            <v>شمالی مقدونیہ</v>
          </cell>
        </row>
        <row r="50">
          <cell r="A50" t="str">
            <v>Scotland</v>
          </cell>
          <cell r="B50" t="str">
            <v>Skoci</v>
          </cell>
          <cell r="C50" t="str">
            <v>أسكتلندا</v>
          </cell>
          <cell r="D50" t="str">
            <v>Շոտլանդիա</v>
          </cell>
          <cell r="E50" t="str">
            <v>Şotlandiya</v>
          </cell>
          <cell r="F50" t="str">
            <v>Шотландия</v>
          </cell>
          <cell r="G50" t="str">
            <v>Escòcia</v>
          </cell>
          <cell r="H50" t="str">
            <v>苏格兰</v>
          </cell>
          <cell r="I50" t="str">
            <v>蘇格蘭</v>
          </cell>
          <cell r="J50" t="str">
            <v>Škotska</v>
          </cell>
          <cell r="K50" t="str">
            <v>Skotsko</v>
          </cell>
          <cell r="L50" t="str">
            <v>Skotland</v>
          </cell>
          <cell r="M50" t="str">
            <v>Schotland</v>
          </cell>
          <cell r="N50" t="str">
            <v>Écosse</v>
          </cell>
          <cell r="O50" t="str">
            <v>შოტლანდია</v>
          </cell>
          <cell r="P50" t="str">
            <v>Schottland</v>
          </cell>
          <cell r="Q50" t="str">
            <v>Σκωτία</v>
          </cell>
          <cell r="R50" t="str">
            <v>סקוטלנד</v>
          </cell>
          <cell r="S50" t="str">
            <v>Skócia</v>
          </cell>
          <cell r="T50" t="str">
            <v>Skotlandia</v>
          </cell>
          <cell r="U50" t="str">
            <v>Scotland</v>
          </cell>
          <cell r="V50" t="str">
            <v>Scozia</v>
          </cell>
          <cell r="W50" t="str">
            <v>스코틀랜드</v>
          </cell>
          <cell r="X50" t="str">
            <v>Škotija</v>
          </cell>
          <cell r="Y50" t="str">
            <v>Шкотска</v>
          </cell>
          <cell r="Z50" t="str">
            <v>Iskozja</v>
          </cell>
          <cell r="AA50" t="str">
            <v>Skottland</v>
          </cell>
          <cell r="AB50" t="str">
            <v>اسکاتلند</v>
          </cell>
          <cell r="AC50" t="str">
            <v>Szkocja</v>
          </cell>
          <cell r="AD50" t="str">
            <v>Escócia</v>
          </cell>
          <cell r="AE50" t="str">
            <v>Scoţia</v>
          </cell>
          <cell r="AF50" t="str">
            <v>Шкотска</v>
          </cell>
          <cell r="AG50" t="str">
            <v>Škótsko</v>
          </cell>
          <cell r="AH50" t="str">
            <v>Škotska</v>
          </cell>
          <cell r="AI50" t="str">
            <v>Escocia</v>
          </cell>
          <cell r="AJ50" t="str">
            <v>Skottland</v>
          </cell>
          <cell r="AK50" t="str">
            <v>ก็อตแลนด์</v>
          </cell>
          <cell r="AL50" t="str">
            <v>İskoçya</v>
          </cell>
          <cell r="AM50" t="str">
            <v>Scotland</v>
          </cell>
          <cell r="AN50" t="str">
            <v>Шотландія</v>
          </cell>
          <cell r="AO50" t="str">
            <v>اسکاٹ لینڈ</v>
          </cell>
        </row>
        <row r="51">
          <cell r="A51" t="str">
            <v>Slovakia</v>
          </cell>
          <cell r="B51" t="str">
            <v>Slovakia</v>
          </cell>
          <cell r="C51" t="str">
            <v>سلوفاكيا</v>
          </cell>
          <cell r="D51" t="str">
            <v>Սլովակիա</v>
          </cell>
          <cell r="E51" t="str">
            <v>Slovakiya</v>
          </cell>
          <cell r="F51" t="str">
            <v>Словакия</v>
          </cell>
          <cell r="G51" t="str">
            <v>Eslovàquia</v>
          </cell>
          <cell r="H51" t="str">
            <v>斯洛伐克</v>
          </cell>
          <cell r="I51" t="str">
            <v>斯洛伐克</v>
          </cell>
          <cell r="J51" t="str">
            <v>Slovačka</v>
          </cell>
          <cell r="K51" t="str">
            <v>Slovensko</v>
          </cell>
          <cell r="L51" t="str">
            <v>Slovakiet</v>
          </cell>
          <cell r="M51" t="str">
            <v>Slowakije</v>
          </cell>
          <cell r="N51" t="str">
            <v>Slovaquie</v>
          </cell>
          <cell r="O51" t="str">
            <v>სლოვაკეთი</v>
          </cell>
          <cell r="P51" t="str">
            <v>Slowakei</v>
          </cell>
          <cell r="Q51" t="str">
            <v>Σλοβακία</v>
          </cell>
          <cell r="R51" t="str">
            <v>סלובקיה</v>
          </cell>
          <cell r="S51" t="str">
            <v>Szlovákia</v>
          </cell>
          <cell r="T51" t="str">
            <v>Slovakia</v>
          </cell>
          <cell r="U51" t="str">
            <v>Slovakia</v>
          </cell>
          <cell r="V51" t="str">
            <v>Slovacchia</v>
          </cell>
          <cell r="W51" t="str">
            <v>슬로바키아</v>
          </cell>
          <cell r="X51" t="str">
            <v>Slovakija</v>
          </cell>
          <cell r="Y51" t="str">
            <v>Словачка</v>
          </cell>
          <cell r="Z51" t="str">
            <v>Slovakkja</v>
          </cell>
          <cell r="AA51" t="str">
            <v>Slovakia</v>
          </cell>
          <cell r="AB51" t="str">
            <v>اسلواکی</v>
          </cell>
          <cell r="AC51" t="str">
            <v>Słowacja</v>
          </cell>
          <cell r="AD51" t="str">
            <v>Eslováquia</v>
          </cell>
          <cell r="AE51" t="str">
            <v>Slovacia</v>
          </cell>
          <cell r="AF51" t="str">
            <v>Словачка</v>
          </cell>
          <cell r="AG51" t="str">
            <v>Slovensko</v>
          </cell>
          <cell r="AH51" t="str">
            <v>Slovaška</v>
          </cell>
          <cell r="AI51" t="str">
            <v>Eslovaquia</v>
          </cell>
          <cell r="AJ51" t="str">
            <v>Slovakien</v>
          </cell>
          <cell r="AK51" t="str">
            <v>สโลวะเกีย</v>
          </cell>
          <cell r="AL51" t="str">
            <v>Slovakya</v>
          </cell>
          <cell r="AM51" t="str">
            <v>Slovakia</v>
          </cell>
          <cell r="AN51" t="str">
            <v>Словаччина</v>
          </cell>
          <cell r="AO51" t="str">
            <v>سلوواکیہ</v>
          </cell>
        </row>
        <row r="52">
          <cell r="A52" t="str">
            <v>Germany</v>
          </cell>
          <cell r="B52" t="str">
            <v>Gjermani</v>
          </cell>
          <cell r="C52" t="str">
            <v>ألمانيا</v>
          </cell>
          <cell r="D52" t="str">
            <v>Գերմանիա</v>
          </cell>
          <cell r="E52" t="str">
            <v>Almaniya</v>
          </cell>
          <cell r="F52" t="str">
            <v>Германия</v>
          </cell>
          <cell r="G52" t="str">
            <v>Alemanya</v>
          </cell>
          <cell r="H52" t="str">
            <v>德国</v>
          </cell>
          <cell r="I52" t="str">
            <v>德國</v>
          </cell>
          <cell r="J52" t="str">
            <v>Njemačka</v>
          </cell>
          <cell r="K52" t="str">
            <v>Německo</v>
          </cell>
          <cell r="L52" t="str">
            <v>Tyskland</v>
          </cell>
          <cell r="M52" t="str">
            <v>Duitsland</v>
          </cell>
          <cell r="N52" t="str">
            <v>Allemagne</v>
          </cell>
          <cell r="O52" t="str">
            <v>გერმანია</v>
          </cell>
          <cell r="P52" t="str">
            <v>Deutschland</v>
          </cell>
          <cell r="Q52" t="str">
            <v>Γερμανία</v>
          </cell>
          <cell r="R52" t="str">
            <v>גרמניה</v>
          </cell>
          <cell r="S52" t="str">
            <v>Németország</v>
          </cell>
          <cell r="T52" t="str">
            <v>Jerman</v>
          </cell>
          <cell r="U52" t="str">
            <v>Þýskaland</v>
          </cell>
          <cell r="V52" t="str">
            <v>Germania</v>
          </cell>
          <cell r="W52" t="str">
            <v>독일</v>
          </cell>
          <cell r="X52" t="str">
            <v>Vokietija</v>
          </cell>
          <cell r="Y52" t="str">
            <v>германија</v>
          </cell>
          <cell r="Z52" t="str">
            <v>Ġermanja</v>
          </cell>
          <cell r="AA52" t="str">
            <v>Tyskland</v>
          </cell>
          <cell r="AB52" t="str">
            <v>آلمان</v>
          </cell>
          <cell r="AC52" t="str">
            <v>Niemcy</v>
          </cell>
          <cell r="AD52" t="str">
            <v>Alemanha</v>
          </cell>
          <cell r="AE52" t="str">
            <v>Germania</v>
          </cell>
          <cell r="AF52" t="str">
            <v>Немачка</v>
          </cell>
          <cell r="AG52" t="str">
            <v>nemecko</v>
          </cell>
          <cell r="AH52" t="str">
            <v>Nemčija</v>
          </cell>
          <cell r="AI52" t="str">
            <v>Alemania</v>
          </cell>
          <cell r="AJ52" t="str">
            <v>Tyskland</v>
          </cell>
          <cell r="AK52" t="str">
            <v>ประเทศเยอรมัน</v>
          </cell>
          <cell r="AL52" t="str">
            <v>Almanya</v>
          </cell>
          <cell r="AM52" t="str">
            <v>Đức</v>
          </cell>
          <cell r="AN52" t="str">
            <v>Німеччина</v>
          </cell>
          <cell r="AO52" t="str">
            <v>جرمنی</v>
          </cell>
        </row>
        <row r="54">
          <cell r="A54" t="str">
            <v>Wales</v>
          </cell>
          <cell r="B54" t="str">
            <v>Uells</v>
          </cell>
          <cell r="C54" t="str">
            <v>ويلز</v>
          </cell>
          <cell r="D54" t="str">
            <v>Wales</v>
          </cell>
          <cell r="E54" t="str">
            <v>Wales</v>
          </cell>
          <cell r="F54" t="str">
            <v>Уелс</v>
          </cell>
          <cell r="G54" t="str">
            <v>Gal·les</v>
          </cell>
          <cell r="H54" t="str">
            <v>威尔士</v>
          </cell>
          <cell r="I54" t="str">
            <v>威爾士</v>
          </cell>
          <cell r="J54" t="str">
            <v>Vels</v>
          </cell>
          <cell r="K54" t="str">
            <v>Wales</v>
          </cell>
          <cell r="L54" t="str">
            <v>Wales</v>
          </cell>
          <cell r="M54" t="str">
            <v>Wales</v>
          </cell>
          <cell r="N54" t="str">
            <v>Pays de Galles</v>
          </cell>
          <cell r="O54" t="str">
            <v>უელსი</v>
          </cell>
          <cell r="P54" t="str">
            <v>Wales</v>
          </cell>
          <cell r="Q54" t="str">
            <v>Ουαλία</v>
          </cell>
          <cell r="R54" t="str">
            <v>ויילס</v>
          </cell>
          <cell r="S54" t="str">
            <v>Wales</v>
          </cell>
          <cell r="T54" t="str">
            <v>Wales</v>
          </cell>
          <cell r="U54" t="str">
            <v>Wales</v>
          </cell>
          <cell r="V54" t="str">
            <v>Galles</v>
          </cell>
          <cell r="W54" t="str">
            <v>웨일즈</v>
          </cell>
          <cell r="X54" t="str">
            <v>Velsas</v>
          </cell>
          <cell r="Y54" t="str">
            <v>Велс</v>
          </cell>
          <cell r="Z54" t="str">
            <v>wales</v>
          </cell>
          <cell r="AA54" t="str">
            <v>Wales</v>
          </cell>
          <cell r="AB54" t="str">
            <v>ولز</v>
          </cell>
          <cell r="AC54" t="str">
            <v>Walia</v>
          </cell>
          <cell r="AD54" t="str">
            <v>país de Gales</v>
          </cell>
          <cell r="AE54" t="str">
            <v>Țara Galilor</v>
          </cell>
          <cell r="AF54" t="str">
            <v>Велс</v>
          </cell>
          <cell r="AG54" t="str">
            <v>Wales</v>
          </cell>
          <cell r="AH54" t="str">
            <v>Wales</v>
          </cell>
          <cell r="AI54" t="str">
            <v>Gales</v>
          </cell>
          <cell r="AJ54" t="str">
            <v>wales</v>
          </cell>
          <cell r="AK54" t="str">
            <v>เวลส์</v>
          </cell>
          <cell r="AL54" t="str">
            <v>Galler</v>
          </cell>
          <cell r="AM54" t="str">
            <v>xứ Wales</v>
          </cell>
          <cell r="AN54" t="str">
            <v>Уельс</v>
          </cell>
          <cell r="AO54" t="str">
            <v>ویلز</v>
          </cell>
        </row>
        <row r="55">
          <cell r="A55" t="str">
            <v>Croatia</v>
          </cell>
          <cell r="B55" t="str">
            <v>Kroacia</v>
          </cell>
          <cell r="C55" t="str">
            <v>كرواتيا</v>
          </cell>
          <cell r="D55" t="str">
            <v>Խորվաթիա</v>
          </cell>
          <cell r="E55" t="str">
            <v>Xorvatiya</v>
          </cell>
          <cell r="F55" t="str">
            <v>Хърватия</v>
          </cell>
          <cell r="G55" t="str">
            <v>Croàcia</v>
          </cell>
          <cell r="H55" t="str">
            <v>克罗地亚</v>
          </cell>
          <cell r="I55" t="str">
            <v>克羅地亞</v>
          </cell>
          <cell r="J55" t="str">
            <v>Hrvatska</v>
          </cell>
          <cell r="K55" t="str">
            <v>Chorvatsko</v>
          </cell>
          <cell r="L55" t="str">
            <v>Kroatien</v>
          </cell>
          <cell r="M55" t="str">
            <v>Kroatië</v>
          </cell>
          <cell r="N55" t="str">
            <v>Croatie</v>
          </cell>
          <cell r="O55" t="str">
            <v>ხორვატია</v>
          </cell>
          <cell r="P55" t="str">
            <v>Kroatien</v>
          </cell>
          <cell r="Q55" t="str">
            <v>Κροατία</v>
          </cell>
          <cell r="R55" t="str">
            <v>קרואטיה</v>
          </cell>
          <cell r="S55" t="str">
            <v>Horvátország</v>
          </cell>
          <cell r="T55" t="str">
            <v>Kroasia</v>
          </cell>
          <cell r="U55" t="str">
            <v>Croatia</v>
          </cell>
          <cell r="V55" t="str">
            <v>Croazia</v>
          </cell>
          <cell r="W55" t="str">
            <v>크로아티아</v>
          </cell>
          <cell r="X55" t="str">
            <v>Kroatija</v>
          </cell>
          <cell r="Y55" t="str">
            <v>хрватска</v>
          </cell>
          <cell r="Z55" t="str">
            <v>Kroazja</v>
          </cell>
          <cell r="AA55" t="str">
            <v>Kroatia</v>
          </cell>
          <cell r="AB55" t="str">
            <v>کرواسی</v>
          </cell>
          <cell r="AC55" t="str">
            <v>Chorwacja</v>
          </cell>
          <cell r="AD55" t="str">
            <v>Croácia</v>
          </cell>
          <cell r="AE55" t="str">
            <v>Croația</v>
          </cell>
          <cell r="AF55" t="str">
            <v>Хрватска</v>
          </cell>
          <cell r="AG55" t="str">
            <v>chorvátsko</v>
          </cell>
          <cell r="AH55" t="str">
            <v>Hrvaška</v>
          </cell>
          <cell r="AI55" t="str">
            <v>Croacia</v>
          </cell>
          <cell r="AJ55" t="str">
            <v>Kroatien</v>
          </cell>
          <cell r="AK55" t="str">
            <v>โครเอเชีย</v>
          </cell>
          <cell r="AL55" t="str">
            <v>Hırvatistan</v>
          </cell>
          <cell r="AM55" t="str">
            <v>Croatia</v>
          </cell>
          <cell r="AN55" t="str">
            <v>Хорватія</v>
          </cell>
          <cell r="AO55" t="str">
            <v>کروشیا</v>
          </cell>
        </row>
        <row r="56">
          <cell r="A56" t="str">
            <v>Northern Ireland</v>
          </cell>
          <cell r="B56" t="str">
            <v>Irlanada veriore</v>
          </cell>
          <cell r="C56" t="str">
            <v>إيرلندا الشمالية</v>
          </cell>
          <cell r="D56" t="str">
            <v>Հյուսիսային Իռլանդիա</v>
          </cell>
          <cell r="E56" t="str">
            <v>Şimali irlandiya</v>
          </cell>
          <cell r="F56" t="str">
            <v>Северна Ирландия</v>
          </cell>
          <cell r="G56" t="str">
            <v>Irlanda del Nord</v>
          </cell>
          <cell r="H56" t="str">
            <v>北爱尔兰</v>
          </cell>
          <cell r="I56" t="str">
            <v>北愛爾蘭</v>
          </cell>
          <cell r="J56" t="str">
            <v>Sjeverna Irska</v>
          </cell>
          <cell r="K56" t="str">
            <v>Severní Irsko</v>
          </cell>
          <cell r="L56" t="str">
            <v>Nordirland</v>
          </cell>
          <cell r="M56" t="str">
            <v>Noord-Ierland</v>
          </cell>
          <cell r="N56" t="str">
            <v>Irlande du nord</v>
          </cell>
          <cell r="O56" t="str">
            <v>ჩრდილოეთ ირლანდია</v>
          </cell>
          <cell r="P56" t="str">
            <v>Nordirland</v>
          </cell>
          <cell r="Q56" t="str">
            <v>Βόρεια Ιρλανδία</v>
          </cell>
          <cell r="R56" t="str">
            <v>אירלנד הצפונית</v>
          </cell>
          <cell r="S56" t="str">
            <v>Észak-Írország</v>
          </cell>
          <cell r="T56" t="str">
            <v>Irlandia Utara</v>
          </cell>
          <cell r="U56" t="str">
            <v>Norður Írland</v>
          </cell>
          <cell r="V56" t="str">
            <v>Irlanda del nord</v>
          </cell>
          <cell r="W56" t="str">
            <v>북 아일랜드</v>
          </cell>
          <cell r="X56" t="str">
            <v>Šiaurės Airija</v>
          </cell>
          <cell r="Y56" t="str">
            <v>Северна Ирска</v>
          </cell>
          <cell r="Z56" t="str">
            <v>Irlanda ta 'Fuq</v>
          </cell>
          <cell r="AA56" t="str">
            <v>Nord-Irland</v>
          </cell>
          <cell r="AB56" t="str">
            <v>ایرلند شمالی</v>
          </cell>
          <cell r="AC56" t="str">
            <v>Irlandia Północna</v>
          </cell>
          <cell r="AD56" t="str">
            <v>Irlanda do Norte</v>
          </cell>
          <cell r="AE56" t="str">
            <v>Irlanda de Nord</v>
          </cell>
          <cell r="AF56" t="str">
            <v>Северна Ирска</v>
          </cell>
          <cell r="AG56" t="str">
            <v>Severné Írsko</v>
          </cell>
          <cell r="AH56" t="str">
            <v>Severna Irska</v>
          </cell>
          <cell r="AI56" t="str">
            <v>Irlanda del Norte</v>
          </cell>
          <cell r="AJ56" t="str">
            <v>Norra Irland</v>
          </cell>
          <cell r="AK56" t="str">
            <v>ไอร์แลนด์เหนือ</v>
          </cell>
          <cell r="AL56" t="str">
            <v>Kuzey Irlanda</v>
          </cell>
          <cell r="AM56" t="str">
            <v>Bắc Ireland</v>
          </cell>
          <cell r="AN56" t="str">
            <v>Північна Ірландія</v>
          </cell>
          <cell r="AO56" t="str">
            <v>شمالی آئر لینڈ</v>
          </cell>
        </row>
        <row r="57">
          <cell r="A57" t="str">
            <v>Switzerland</v>
          </cell>
          <cell r="B57" t="str">
            <v>Zvicër</v>
          </cell>
          <cell r="C57" t="str">
            <v>سويسرا</v>
          </cell>
          <cell r="D57" t="str">
            <v>Շվեյցարիա</v>
          </cell>
          <cell r="E57" t="str">
            <v>İsveçrə</v>
          </cell>
          <cell r="F57" t="str">
            <v>Швейцария</v>
          </cell>
          <cell r="G57" t="str">
            <v>Suïssa</v>
          </cell>
          <cell r="H57" t="str">
            <v>瑞士</v>
          </cell>
          <cell r="I57" t="str">
            <v>瑞士</v>
          </cell>
          <cell r="J57" t="str">
            <v>Švajcarska</v>
          </cell>
          <cell r="K57" t="str">
            <v>Švýcarsko</v>
          </cell>
          <cell r="L57" t="str">
            <v>Schweiz</v>
          </cell>
          <cell r="M57" t="str">
            <v>Zwitserland</v>
          </cell>
          <cell r="N57" t="str">
            <v>Suisse</v>
          </cell>
          <cell r="O57" t="str">
            <v>შვეიცარია</v>
          </cell>
          <cell r="P57" t="str">
            <v>Schweiz</v>
          </cell>
          <cell r="Q57" t="str">
            <v>Ελβετία</v>
          </cell>
          <cell r="R57" t="str">
            <v>שוויץ</v>
          </cell>
          <cell r="S57" t="str">
            <v>Svájc</v>
          </cell>
          <cell r="T57" t="str">
            <v>Swiss</v>
          </cell>
          <cell r="U57" t="str">
            <v>Sviss</v>
          </cell>
          <cell r="V57" t="str">
            <v>Svizzera</v>
          </cell>
          <cell r="W57" t="str">
            <v>스위스</v>
          </cell>
          <cell r="X57" t="str">
            <v>Šveicarija</v>
          </cell>
          <cell r="Y57" t="str">
            <v>Швајцарија</v>
          </cell>
          <cell r="Z57" t="str">
            <v>Isvizzera</v>
          </cell>
          <cell r="AA57" t="str">
            <v>Sveits</v>
          </cell>
          <cell r="AB57" t="str">
            <v>سویس</v>
          </cell>
          <cell r="AC57" t="str">
            <v>Szwajcaria</v>
          </cell>
          <cell r="AD57" t="str">
            <v>Suíça</v>
          </cell>
          <cell r="AE57" t="str">
            <v>Elveția</v>
          </cell>
          <cell r="AF57" t="str">
            <v>Швајцарска</v>
          </cell>
          <cell r="AG57" t="str">
            <v>švajčiarsko</v>
          </cell>
          <cell r="AH57" t="str">
            <v>Švica</v>
          </cell>
          <cell r="AI57" t="str">
            <v>Suiza</v>
          </cell>
          <cell r="AJ57" t="str">
            <v>Schweiz</v>
          </cell>
          <cell r="AK57" t="str">
            <v>ประเทศสวิสเซอร์แลนด์</v>
          </cell>
          <cell r="AL57" t="str">
            <v>İsviçre</v>
          </cell>
          <cell r="AM57" t="str">
            <v>Thụy Sĩ</v>
          </cell>
          <cell r="AN57" t="str">
            <v>Швейцарія</v>
          </cell>
          <cell r="AO57" t="str">
            <v>سوئٹزرلینڈ</v>
          </cell>
        </row>
        <row r="58">
          <cell r="A58" t="str">
            <v>Czech Republic</v>
          </cell>
          <cell r="B58" t="str">
            <v>Republika Çeke</v>
          </cell>
          <cell r="C58" t="str">
            <v>جمهورية التشيك</v>
          </cell>
          <cell r="D58" t="str">
            <v>Չեխիայի Հանրապետություն</v>
          </cell>
          <cell r="E58" t="str">
            <v>Çexiya Respublikası</v>
          </cell>
          <cell r="F58" t="str">
            <v>Чехия</v>
          </cell>
          <cell r="G58" t="str">
            <v>República Txeca</v>
          </cell>
          <cell r="H58" t="str">
            <v>捷克共和国</v>
          </cell>
          <cell r="I58" t="str">
            <v>捷克共和國</v>
          </cell>
          <cell r="J58" t="str">
            <v>Češka Republika</v>
          </cell>
          <cell r="K58" t="str">
            <v>Česko</v>
          </cell>
          <cell r="L58" t="str">
            <v>Tjekkiet</v>
          </cell>
          <cell r="M58" t="str">
            <v>Tsjechische Republiek</v>
          </cell>
          <cell r="N58" t="str">
            <v>Rép. Tchèque</v>
          </cell>
          <cell r="O58" t="str">
            <v>ჩეხეთის რესპუბლიკა</v>
          </cell>
          <cell r="P58" t="str">
            <v>Tschechien</v>
          </cell>
          <cell r="Q58" t="str">
            <v>Τσεχική Δημοκρατία</v>
          </cell>
          <cell r="R58" t="str">
            <v>הרפובליקה הצ'כית</v>
          </cell>
          <cell r="S58" t="str">
            <v>Cseh Köztársaság</v>
          </cell>
          <cell r="T58" t="str">
            <v>Republik Ceko</v>
          </cell>
          <cell r="U58" t="str">
            <v>Tékkland</v>
          </cell>
          <cell r="V58" t="str">
            <v>Repubblica Ceca</v>
          </cell>
          <cell r="W58" t="str">
            <v>체코 공화국</v>
          </cell>
          <cell r="X58" t="str">
            <v>Čekijos Respublika</v>
          </cell>
          <cell r="Y58" t="str">
            <v>Република Чешка</v>
          </cell>
          <cell r="Z58" t="str">
            <v>Repubblika Ċeka</v>
          </cell>
          <cell r="AA58" t="str">
            <v>Tsjekkisk Republikk</v>
          </cell>
          <cell r="AB58" t="str">
            <v>جمهوری چک</v>
          </cell>
          <cell r="AC58" t="str">
            <v>Czechy</v>
          </cell>
          <cell r="AD58" t="str">
            <v>República Checa</v>
          </cell>
          <cell r="AE58" t="str">
            <v>Republica Cehă</v>
          </cell>
          <cell r="AF58" t="str">
            <v>Чешка</v>
          </cell>
          <cell r="AG58" t="str">
            <v>Česká republika</v>
          </cell>
          <cell r="AH58" t="str">
            <v>Češka</v>
          </cell>
          <cell r="AI58" t="str">
            <v>República Checa</v>
          </cell>
          <cell r="AJ58" t="str">
            <v>Tjeckien</v>
          </cell>
          <cell r="AK58" t="str">
            <v>สาธารณรัฐเช็ก</v>
          </cell>
          <cell r="AL58" t="str">
            <v>Çek Cumhuriyeti</v>
          </cell>
          <cell r="AM58" t="str">
            <v>Cộng hòa Séc</v>
          </cell>
          <cell r="AN58" t="str">
            <v>Чеська Республіка</v>
          </cell>
          <cell r="AO58" t="str">
            <v>جمہوریہ چیک</v>
          </cell>
        </row>
        <row r="59">
          <cell r="A59" t="str">
            <v>Republic of Ireland</v>
          </cell>
          <cell r="B59" t="str">
            <v>Republika e Irlandës</v>
          </cell>
          <cell r="C59" t="str">
            <v>جمهورية ايرلندا</v>
          </cell>
          <cell r="D59" t="str">
            <v>Իռլանդիա</v>
          </cell>
          <cell r="E59" t="str">
            <v>İrlandiya Respublikası</v>
          </cell>
          <cell r="F59" t="str">
            <v>Република Ирландия</v>
          </cell>
          <cell r="G59" t="str">
            <v>República d'Irlanda</v>
          </cell>
          <cell r="H59" t="str">
            <v>爱尔兰</v>
          </cell>
          <cell r="I59" t="str">
            <v>愛爾蘭</v>
          </cell>
          <cell r="J59" t="str">
            <v>Republika Irska</v>
          </cell>
          <cell r="K59" t="str">
            <v>Irsko</v>
          </cell>
          <cell r="L59" t="str">
            <v>Irland</v>
          </cell>
          <cell r="M59" t="str">
            <v>republiek Ierland</v>
          </cell>
          <cell r="N59" t="str">
            <v>Rép.d'Irlande</v>
          </cell>
          <cell r="O59" t="str">
            <v>ირლანდიის რესპუბლიკა</v>
          </cell>
          <cell r="P59" t="str">
            <v>Irische Republik</v>
          </cell>
          <cell r="Q59" t="str">
            <v>Δημοκρατία της Ιρλανδίας</v>
          </cell>
          <cell r="R59" t="str">
            <v>רפובליקת אירלנד</v>
          </cell>
          <cell r="S59" t="str">
            <v>Ír Köztársaság</v>
          </cell>
          <cell r="T59" t="str">
            <v>Republik Irlandia</v>
          </cell>
          <cell r="U59" t="str">
            <v>Írland</v>
          </cell>
          <cell r="V59" t="str">
            <v>repubblica d'Irlanda</v>
          </cell>
          <cell r="W59" t="str">
            <v>아일랜드</v>
          </cell>
          <cell r="X59" t="str">
            <v>Airijos Respublika</v>
          </cell>
          <cell r="Y59" t="str">
            <v>Република Ирска</v>
          </cell>
          <cell r="Z59" t="str">
            <v>Repubblika tal-Irlanda</v>
          </cell>
          <cell r="AA59" t="str">
            <v>Republikken Irland</v>
          </cell>
          <cell r="AB59" t="str">
            <v>جمهوری ایرلند</v>
          </cell>
          <cell r="AC59" t="str">
            <v>Irlandia</v>
          </cell>
          <cell r="AD59" t="str">
            <v>República da Irlanda</v>
          </cell>
          <cell r="AE59" t="str">
            <v>Republica Irlanda</v>
          </cell>
          <cell r="AF59" t="str">
            <v>Република Ирска</v>
          </cell>
          <cell r="AG59" t="str">
            <v>Írsko</v>
          </cell>
          <cell r="AH59" t="str">
            <v>Republika Irska</v>
          </cell>
          <cell r="AI59" t="str">
            <v>Republica de Irlanda</v>
          </cell>
          <cell r="AJ59" t="str">
            <v>republiken Irland</v>
          </cell>
          <cell r="AK59" t="str">
            <v>สาธารณรัฐไอร์แลนด์</v>
          </cell>
          <cell r="AL59" t="str">
            <v>irlanda Cumhuriyeti</v>
          </cell>
          <cell r="AM59" t="str">
            <v>Cộng hòa Ireland</v>
          </cell>
          <cell r="AN59" t="str">
            <v>Ірландія</v>
          </cell>
          <cell r="AO59" t="str">
            <v>جمہوریہ آئرلینڈ</v>
          </cell>
        </row>
        <row r="60">
          <cell r="A60" t="str">
            <v>Iceland</v>
          </cell>
          <cell r="B60" t="str">
            <v>Islandë</v>
          </cell>
          <cell r="C60" t="str">
            <v>أيسلندا</v>
          </cell>
          <cell r="D60" t="str">
            <v>Իսլանդիան</v>
          </cell>
          <cell r="E60" t="str">
            <v>İslandiya</v>
          </cell>
          <cell r="F60" t="str">
            <v>Исландия</v>
          </cell>
          <cell r="G60" t="str">
            <v>Islàndia</v>
          </cell>
          <cell r="H60" t="str">
            <v>冰岛</v>
          </cell>
          <cell r="I60" t="str">
            <v>冰島</v>
          </cell>
          <cell r="J60" t="str">
            <v>Island</v>
          </cell>
          <cell r="K60" t="str">
            <v>Island</v>
          </cell>
          <cell r="L60" t="str">
            <v>Island</v>
          </cell>
          <cell r="M60" t="str">
            <v>IJsland</v>
          </cell>
          <cell r="N60" t="str">
            <v>Islande</v>
          </cell>
          <cell r="O60" t="str">
            <v>ისლანდიის</v>
          </cell>
          <cell r="P60" t="str">
            <v>Island</v>
          </cell>
          <cell r="Q60" t="str">
            <v>Ισλανδία</v>
          </cell>
          <cell r="R60" t="str">
            <v>אִיסלַנד</v>
          </cell>
          <cell r="S60" t="str">
            <v>Izland</v>
          </cell>
          <cell r="T60" t="str">
            <v>Islandia</v>
          </cell>
          <cell r="U60" t="str">
            <v>Ísland</v>
          </cell>
          <cell r="V60" t="str">
            <v>Islanda</v>
          </cell>
          <cell r="W60" t="str">
            <v>아이슬란드</v>
          </cell>
          <cell r="X60" t="str">
            <v>Islandija</v>
          </cell>
          <cell r="Y60" t="str">
            <v>Исланд</v>
          </cell>
          <cell r="Z60" t="str">
            <v>Islanda</v>
          </cell>
          <cell r="AA60" t="str">
            <v>Island</v>
          </cell>
          <cell r="AB60" t="str">
            <v>ایسلند</v>
          </cell>
          <cell r="AC60" t="str">
            <v>Islandia</v>
          </cell>
          <cell r="AD60" t="str">
            <v>Islândia</v>
          </cell>
          <cell r="AE60" t="str">
            <v>Islanda</v>
          </cell>
          <cell r="AF60" t="str">
            <v>Исланд</v>
          </cell>
          <cell r="AG60" t="str">
            <v>Island</v>
          </cell>
          <cell r="AH60" t="str">
            <v>Islandija</v>
          </cell>
          <cell r="AI60" t="str">
            <v>Islandia</v>
          </cell>
          <cell r="AJ60" t="str">
            <v>island</v>
          </cell>
          <cell r="AK60" t="str">
            <v>ประเทศไอซ์แลนด์</v>
          </cell>
          <cell r="AL60" t="str">
            <v>İzlanda</v>
          </cell>
          <cell r="AM60" t="str">
            <v>Iceland</v>
          </cell>
          <cell r="AN60" t="str">
            <v>Ісландія</v>
          </cell>
          <cell r="AO60" t="str">
            <v>آئس لینڈ</v>
          </cell>
        </row>
        <row r="61">
          <cell r="A61" t="str">
            <v>Austria</v>
          </cell>
          <cell r="B61" t="str">
            <v>Austri</v>
          </cell>
          <cell r="C61" t="str">
            <v>النمسا</v>
          </cell>
          <cell r="D61" t="str">
            <v>austria</v>
          </cell>
          <cell r="E61" t="str">
            <v>Avstriya</v>
          </cell>
          <cell r="F61" t="str">
            <v>Австрия</v>
          </cell>
          <cell r="G61" t="str">
            <v>Àustria</v>
          </cell>
          <cell r="H61" t="str">
            <v>奥地利</v>
          </cell>
          <cell r="I61" t="str">
            <v>奧地利</v>
          </cell>
          <cell r="J61" t="str">
            <v>Austrija</v>
          </cell>
          <cell r="K61" t="str">
            <v>Rakousko</v>
          </cell>
          <cell r="L61" t="str">
            <v>Østrig</v>
          </cell>
          <cell r="M61" t="str">
            <v>Oostenrijk</v>
          </cell>
          <cell r="N61" t="str">
            <v>Autriche</v>
          </cell>
          <cell r="O61" t="str">
            <v>ავსტრიაში</v>
          </cell>
          <cell r="P61" t="str">
            <v>Österreich</v>
          </cell>
          <cell r="Q61" t="str">
            <v>Αυστρία</v>
          </cell>
          <cell r="R61" t="str">
            <v>אוֹסְטְרֵיָה</v>
          </cell>
          <cell r="S61" t="str">
            <v>Ausztria</v>
          </cell>
          <cell r="T61" t="str">
            <v>Austria</v>
          </cell>
          <cell r="U61" t="str">
            <v>Austurríki</v>
          </cell>
          <cell r="V61" t="str">
            <v>Austria</v>
          </cell>
          <cell r="W61" t="str">
            <v>오스트리아</v>
          </cell>
          <cell r="X61" t="str">
            <v>Austrija</v>
          </cell>
          <cell r="Y61" t="str">
            <v>Австрија</v>
          </cell>
          <cell r="Z61" t="str">
            <v>awstrija</v>
          </cell>
          <cell r="AA61" t="str">
            <v>Østerrike</v>
          </cell>
          <cell r="AB61" t="str">
            <v>اتریش</v>
          </cell>
          <cell r="AC61" t="str">
            <v>Austria</v>
          </cell>
          <cell r="AD61" t="str">
            <v>Áustria</v>
          </cell>
          <cell r="AE61" t="str">
            <v>Austria</v>
          </cell>
          <cell r="AF61" t="str">
            <v>Аустрија</v>
          </cell>
          <cell r="AG61" t="str">
            <v>Rakúsko</v>
          </cell>
          <cell r="AH61" t="str">
            <v>Avstrija</v>
          </cell>
          <cell r="AI61" t="str">
            <v>Austria</v>
          </cell>
          <cell r="AJ61" t="str">
            <v>österrike</v>
          </cell>
          <cell r="AK61" t="str">
            <v>ออสเตรีย</v>
          </cell>
          <cell r="AL61" t="str">
            <v>Avusturya</v>
          </cell>
          <cell r="AM61" t="str">
            <v>Áo</v>
          </cell>
          <cell r="AN61" t="str">
            <v>Австрія</v>
          </cell>
          <cell r="AO61" t="str">
            <v>آسٹریا</v>
          </cell>
        </row>
        <row r="62">
          <cell r="A62" t="str">
            <v>France</v>
          </cell>
          <cell r="B62" t="str">
            <v>Francë</v>
          </cell>
          <cell r="C62" t="str">
            <v>فرنسا</v>
          </cell>
          <cell r="D62" t="str">
            <v>France</v>
          </cell>
          <cell r="E62" t="str">
            <v>Fransa</v>
          </cell>
          <cell r="F62" t="str">
            <v>Франция</v>
          </cell>
          <cell r="G62" t="str">
            <v>França</v>
          </cell>
          <cell r="H62" t="str">
            <v>法国</v>
          </cell>
          <cell r="I62" t="str">
            <v>法國</v>
          </cell>
          <cell r="J62" t="str">
            <v>Francuska</v>
          </cell>
          <cell r="K62" t="str">
            <v>Francie</v>
          </cell>
          <cell r="L62" t="str">
            <v>Frankrig</v>
          </cell>
          <cell r="M62" t="str">
            <v>Frankrijk</v>
          </cell>
          <cell r="N62" t="str">
            <v>France</v>
          </cell>
          <cell r="O62" t="str">
            <v>საფრანგეთი</v>
          </cell>
          <cell r="P62" t="str">
            <v>Frankreich</v>
          </cell>
          <cell r="Q62" t="str">
            <v>Γαλλία</v>
          </cell>
          <cell r="R62" t="str">
            <v>צרפת</v>
          </cell>
          <cell r="S62" t="str">
            <v>Franciaország</v>
          </cell>
          <cell r="T62" t="str">
            <v>Perancis</v>
          </cell>
          <cell r="U62" t="str">
            <v>France</v>
          </cell>
          <cell r="V62" t="str">
            <v>Francia</v>
          </cell>
          <cell r="W62" t="str">
            <v>프랑스</v>
          </cell>
          <cell r="X62" t="str">
            <v>Prancūzija</v>
          </cell>
          <cell r="Y62" t="str">
            <v>Франција</v>
          </cell>
          <cell r="Z62" t="str">
            <v>Franza</v>
          </cell>
          <cell r="AA62" t="str">
            <v>Frankrike</v>
          </cell>
          <cell r="AB62" t="str">
            <v>فرانسه</v>
          </cell>
          <cell r="AC62" t="str">
            <v>Francja</v>
          </cell>
          <cell r="AD62" t="str">
            <v>França</v>
          </cell>
          <cell r="AE62" t="str">
            <v>Franța</v>
          </cell>
          <cell r="AF62" t="str">
            <v>Француска</v>
          </cell>
          <cell r="AG62" t="str">
            <v>francúzsko</v>
          </cell>
          <cell r="AH62" t="str">
            <v>France</v>
          </cell>
          <cell r="AI62" t="str">
            <v>Francia</v>
          </cell>
          <cell r="AJ62" t="str">
            <v>Frankrike</v>
          </cell>
          <cell r="AK62" t="str">
            <v>ฝรั่งเศส</v>
          </cell>
          <cell r="AL62" t="str">
            <v>Fransa</v>
          </cell>
          <cell r="AM62" t="str">
            <v>Pháp</v>
          </cell>
          <cell r="AN62" t="str">
            <v>Франція</v>
          </cell>
          <cell r="AO62" t="str">
            <v>فرانس</v>
          </cell>
        </row>
        <row r="64">
          <cell r="A64" t="str">
            <v>Poland</v>
          </cell>
          <cell r="B64" t="str">
            <v>Poloni</v>
          </cell>
          <cell r="C64" t="str">
            <v>بولندا</v>
          </cell>
          <cell r="D64" t="str">
            <v>poland</v>
          </cell>
          <cell r="E64" t="str">
            <v>Polşa</v>
          </cell>
          <cell r="F64" t="str">
            <v>Полша</v>
          </cell>
          <cell r="G64" t="str">
            <v>Polònia</v>
          </cell>
          <cell r="H64" t="str">
            <v>波兰</v>
          </cell>
          <cell r="I64" t="str">
            <v>波蘭</v>
          </cell>
          <cell r="J64" t="str">
            <v>Poljska</v>
          </cell>
          <cell r="K64" t="str">
            <v>Polsko</v>
          </cell>
          <cell r="L64" t="str">
            <v>Polen</v>
          </cell>
          <cell r="M64" t="str">
            <v>Polen</v>
          </cell>
          <cell r="N64" t="str">
            <v>Pologne</v>
          </cell>
          <cell r="O64" t="str">
            <v>პოლონეთი</v>
          </cell>
          <cell r="P64" t="str">
            <v>Polen</v>
          </cell>
          <cell r="Q64" t="str">
            <v>Πολωνία</v>
          </cell>
          <cell r="R64" t="str">
            <v>פולין</v>
          </cell>
          <cell r="S64" t="str">
            <v>Lengyelország</v>
          </cell>
          <cell r="T64" t="str">
            <v>Polandia</v>
          </cell>
          <cell r="U64" t="str">
            <v>poland</v>
          </cell>
          <cell r="V64" t="str">
            <v>Polonia</v>
          </cell>
          <cell r="W64" t="str">
            <v>폴란드</v>
          </cell>
          <cell r="X64" t="str">
            <v>Lenkija</v>
          </cell>
          <cell r="Y64" t="str">
            <v>Полска</v>
          </cell>
          <cell r="Z64" t="str">
            <v>Il-Polonja</v>
          </cell>
          <cell r="AA64" t="str">
            <v>Polen</v>
          </cell>
          <cell r="AB64" t="str">
            <v>لهستان</v>
          </cell>
          <cell r="AC64" t="str">
            <v>Polska</v>
          </cell>
          <cell r="AD64" t="str">
            <v>Polônia</v>
          </cell>
          <cell r="AE64" t="str">
            <v>Polonia</v>
          </cell>
          <cell r="AF64" t="str">
            <v>Пољска</v>
          </cell>
          <cell r="AG64" t="str">
            <v>Poľsko</v>
          </cell>
          <cell r="AH64" t="str">
            <v>Poljska</v>
          </cell>
          <cell r="AI64" t="str">
            <v>Polonia</v>
          </cell>
          <cell r="AJ64" t="str">
            <v>polen</v>
          </cell>
          <cell r="AK64" t="str">
            <v>โปแลนด์</v>
          </cell>
          <cell r="AL64" t="str">
            <v>Polonya</v>
          </cell>
          <cell r="AM64" t="str">
            <v>Ba Lan</v>
          </cell>
          <cell r="AN64" t="str">
            <v>Польща</v>
          </cell>
          <cell r="AO64" t="str">
            <v>پولینڈ</v>
          </cell>
        </row>
        <row r="66">
          <cell r="A66" t="str">
            <v>England</v>
          </cell>
          <cell r="B66" t="str">
            <v>Angli</v>
          </cell>
          <cell r="C66" t="str">
            <v>انجلترا</v>
          </cell>
          <cell r="D66" t="str">
            <v>Անգլիա</v>
          </cell>
          <cell r="E66" t="str">
            <v>İngiltərə</v>
          </cell>
          <cell r="F66" t="str">
            <v>Англия</v>
          </cell>
          <cell r="G66" t="str">
            <v>Anglaterra</v>
          </cell>
          <cell r="H66" t="str">
            <v>英国</v>
          </cell>
          <cell r="I66" t="str">
            <v>英國</v>
          </cell>
          <cell r="J66" t="str">
            <v>Engleska</v>
          </cell>
          <cell r="K66" t="str">
            <v>Anglie</v>
          </cell>
          <cell r="L66" t="str">
            <v>England</v>
          </cell>
          <cell r="M66" t="str">
            <v>Engeland</v>
          </cell>
          <cell r="N66" t="str">
            <v>Angleterre</v>
          </cell>
          <cell r="O66" t="str">
            <v>ინგლისი</v>
          </cell>
          <cell r="P66" t="str">
            <v>England</v>
          </cell>
          <cell r="Q66" t="str">
            <v>Αγγλία</v>
          </cell>
          <cell r="R66" t="str">
            <v>אנגליה</v>
          </cell>
          <cell r="S66" t="str">
            <v>Anglia</v>
          </cell>
          <cell r="T66" t="str">
            <v>Inggris</v>
          </cell>
          <cell r="U66" t="str">
            <v>England</v>
          </cell>
          <cell r="V66" t="str">
            <v>Inghilterra</v>
          </cell>
          <cell r="W66" t="str">
            <v>영국</v>
          </cell>
          <cell r="X66" t="str">
            <v>Anglija</v>
          </cell>
          <cell r="Y66" t="str">
            <v>Англија</v>
          </cell>
          <cell r="Z66" t="str">
            <v>Ingilterra</v>
          </cell>
          <cell r="AA66" t="str">
            <v>England</v>
          </cell>
          <cell r="AB66" t="str">
            <v>انگلستان</v>
          </cell>
          <cell r="AC66" t="str">
            <v>Anglia</v>
          </cell>
          <cell r="AD66" t="str">
            <v>Inglaterra</v>
          </cell>
          <cell r="AE66" t="str">
            <v>Anglia</v>
          </cell>
          <cell r="AF66" t="str">
            <v>Енглеска</v>
          </cell>
          <cell r="AG66" t="str">
            <v>Anglicko</v>
          </cell>
          <cell r="AH66" t="str">
            <v>Anglija</v>
          </cell>
          <cell r="AI66" t="str">
            <v>Inglaterra</v>
          </cell>
          <cell r="AJ66" t="str">
            <v>England</v>
          </cell>
          <cell r="AK66" t="str">
            <v>อังกฤษ</v>
          </cell>
          <cell r="AL66" t="str">
            <v>İngiltere</v>
          </cell>
          <cell r="AM66" t="str">
            <v>Anh</v>
          </cell>
          <cell r="AN66" t="str">
            <v>Англія</v>
          </cell>
          <cell r="AO66" t="str">
            <v>انگلینڈ</v>
          </cell>
        </row>
        <row r="67">
          <cell r="A67" t="str">
            <v>Belgium</v>
          </cell>
          <cell r="B67" t="str">
            <v>Belgjikë</v>
          </cell>
          <cell r="C67" t="str">
            <v>بلجيكا</v>
          </cell>
          <cell r="D67" t="str">
            <v>Բելգիա</v>
          </cell>
          <cell r="E67" t="str">
            <v>Belçika</v>
          </cell>
          <cell r="F67" t="str">
            <v>Белгия</v>
          </cell>
          <cell r="G67" t="str">
            <v>Bèlgica</v>
          </cell>
          <cell r="H67" t="str">
            <v>比利时</v>
          </cell>
          <cell r="I67" t="str">
            <v>比利時</v>
          </cell>
          <cell r="J67" t="str">
            <v>Belgija</v>
          </cell>
          <cell r="K67" t="str">
            <v>Belgie</v>
          </cell>
          <cell r="L67" t="str">
            <v>Belgien</v>
          </cell>
          <cell r="M67" t="str">
            <v>België</v>
          </cell>
          <cell r="N67" t="str">
            <v>Belgique</v>
          </cell>
          <cell r="O67" t="str">
            <v>ბელგიის</v>
          </cell>
          <cell r="P67" t="str">
            <v>Belgien</v>
          </cell>
          <cell r="Q67" t="str">
            <v>Βέλγιο</v>
          </cell>
          <cell r="R67" t="str">
            <v>בלגיה</v>
          </cell>
          <cell r="S67" t="str">
            <v>Belgium</v>
          </cell>
          <cell r="T67" t="str">
            <v>Belgia</v>
          </cell>
          <cell r="U67" t="str">
            <v>Belgium</v>
          </cell>
          <cell r="V67" t="str">
            <v>Belgio</v>
          </cell>
          <cell r="W67" t="str">
            <v>벨기에</v>
          </cell>
          <cell r="X67" t="str">
            <v>Belgija</v>
          </cell>
          <cell r="Y67" t="str">
            <v>белгија</v>
          </cell>
          <cell r="Z67" t="str">
            <v>Il-Belġju</v>
          </cell>
          <cell r="AA67" t="str">
            <v>Belgia</v>
          </cell>
          <cell r="AB67" t="str">
            <v>بلژیک</v>
          </cell>
          <cell r="AC67" t="str">
            <v>Belgia</v>
          </cell>
          <cell r="AD67" t="str">
            <v>Bélgica</v>
          </cell>
          <cell r="AE67" t="str">
            <v>Belgia</v>
          </cell>
          <cell r="AF67" t="str">
            <v>Белгија</v>
          </cell>
          <cell r="AG67" t="str">
            <v>belgicko</v>
          </cell>
          <cell r="AH67" t="str">
            <v>Belgija</v>
          </cell>
          <cell r="AI67" t="str">
            <v>Bélgica</v>
          </cell>
          <cell r="AJ67" t="str">
            <v>Belgien</v>
          </cell>
          <cell r="AK67" t="str">
            <v>เบลเยี่ยม</v>
          </cell>
          <cell r="AL67" t="str">
            <v>Belçika</v>
          </cell>
          <cell r="AM67" t="str">
            <v>Bỉ</v>
          </cell>
          <cell r="AN67" t="str">
            <v>Бельгія</v>
          </cell>
          <cell r="AO67" t="str">
            <v>بیلجئیم</v>
          </cell>
        </row>
        <row r="68">
          <cell r="A68" t="str">
            <v>Sweden</v>
          </cell>
          <cell r="B68" t="str">
            <v>Suedi</v>
          </cell>
          <cell r="C68" t="str">
            <v>السويد</v>
          </cell>
          <cell r="D68" t="str">
            <v>sweden</v>
          </cell>
          <cell r="E68" t="str">
            <v>İsveç</v>
          </cell>
          <cell r="F68" t="str">
            <v>Швеция</v>
          </cell>
          <cell r="G68" t="str">
            <v>Suècia</v>
          </cell>
          <cell r="H68" t="str">
            <v>瑞典</v>
          </cell>
          <cell r="I68" t="str">
            <v>瑞典</v>
          </cell>
          <cell r="J68" t="str">
            <v>Švedska</v>
          </cell>
          <cell r="K68" t="str">
            <v>Švédsko</v>
          </cell>
          <cell r="L68" t="str">
            <v>Sverige</v>
          </cell>
          <cell r="M68" t="str">
            <v>Zweden</v>
          </cell>
          <cell r="N68" t="str">
            <v>Suède</v>
          </cell>
          <cell r="O68" t="str">
            <v>შვედეთი</v>
          </cell>
          <cell r="P68" t="str">
            <v>Schweden</v>
          </cell>
          <cell r="Q68" t="str">
            <v>Σουηδία</v>
          </cell>
          <cell r="R68" t="str">
            <v>שוודיה</v>
          </cell>
          <cell r="S68" t="str">
            <v>Svédország</v>
          </cell>
          <cell r="T68" t="str">
            <v>Swedia</v>
          </cell>
          <cell r="U68" t="str">
            <v>Svíþjóð</v>
          </cell>
          <cell r="V68" t="str">
            <v>Svezia</v>
          </cell>
          <cell r="W68" t="str">
            <v>스웨덴</v>
          </cell>
          <cell r="X68" t="str">
            <v>Švedija</v>
          </cell>
          <cell r="Y68" t="str">
            <v>Шведска</v>
          </cell>
          <cell r="Z68" t="str">
            <v>l-Isvezja</v>
          </cell>
          <cell r="AA68" t="str">
            <v>Sverige</v>
          </cell>
          <cell r="AB68" t="str">
            <v>سوئد</v>
          </cell>
          <cell r="AC68" t="str">
            <v>Szwecja</v>
          </cell>
          <cell r="AD68" t="str">
            <v>Suécia</v>
          </cell>
          <cell r="AE68" t="str">
            <v>Suedia</v>
          </cell>
          <cell r="AF68" t="str">
            <v>Шведска</v>
          </cell>
          <cell r="AG68" t="str">
            <v>Švédsko</v>
          </cell>
          <cell r="AH68" t="str">
            <v>Švedska</v>
          </cell>
          <cell r="AI68" t="str">
            <v>Suecia</v>
          </cell>
          <cell r="AJ68" t="str">
            <v>sverige</v>
          </cell>
          <cell r="AK68" t="str">
            <v>สวีเดน</v>
          </cell>
          <cell r="AL68" t="str">
            <v>İsveç</v>
          </cell>
          <cell r="AM68" t="str">
            <v>Thụy Điển</v>
          </cell>
          <cell r="AN68" t="str">
            <v>Швеція</v>
          </cell>
          <cell r="AO68" t="str">
            <v>سویڈن</v>
          </cell>
        </row>
        <row r="69">
          <cell r="A69" t="str">
            <v>Russia</v>
          </cell>
          <cell r="B69" t="str">
            <v>Rusi</v>
          </cell>
          <cell r="C69" t="str">
            <v>روسيا</v>
          </cell>
          <cell r="D69" t="str">
            <v>Ռուսաստան</v>
          </cell>
          <cell r="E69" t="str">
            <v>Rusiya</v>
          </cell>
          <cell r="F69" t="str">
            <v>Русия</v>
          </cell>
          <cell r="G69" t="str">
            <v>Rússia</v>
          </cell>
          <cell r="H69" t="str">
            <v>俄国</v>
          </cell>
          <cell r="I69" t="str">
            <v>俄國</v>
          </cell>
          <cell r="J69" t="str">
            <v>Rusija</v>
          </cell>
          <cell r="K69" t="str">
            <v>Rusko</v>
          </cell>
          <cell r="L69" t="str">
            <v>Rusland</v>
          </cell>
          <cell r="M69" t="str">
            <v>Rusland</v>
          </cell>
          <cell r="N69" t="str">
            <v>Russie</v>
          </cell>
          <cell r="O69" t="str">
            <v>რუსეთის</v>
          </cell>
          <cell r="P69" t="str">
            <v>Russland</v>
          </cell>
          <cell r="Q69" t="str">
            <v>Ρωσία</v>
          </cell>
          <cell r="R69" t="str">
            <v>רוסיה</v>
          </cell>
          <cell r="S69" t="str">
            <v>Oroszország</v>
          </cell>
          <cell r="T69" t="str">
            <v>Rusia</v>
          </cell>
          <cell r="U69" t="str">
            <v>russia</v>
          </cell>
          <cell r="V69" t="str">
            <v>Russia</v>
          </cell>
          <cell r="W69" t="str">
            <v>러시아</v>
          </cell>
          <cell r="X69" t="str">
            <v>Rusija</v>
          </cell>
          <cell r="Y69" t="str">
            <v>Русија</v>
          </cell>
          <cell r="Z69" t="str">
            <v>Russja</v>
          </cell>
          <cell r="AA69" t="str">
            <v>Russland</v>
          </cell>
          <cell r="AB69" t="str">
            <v>روسیه،</v>
          </cell>
          <cell r="AC69" t="str">
            <v>Rosja</v>
          </cell>
          <cell r="AD69" t="str">
            <v>Rússia</v>
          </cell>
          <cell r="AE69" t="str">
            <v>Rusia</v>
          </cell>
          <cell r="AF69" t="str">
            <v>Русија</v>
          </cell>
          <cell r="AG69" t="str">
            <v>rusko</v>
          </cell>
          <cell r="AH69" t="str">
            <v>Rusija</v>
          </cell>
          <cell r="AI69" t="str">
            <v>Rusia</v>
          </cell>
          <cell r="AJ69" t="str">
            <v>Ryssland</v>
          </cell>
          <cell r="AK69" t="str">
            <v>ประเทศรัสเซีย</v>
          </cell>
          <cell r="AL69" t="str">
            <v>Rusya</v>
          </cell>
          <cell r="AM69" t="str">
            <v>Nga</v>
          </cell>
          <cell r="AN69" t="str">
            <v>Росія</v>
          </cell>
          <cell r="AO69" t="str">
            <v>روس</v>
          </cell>
        </row>
        <row r="70">
          <cell r="A70" t="str">
            <v>1A</v>
          </cell>
          <cell r="B70" t="str">
            <v>1A</v>
          </cell>
          <cell r="C70" t="str">
            <v>1A</v>
          </cell>
          <cell r="D70" t="str">
            <v>1A</v>
          </cell>
          <cell r="E70" t="str">
            <v>1A</v>
          </cell>
          <cell r="F70" t="str">
            <v>1A</v>
          </cell>
          <cell r="G70" t="str">
            <v>1A</v>
          </cell>
          <cell r="H70" t="str">
            <v>1A</v>
          </cell>
          <cell r="I70" t="str">
            <v>1A</v>
          </cell>
          <cell r="J70" t="str">
            <v>1A</v>
          </cell>
          <cell r="K70" t="str">
            <v>1A</v>
          </cell>
          <cell r="L70" t="str">
            <v>1A</v>
          </cell>
          <cell r="M70" t="str">
            <v>A1</v>
          </cell>
          <cell r="N70" t="str">
            <v>1A</v>
          </cell>
          <cell r="O70" t="str">
            <v>1A</v>
          </cell>
          <cell r="P70" t="str">
            <v>1A</v>
          </cell>
          <cell r="Q70" t="str">
            <v>1A</v>
          </cell>
          <cell r="R70" t="str">
            <v>1A</v>
          </cell>
          <cell r="S70" t="str">
            <v>1A</v>
          </cell>
          <cell r="T70" t="str">
            <v>1A</v>
          </cell>
          <cell r="U70" t="str">
            <v>1A</v>
          </cell>
          <cell r="V70" t="str">
            <v>1A</v>
          </cell>
          <cell r="W70" t="str">
            <v>A 그룹 1위</v>
          </cell>
          <cell r="X70" t="str">
            <v>1A</v>
          </cell>
          <cell r="Y70" t="str">
            <v>1A</v>
          </cell>
          <cell r="Z70" t="str">
            <v>1A</v>
          </cell>
          <cell r="AA70" t="str">
            <v>1A</v>
          </cell>
          <cell r="AB70" t="str">
            <v>اول گروه A</v>
          </cell>
          <cell r="AC70" t="str">
            <v>1A</v>
          </cell>
          <cell r="AD70" t="str">
            <v>1A</v>
          </cell>
          <cell r="AE70" t="str">
            <v>1A</v>
          </cell>
          <cell r="AF70" t="str">
            <v>1A</v>
          </cell>
          <cell r="AG70" t="str">
            <v>1A</v>
          </cell>
          <cell r="AH70" t="str">
            <v>1A</v>
          </cell>
          <cell r="AI70" t="str">
            <v>1A</v>
          </cell>
          <cell r="AJ70" t="str">
            <v>1A</v>
          </cell>
          <cell r="AK70" t="str">
            <v>ที่ 1 สาย A</v>
          </cell>
          <cell r="AL70" t="str">
            <v>A1</v>
          </cell>
          <cell r="AM70" t="str">
            <v>1A</v>
          </cell>
          <cell r="AN70" t="str">
            <v>1A</v>
          </cell>
          <cell r="AO70" t="str">
            <v>۱الف</v>
          </cell>
        </row>
        <row r="71">
          <cell r="A71" t="str">
            <v>2A</v>
          </cell>
          <cell r="B71" t="str">
            <v>2A</v>
          </cell>
          <cell r="C71" t="str">
            <v>2A</v>
          </cell>
          <cell r="D71" t="str">
            <v>2A</v>
          </cell>
          <cell r="E71" t="str">
            <v>2A</v>
          </cell>
          <cell r="F71" t="str">
            <v>2A</v>
          </cell>
          <cell r="G71" t="str">
            <v>2A</v>
          </cell>
          <cell r="H71" t="str">
            <v>2A</v>
          </cell>
          <cell r="I71" t="str">
            <v>2A</v>
          </cell>
          <cell r="J71" t="str">
            <v>2A</v>
          </cell>
          <cell r="K71" t="str">
            <v>2A</v>
          </cell>
          <cell r="L71" t="str">
            <v>2A</v>
          </cell>
          <cell r="M71" t="str">
            <v>A2</v>
          </cell>
          <cell r="N71" t="str">
            <v>2A</v>
          </cell>
          <cell r="O71" t="str">
            <v>2A</v>
          </cell>
          <cell r="P71" t="str">
            <v>2A</v>
          </cell>
          <cell r="Q71" t="str">
            <v>2A</v>
          </cell>
          <cell r="R71" t="str">
            <v>2A</v>
          </cell>
          <cell r="S71" t="str">
            <v>2A</v>
          </cell>
          <cell r="T71" t="str">
            <v>2A</v>
          </cell>
          <cell r="U71" t="str">
            <v>2A</v>
          </cell>
          <cell r="V71" t="str">
            <v>2A</v>
          </cell>
          <cell r="W71" t="str">
            <v>A 그룹 2위</v>
          </cell>
          <cell r="X71" t="str">
            <v>2A</v>
          </cell>
          <cell r="Y71" t="str">
            <v>2A</v>
          </cell>
          <cell r="Z71" t="str">
            <v>2A</v>
          </cell>
          <cell r="AA71" t="str">
            <v>2A</v>
          </cell>
          <cell r="AB71" t="str">
            <v>دوم گروه A</v>
          </cell>
          <cell r="AC71" t="str">
            <v>2A</v>
          </cell>
          <cell r="AD71" t="str">
            <v>2A</v>
          </cell>
          <cell r="AE71" t="str">
            <v>2A</v>
          </cell>
          <cell r="AF71" t="str">
            <v>2A</v>
          </cell>
          <cell r="AG71" t="str">
            <v>2A</v>
          </cell>
          <cell r="AH71" t="str">
            <v>2A</v>
          </cell>
          <cell r="AI71" t="str">
            <v>2A</v>
          </cell>
          <cell r="AJ71" t="str">
            <v>2A</v>
          </cell>
          <cell r="AK71" t="str">
            <v>ที่ 2 สาย A</v>
          </cell>
          <cell r="AL71" t="str">
            <v>A2</v>
          </cell>
          <cell r="AM71" t="str">
            <v>2A</v>
          </cell>
          <cell r="AN71" t="str">
            <v>2A</v>
          </cell>
          <cell r="AO71" t="str">
            <v>۲الف</v>
          </cell>
        </row>
        <row r="72">
          <cell r="A72" t="str">
            <v>1B</v>
          </cell>
          <cell r="B72" t="str">
            <v>1B</v>
          </cell>
          <cell r="C72" t="str">
            <v>1B</v>
          </cell>
          <cell r="D72" t="str">
            <v>1B</v>
          </cell>
          <cell r="E72" t="str">
            <v>1B</v>
          </cell>
          <cell r="F72" t="str">
            <v>1B</v>
          </cell>
          <cell r="G72" t="str">
            <v>1B</v>
          </cell>
          <cell r="H72" t="str">
            <v>1B</v>
          </cell>
          <cell r="I72" t="str">
            <v>1B</v>
          </cell>
          <cell r="J72" t="str">
            <v>1B</v>
          </cell>
          <cell r="K72" t="str">
            <v>1B</v>
          </cell>
          <cell r="L72" t="str">
            <v>1B</v>
          </cell>
          <cell r="M72" t="str">
            <v>B1</v>
          </cell>
          <cell r="N72" t="str">
            <v>1B</v>
          </cell>
          <cell r="O72" t="str">
            <v>1B</v>
          </cell>
          <cell r="P72" t="str">
            <v>1B</v>
          </cell>
          <cell r="Q72" t="str">
            <v>1B</v>
          </cell>
          <cell r="R72" t="str">
            <v>1B</v>
          </cell>
          <cell r="S72" t="str">
            <v>1B</v>
          </cell>
          <cell r="T72" t="str">
            <v>1B</v>
          </cell>
          <cell r="U72" t="str">
            <v>1B</v>
          </cell>
          <cell r="V72" t="str">
            <v>1B</v>
          </cell>
          <cell r="W72" t="str">
            <v>B 그룹 1위</v>
          </cell>
          <cell r="X72" t="str">
            <v>1B</v>
          </cell>
          <cell r="Y72" t="str">
            <v>1B</v>
          </cell>
          <cell r="Z72" t="str">
            <v>1B</v>
          </cell>
          <cell r="AA72" t="str">
            <v>1B</v>
          </cell>
          <cell r="AB72" t="str">
            <v>اول گروه B</v>
          </cell>
          <cell r="AC72" t="str">
            <v>1B</v>
          </cell>
          <cell r="AD72" t="str">
            <v>1B</v>
          </cell>
          <cell r="AE72" t="str">
            <v>1B</v>
          </cell>
          <cell r="AF72" t="str">
            <v>1B</v>
          </cell>
          <cell r="AG72" t="str">
            <v>1B</v>
          </cell>
          <cell r="AH72" t="str">
            <v>1B</v>
          </cell>
          <cell r="AI72" t="str">
            <v>1B</v>
          </cell>
          <cell r="AJ72" t="str">
            <v>1B</v>
          </cell>
          <cell r="AK72" t="str">
            <v>ที่ 1 สาย B</v>
          </cell>
          <cell r="AL72" t="str">
            <v>B1</v>
          </cell>
          <cell r="AM72" t="str">
            <v>1B</v>
          </cell>
          <cell r="AN72" t="str">
            <v>1B</v>
          </cell>
          <cell r="AO72" t="str">
            <v>۱ب</v>
          </cell>
        </row>
        <row r="73">
          <cell r="A73" t="str">
            <v>2B</v>
          </cell>
          <cell r="B73" t="str">
            <v>2B</v>
          </cell>
          <cell r="C73" t="str">
            <v>2B</v>
          </cell>
          <cell r="D73" t="str">
            <v>2B</v>
          </cell>
          <cell r="E73" t="str">
            <v>2B</v>
          </cell>
          <cell r="F73" t="str">
            <v>2B</v>
          </cell>
          <cell r="G73" t="str">
            <v>2B</v>
          </cell>
          <cell r="H73" t="str">
            <v>2B</v>
          </cell>
          <cell r="I73" t="str">
            <v>2B</v>
          </cell>
          <cell r="J73" t="str">
            <v>2B</v>
          </cell>
          <cell r="K73" t="str">
            <v>2B</v>
          </cell>
          <cell r="L73" t="str">
            <v>2B</v>
          </cell>
          <cell r="M73" t="str">
            <v>B2</v>
          </cell>
          <cell r="N73" t="str">
            <v>2B</v>
          </cell>
          <cell r="O73" t="str">
            <v>2B</v>
          </cell>
          <cell r="P73" t="str">
            <v>2B</v>
          </cell>
          <cell r="Q73" t="str">
            <v>2B</v>
          </cell>
          <cell r="R73" t="str">
            <v>2B</v>
          </cell>
          <cell r="S73" t="str">
            <v>2B</v>
          </cell>
          <cell r="T73" t="str">
            <v>2B</v>
          </cell>
          <cell r="U73" t="str">
            <v>2B</v>
          </cell>
          <cell r="V73" t="str">
            <v>2B</v>
          </cell>
          <cell r="W73" t="str">
            <v>B 그룹 2위</v>
          </cell>
          <cell r="X73" t="str">
            <v>2B</v>
          </cell>
          <cell r="Y73" t="str">
            <v>2B</v>
          </cell>
          <cell r="Z73" t="str">
            <v>2B</v>
          </cell>
          <cell r="AA73" t="str">
            <v>2B</v>
          </cell>
          <cell r="AB73" t="str">
            <v>دوم گروهB</v>
          </cell>
          <cell r="AC73" t="str">
            <v>2B</v>
          </cell>
          <cell r="AD73" t="str">
            <v>2B</v>
          </cell>
          <cell r="AE73" t="str">
            <v>2B</v>
          </cell>
          <cell r="AF73" t="str">
            <v>2B</v>
          </cell>
          <cell r="AG73" t="str">
            <v>2B</v>
          </cell>
          <cell r="AH73" t="str">
            <v>2B</v>
          </cell>
          <cell r="AI73" t="str">
            <v>2B</v>
          </cell>
          <cell r="AJ73" t="str">
            <v>2B</v>
          </cell>
          <cell r="AK73" t="str">
            <v>ที่ 2 สาย B</v>
          </cell>
          <cell r="AL73" t="str">
            <v>B2</v>
          </cell>
          <cell r="AM73" t="str">
            <v>2B</v>
          </cell>
          <cell r="AN73" t="str">
            <v>2B</v>
          </cell>
          <cell r="AO73" t="str">
            <v>۲ب</v>
          </cell>
        </row>
        <row r="74">
          <cell r="A74" t="str">
            <v>1C</v>
          </cell>
          <cell r="B74" t="str">
            <v>1C</v>
          </cell>
          <cell r="C74" t="str">
            <v>1C</v>
          </cell>
          <cell r="D74" t="str">
            <v>1C</v>
          </cell>
          <cell r="E74" t="str">
            <v>1C</v>
          </cell>
          <cell r="F74" t="str">
            <v>1C</v>
          </cell>
          <cell r="G74" t="str">
            <v>1C</v>
          </cell>
          <cell r="H74" t="str">
            <v>1C</v>
          </cell>
          <cell r="I74" t="str">
            <v>1C</v>
          </cell>
          <cell r="J74" t="str">
            <v>1C</v>
          </cell>
          <cell r="K74" t="str">
            <v>1C</v>
          </cell>
          <cell r="L74" t="str">
            <v>1C</v>
          </cell>
          <cell r="M74" t="str">
            <v>C1</v>
          </cell>
          <cell r="N74" t="str">
            <v>1C</v>
          </cell>
          <cell r="O74" t="str">
            <v>1C</v>
          </cell>
          <cell r="P74" t="str">
            <v>1C</v>
          </cell>
          <cell r="Q74" t="str">
            <v>1Γ</v>
          </cell>
          <cell r="R74" t="str">
            <v>1C</v>
          </cell>
          <cell r="S74" t="str">
            <v>1C</v>
          </cell>
          <cell r="T74" t="str">
            <v>1C</v>
          </cell>
          <cell r="U74" t="str">
            <v>1C</v>
          </cell>
          <cell r="V74" t="str">
            <v>1C</v>
          </cell>
          <cell r="W74" t="str">
            <v>C 그룹 1위</v>
          </cell>
          <cell r="X74" t="str">
            <v>1C</v>
          </cell>
          <cell r="Y74" t="str">
            <v>1C</v>
          </cell>
          <cell r="Z74" t="str">
            <v>1Ċ</v>
          </cell>
          <cell r="AA74" t="str">
            <v>1C</v>
          </cell>
          <cell r="AB74" t="str">
            <v>اول گروه C</v>
          </cell>
          <cell r="AC74" t="str">
            <v>1C</v>
          </cell>
          <cell r="AD74" t="str">
            <v>1C</v>
          </cell>
          <cell r="AE74" t="str">
            <v>1C</v>
          </cell>
          <cell r="AF74" t="str">
            <v>1C</v>
          </cell>
          <cell r="AG74" t="str">
            <v>1C</v>
          </cell>
          <cell r="AH74" t="str">
            <v>1C</v>
          </cell>
          <cell r="AI74" t="str">
            <v>1C</v>
          </cell>
          <cell r="AJ74" t="str">
            <v>1C</v>
          </cell>
          <cell r="AK74" t="str">
            <v>ที่ 1 สาย C</v>
          </cell>
          <cell r="AL74" t="str">
            <v>C1</v>
          </cell>
          <cell r="AM74" t="str">
            <v>1C</v>
          </cell>
          <cell r="AN74" t="str">
            <v>1C</v>
          </cell>
          <cell r="AO74" t="str">
            <v>۱ج</v>
          </cell>
        </row>
        <row r="75">
          <cell r="A75" t="str">
            <v>2C</v>
          </cell>
          <cell r="B75" t="str">
            <v>2C</v>
          </cell>
          <cell r="C75" t="str">
            <v>2C</v>
          </cell>
          <cell r="D75" t="str">
            <v>2C</v>
          </cell>
          <cell r="E75" t="str">
            <v>2C</v>
          </cell>
          <cell r="F75" t="str">
            <v>2C</v>
          </cell>
          <cell r="G75" t="str">
            <v>2C</v>
          </cell>
          <cell r="H75" t="str">
            <v>2C</v>
          </cell>
          <cell r="I75" t="str">
            <v>2C</v>
          </cell>
          <cell r="J75" t="str">
            <v>2C</v>
          </cell>
          <cell r="K75" t="str">
            <v>2C</v>
          </cell>
          <cell r="L75" t="str">
            <v>2C</v>
          </cell>
          <cell r="M75" t="str">
            <v>C2</v>
          </cell>
          <cell r="N75" t="str">
            <v>2C</v>
          </cell>
          <cell r="O75" t="str">
            <v>2C</v>
          </cell>
          <cell r="P75" t="str">
            <v>2C</v>
          </cell>
          <cell r="Q75" t="str">
            <v>2Γ</v>
          </cell>
          <cell r="R75" t="str">
            <v>2C</v>
          </cell>
          <cell r="S75" t="str">
            <v>2C</v>
          </cell>
          <cell r="T75" t="str">
            <v>2C</v>
          </cell>
          <cell r="U75" t="str">
            <v>2C</v>
          </cell>
          <cell r="V75" t="str">
            <v>2C</v>
          </cell>
          <cell r="W75" t="str">
            <v>C 그룹 2위</v>
          </cell>
          <cell r="X75" t="str">
            <v>2C</v>
          </cell>
          <cell r="Y75" t="str">
            <v>2C</v>
          </cell>
          <cell r="Z75" t="str">
            <v>2Ċ</v>
          </cell>
          <cell r="AA75" t="str">
            <v>2C</v>
          </cell>
          <cell r="AB75" t="str">
            <v>دوم گروه C</v>
          </cell>
          <cell r="AC75" t="str">
            <v>2C</v>
          </cell>
          <cell r="AD75" t="str">
            <v>2C</v>
          </cell>
          <cell r="AE75" t="str">
            <v>2C</v>
          </cell>
          <cell r="AF75" t="str">
            <v>2C</v>
          </cell>
          <cell r="AG75" t="str">
            <v>2C</v>
          </cell>
          <cell r="AH75" t="str">
            <v>2C</v>
          </cell>
          <cell r="AI75" t="str">
            <v>2C</v>
          </cell>
          <cell r="AJ75" t="str">
            <v>2C</v>
          </cell>
          <cell r="AK75" t="str">
            <v>ที่ 2 สาย C</v>
          </cell>
          <cell r="AL75" t="str">
            <v>C2</v>
          </cell>
          <cell r="AM75" t="str">
            <v>2C</v>
          </cell>
          <cell r="AN75" t="str">
            <v>2C</v>
          </cell>
          <cell r="AO75" t="str">
            <v>۲ج</v>
          </cell>
        </row>
        <row r="76">
          <cell r="A76" t="str">
            <v>1D</v>
          </cell>
          <cell r="B76" t="str">
            <v>1D</v>
          </cell>
          <cell r="C76" t="str">
            <v>1D</v>
          </cell>
          <cell r="D76" t="str">
            <v>1D</v>
          </cell>
          <cell r="E76" t="str">
            <v>1D</v>
          </cell>
          <cell r="F76" t="str">
            <v>1D</v>
          </cell>
          <cell r="G76" t="str">
            <v>1D</v>
          </cell>
          <cell r="H76" t="str">
            <v>1D</v>
          </cell>
          <cell r="I76" t="str">
            <v>1D</v>
          </cell>
          <cell r="J76" t="str">
            <v>1D</v>
          </cell>
          <cell r="K76" t="str">
            <v>1D</v>
          </cell>
          <cell r="L76" t="str">
            <v>1D</v>
          </cell>
          <cell r="M76" t="str">
            <v>D1</v>
          </cell>
          <cell r="N76" t="str">
            <v>1D</v>
          </cell>
          <cell r="O76" t="str">
            <v>1D</v>
          </cell>
          <cell r="P76" t="str">
            <v>1D</v>
          </cell>
          <cell r="Q76" t="str">
            <v>1Δ</v>
          </cell>
          <cell r="R76" t="str">
            <v>1D</v>
          </cell>
          <cell r="S76" t="str">
            <v>1D</v>
          </cell>
          <cell r="T76" t="str">
            <v>1D</v>
          </cell>
          <cell r="U76" t="str">
            <v>1D</v>
          </cell>
          <cell r="V76" t="str">
            <v>1D</v>
          </cell>
          <cell r="W76" t="str">
            <v>D 그룹 1위</v>
          </cell>
          <cell r="X76" t="str">
            <v>1D</v>
          </cell>
          <cell r="Y76" t="str">
            <v>1D</v>
          </cell>
          <cell r="Z76" t="str">
            <v>1D</v>
          </cell>
          <cell r="AA76" t="str">
            <v>1D</v>
          </cell>
          <cell r="AB76" t="str">
            <v>اول گروه D</v>
          </cell>
          <cell r="AC76" t="str">
            <v>1D</v>
          </cell>
          <cell r="AD76" t="str">
            <v>1D</v>
          </cell>
          <cell r="AE76" t="str">
            <v>1D</v>
          </cell>
          <cell r="AF76" t="str">
            <v>1D</v>
          </cell>
          <cell r="AG76" t="str">
            <v>1D</v>
          </cell>
          <cell r="AH76" t="str">
            <v>1D</v>
          </cell>
          <cell r="AI76" t="str">
            <v>1D</v>
          </cell>
          <cell r="AJ76" t="str">
            <v>1D</v>
          </cell>
          <cell r="AK76" t="str">
            <v>ที่ 1 สาย D</v>
          </cell>
          <cell r="AL76" t="str">
            <v>D1</v>
          </cell>
          <cell r="AM76" t="str">
            <v>1D</v>
          </cell>
          <cell r="AN76" t="str">
            <v>1D</v>
          </cell>
          <cell r="AO76" t="str">
            <v>۱د</v>
          </cell>
        </row>
        <row r="77">
          <cell r="A77" t="str">
            <v>2D</v>
          </cell>
          <cell r="B77" t="str">
            <v>2D</v>
          </cell>
          <cell r="C77" t="str">
            <v>2D</v>
          </cell>
          <cell r="D77" t="str">
            <v>2D</v>
          </cell>
          <cell r="E77" t="str">
            <v>2D</v>
          </cell>
          <cell r="F77" t="str">
            <v>2D</v>
          </cell>
          <cell r="G77" t="str">
            <v>2D</v>
          </cell>
          <cell r="H77" t="str">
            <v>2D</v>
          </cell>
          <cell r="I77" t="str">
            <v>2D</v>
          </cell>
          <cell r="J77" t="str">
            <v>2D</v>
          </cell>
          <cell r="K77" t="str">
            <v>2D</v>
          </cell>
          <cell r="L77" t="str">
            <v>2D</v>
          </cell>
          <cell r="M77" t="str">
            <v>D2</v>
          </cell>
          <cell r="N77" t="str">
            <v>2D</v>
          </cell>
          <cell r="O77" t="str">
            <v>2D</v>
          </cell>
          <cell r="P77" t="str">
            <v>2D</v>
          </cell>
          <cell r="Q77" t="str">
            <v>2Δ</v>
          </cell>
          <cell r="R77" t="str">
            <v>2D</v>
          </cell>
          <cell r="S77" t="str">
            <v>2D</v>
          </cell>
          <cell r="T77" t="str">
            <v>2D</v>
          </cell>
          <cell r="U77" t="str">
            <v>2D</v>
          </cell>
          <cell r="V77" t="str">
            <v>2D</v>
          </cell>
          <cell r="W77" t="str">
            <v>D 그룹 2위</v>
          </cell>
          <cell r="X77" t="str">
            <v>2D</v>
          </cell>
          <cell r="Y77" t="str">
            <v>2D</v>
          </cell>
          <cell r="Z77" t="str">
            <v>2D</v>
          </cell>
          <cell r="AA77" t="str">
            <v>2D</v>
          </cell>
          <cell r="AB77" t="str">
            <v>دوم گروه D</v>
          </cell>
          <cell r="AC77" t="str">
            <v>2D</v>
          </cell>
          <cell r="AD77" t="str">
            <v>2D</v>
          </cell>
          <cell r="AE77" t="str">
            <v>2D</v>
          </cell>
          <cell r="AF77" t="str">
            <v>2D</v>
          </cell>
          <cell r="AG77" t="str">
            <v>2D</v>
          </cell>
          <cell r="AH77" t="str">
            <v>2D</v>
          </cell>
          <cell r="AI77" t="str">
            <v>2D</v>
          </cell>
          <cell r="AJ77" t="str">
            <v>2D</v>
          </cell>
          <cell r="AK77" t="str">
            <v>ที่ 2 สาย D</v>
          </cell>
          <cell r="AL77" t="str">
            <v>D2</v>
          </cell>
          <cell r="AM77" t="str">
            <v>2D</v>
          </cell>
          <cell r="AN77" t="str">
            <v>2D</v>
          </cell>
          <cell r="AO77" t="str">
            <v>۲د</v>
          </cell>
        </row>
        <row r="78">
          <cell r="A78" t="str">
            <v>1E</v>
          </cell>
          <cell r="B78" t="str">
            <v>1E</v>
          </cell>
          <cell r="C78" t="str">
            <v>1E</v>
          </cell>
          <cell r="D78" t="str">
            <v>1E</v>
          </cell>
          <cell r="E78" t="str">
            <v>1E</v>
          </cell>
          <cell r="F78" t="str">
            <v>1E</v>
          </cell>
          <cell r="G78" t="str">
            <v>1E</v>
          </cell>
          <cell r="H78" t="str">
            <v>1E</v>
          </cell>
          <cell r="I78" t="str">
            <v>1E</v>
          </cell>
          <cell r="J78" t="str">
            <v>1E</v>
          </cell>
          <cell r="K78" t="str">
            <v>1E</v>
          </cell>
          <cell r="L78" t="str">
            <v>1E</v>
          </cell>
          <cell r="M78" t="str">
            <v>E1</v>
          </cell>
          <cell r="N78" t="str">
            <v>1E</v>
          </cell>
          <cell r="O78" t="str">
            <v>1E</v>
          </cell>
          <cell r="P78" t="str">
            <v>1E</v>
          </cell>
          <cell r="Q78" t="str">
            <v>1Ε</v>
          </cell>
          <cell r="R78" t="str">
            <v>1E</v>
          </cell>
          <cell r="S78" t="str">
            <v>1E</v>
          </cell>
          <cell r="T78" t="str">
            <v>1E</v>
          </cell>
          <cell r="U78" t="str">
            <v>1E</v>
          </cell>
          <cell r="V78" t="str">
            <v>1E</v>
          </cell>
          <cell r="W78" t="str">
            <v>E 그룹 1위</v>
          </cell>
          <cell r="X78" t="str">
            <v>1E</v>
          </cell>
          <cell r="Y78" t="str">
            <v>1E</v>
          </cell>
          <cell r="Z78" t="str">
            <v>1E</v>
          </cell>
          <cell r="AA78" t="str">
            <v>1E</v>
          </cell>
          <cell r="AB78" t="str">
            <v>اول گروه E</v>
          </cell>
          <cell r="AC78" t="str">
            <v>1E</v>
          </cell>
          <cell r="AD78" t="str">
            <v>1E</v>
          </cell>
          <cell r="AE78" t="str">
            <v>1E</v>
          </cell>
          <cell r="AF78" t="str">
            <v>1E</v>
          </cell>
          <cell r="AG78" t="str">
            <v>1E</v>
          </cell>
          <cell r="AH78" t="str">
            <v>1E</v>
          </cell>
          <cell r="AI78" t="str">
            <v>1E</v>
          </cell>
          <cell r="AJ78" t="str">
            <v>1E</v>
          </cell>
          <cell r="AK78" t="str">
            <v>ที่ 1 สาย E</v>
          </cell>
          <cell r="AL78" t="str">
            <v>E1</v>
          </cell>
          <cell r="AM78" t="str">
            <v>1E</v>
          </cell>
          <cell r="AN78" t="str">
            <v>1E</v>
          </cell>
          <cell r="AO78" t="str">
            <v>۱ھ</v>
          </cell>
        </row>
        <row r="79">
          <cell r="A79" t="str">
            <v>2E</v>
          </cell>
          <cell r="B79" t="str">
            <v>2E</v>
          </cell>
          <cell r="C79" t="str">
            <v>2E</v>
          </cell>
          <cell r="D79" t="str">
            <v>2E</v>
          </cell>
          <cell r="E79" t="str">
            <v>2E</v>
          </cell>
          <cell r="F79" t="str">
            <v>2E</v>
          </cell>
          <cell r="G79" t="str">
            <v>2E</v>
          </cell>
          <cell r="H79" t="str">
            <v>2E</v>
          </cell>
          <cell r="I79" t="str">
            <v>2E</v>
          </cell>
          <cell r="J79" t="str">
            <v>2E</v>
          </cell>
          <cell r="K79" t="str">
            <v>2E</v>
          </cell>
          <cell r="L79" t="str">
            <v>2E</v>
          </cell>
          <cell r="M79" t="str">
            <v>E2</v>
          </cell>
          <cell r="N79" t="str">
            <v>2E</v>
          </cell>
          <cell r="O79" t="str">
            <v>2E</v>
          </cell>
          <cell r="P79" t="str">
            <v>2E</v>
          </cell>
          <cell r="Q79" t="str">
            <v>2Ε</v>
          </cell>
          <cell r="R79" t="str">
            <v>2E</v>
          </cell>
          <cell r="S79" t="str">
            <v>2E</v>
          </cell>
          <cell r="T79" t="str">
            <v>2E</v>
          </cell>
          <cell r="U79" t="str">
            <v>2E</v>
          </cell>
          <cell r="V79" t="str">
            <v>2E</v>
          </cell>
          <cell r="W79" t="str">
            <v>E 그룹 2위</v>
          </cell>
          <cell r="X79" t="str">
            <v>2E</v>
          </cell>
          <cell r="Y79" t="str">
            <v>2E</v>
          </cell>
          <cell r="Z79" t="str">
            <v>2E</v>
          </cell>
          <cell r="AA79" t="str">
            <v>2E</v>
          </cell>
          <cell r="AB79" t="str">
            <v>دوم گروه E</v>
          </cell>
          <cell r="AC79" t="str">
            <v>2E</v>
          </cell>
          <cell r="AD79" t="str">
            <v>2E</v>
          </cell>
          <cell r="AE79" t="str">
            <v>2E</v>
          </cell>
          <cell r="AF79" t="str">
            <v>2E</v>
          </cell>
          <cell r="AG79" t="str">
            <v>2E</v>
          </cell>
          <cell r="AH79" t="str">
            <v>2E</v>
          </cell>
          <cell r="AI79" t="str">
            <v>2E</v>
          </cell>
          <cell r="AJ79" t="str">
            <v>2E</v>
          </cell>
          <cell r="AK79" t="str">
            <v>ที่ 2 สาย E</v>
          </cell>
          <cell r="AL79" t="str">
            <v>E2</v>
          </cell>
          <cell r="AM79" t="str">
            <v>2E</v>
          </cell>
          <cell r="AN79" t="str">
            <v>2E</v>
          </cell>
          <cell r="AO79" t="str">
            <v>۲ھ</v>
          </cell>
        </row>
        <row r="80">
          <cell r="A80" t="str">
            <v>1F</v>
          </cell>
          <cell r="B80" t="str">
            <v>1F</v>
          </cell>
          <cell r="C80" t="str">
            <v>1F</v>
          </cell>
          <cell r="D80" t="str">
            <v>1F</v>
          </cell>
          <cell r="E80" t="str">
            <v>1F</v>
          </cell>
          <cell r="F80" t="str">
            <v>1F</v>
          </cell>
          <cell r="G80" t="str">
            <v>1F</v>
          </cell>
          <cell r="H80" t="str">
            <v>1F</v>
          </cell>
          <cell r="I80" t="str">
            <v>1F</v>
          </cell>
          <cell r="J80" t="str">
            <v>1F</v>
          </cell>
          <cell r="K80" t="str">
            <v>1F</v>
          </cell>
          <cell r="L80" t="str">
            <v>1F</v>
          </cell>
          <cell r="M80" t="str">
            <v>F1</v>
          </cell>
          <cell r="N80" t="str">
            <v>1F</v>
          </cell>
          <cell r="O80" t="str">
            <v>1F</v>
          </cell>
          <cell r="P80" t="str">
            <v>1F</v>
          </cell>
          <cell r="Q80" t="str">
            <v>1ΣΤ</v>
          </cell>
          <cell r="R80" t="str">
            <v>1F</v>
          </cell>
          <cell r="S80" t="str">
            <v>1F</v>
          </cell>
          <cell r="T80" t="str">
            <v>1F</v>
          </cell>
          <cell r="U80" t="str">
            <v>1F</v>
          </cell>
          <cell r="V80" t="str">
            <v>1F</v>
          </cell>
          <cell r="W80" t="str">
            <v>F 그룹 1위</v>
          </cell>
          <cell r="X80" t="str">
            <v>1F</v>
          </cell>
          <cell r="Y80" t="str">
            <v>1F</v>
          </cell>
          <cell r="Z80" t="str">
            <v>1F</v>
          </cell>
          <cell r="AA80" t="str">
            <v>1F</v>
          </cell>
          <cell r="AB80" t="str">
            <v>اول گروه F</v>
          </cell>
          <cell r="AC80" t="str">
            <v>1F</v>
          </cell>
          <cell r="AD80" t="str">
            <v>1F</v>
          </cell>
          <cell r="AE80" t="str">
            <v>1F</v>
          </cell>
          <cell r="AF80" t="str">
            <v>1F</v>
          </cell>
          <cell r="AG80" t="str">
            <v>1F</v>
          </cell>
          <cell r="AH80" t="str">
            <v>1F</v>
          </cell>
          <cell r="AI80" t="str">
            <v>1F</v>
          </cell>
          <cell r="AJ80" t="str">
            <v>1F</v>
          </cell>
          <cell r="AK80" t="str">
            <v>ที่ 1 สาย F</v>
          </cell>
          <cell r="AL80" t="str">
            <v>F1</v>
          </cell>
          <cell r="AM80" t="str">
            <v>1F</v>
          </cell>
          <cell r="AN80" t="str">
            <v>1F</v>
          </cell>
          <cell r="AO80" t="str">
            <v>۱و</v>
          </cell>
        </row>
        <row r="81">
          <cell r="A81" t="str">
            <v>2F</v>
          </cell>
          <cell r="B81" t="str">
            <v>2F</v>
          </cell>
          <cell r="C81" t="str">
            <v>2F</v>
          </cell>
          <cell r="D81" t="str">
            <v>2F</v>
          </cell>
          <cell r="E81" t="str">
            <v>2F</v>
          </cell>
          <cell r="F81" t="str">
            <v>2F</v>
          </cell>
          <cell r="G81" t="str">
            <v>2F</v>
          </cell>
          <cell r="H81" t="str">
            <v>2F</v>
          </cell>
          <cell r="I81" t="str">
            <v>2F</v>
          </cell>
          <cell r="J81" t="str">
            <v>2F</v>
          </cell>
          <cell r="K81" t="str">
            <v>2F</v>
          </cell>
          <cell r="L81" t="str">
            <v>2F</v>
          </cell>
          <cell r="M81" t="str">
            <v>F2</v>
          </cell>
          <cell r="N81" t="str">
            <v>2F</v>
          </cell>
          <cell r="O81" t="str">
            <v>2F</v>
          </cell>
          <cell r="P81" t="str">
            <v>2F</v>
          </cell>
          <cell r="Q81" t="str">
            <v>2ΣΤ</v>
          </cell>
          <cell r="R81" t="str">
            <v>2F</v>
          </cell>
          <cell r="S81" t="str">
            <v>2F</v>
          </cell>
          <cell r="T81" t="str">
            <v>2F</v>
          </cell>
          <cell r="U81" t="str">
            <v>2F</v>
          </cell>
          <cell r="V81" t="str">
            <v>2F</v>
          </cell>
          <cell r="W81" t="str">
            <v>F 그룹 2위</v>
          </cell>
          <cell r="X81" t="str">
            <v>2F</v>
          </cell>
          <cell r="Y81" t="str">
            <v>2F</v>
          </cell>
          <cell r="Z81" t="str">
            <v>2F</v>
          </cell>
          <cell r="AA81" t="str">
            <v>2F</v>
          </cell>
          <cell r="AB81" t="str">
            <v>دوم گروه F</v>
          </cell>
          <cell r="AC81" t="str">
            <v>2F</v>
          </cell>
          <cell r="AD81" t="str">
            <v>2F</v>
          </cell>
          <cell r="AE81" t="str">
            <v>2F</v>
          </cell>
          <cell r="AF81" t="str">
            <v>2F</v>
          </cell>
          <cell r="AG81" t="str">
            <v>2F</v>
          </cell>
          <cell r="AH81" t="str">
            <v>2F</v>
          </cell>
          <cell r="AI81" t="str">
            <v>2F</v>
          </cell>
          <cell r="AJ81" t="str">
            <v>2F</v>
          </cell>
          <cell r="AK81" t="str">
            <v>ที่ 2 สาย F</v>
          </cell>
          <cell r="AL81" t="str">
            <v>F2</v>
          </cell>
          <cell r="AM81" t="str">
            <v>2F</v>
          </cell>
          <cell r="AN81" t="str">
            <v>2F</v>
          </cell>
          <cell r="AO81" t="str">
            <v>۲و</v>
          </cell>
        </row>
        <row r="82">
          <cell r="A82" t="str">
            <v>1G</v>
          </cell>
          <cell r="B82" t="str">
            <v>1G</v>
          </cell>
          <cell r="C82" t="str">
            <v>1G</v>
          </cell>
          <cell r="D82" t="str">
            <v>1G</v>
          </cell>
          <cell r="E82" t="str">
            <v>1G</v>
          </cell>
          <cell r="F82" t="str">
            <v>1G</v>
          </cell>
          <cell r="G82" t="str">
            <v>1G</v>
          </cell>
          <cell r="H82" t="str">
            <v>1G</v>
          </cell>
          <cell r="I82" t="str">
            <v>1G</v>
          </cell>
          <cell r="J82" t="str">
            <v>1G</v>
          </cell>
          <cell r="K82" t="str">
            <v>1G</v>
          </cell>
          <cell r="L82" t="str">
            <v>1G</v>
          </cell>
          <cell r="M82" t="str">
            <v>G1</v>
          </cell>
          <cell r="N82" t="str">
            <v>1G</v>
          </cell>
          <cell r="O82" t="str">
            <v>1G</v>
          </cell>
          <cell r="P82" t="str">
            <v>1G</v>
          </cell>
          <cell r="Q82" t="str">
            <v>1Ζ</v>
          </cell>
          <cell r="R82" t="str">
            <v>1G</v>
          </cell>
          <cell r="S82" t="str">
            <v>1G</v>
          </cell>
          <cell r="T82" t="str">
            <v>1G</v>
          </cell>
          <cell r="U82" t="str">
            <v>1G</v>
          </cell>
          <cell r="V82" t="str">
            <v>1G</v>
          </cell>
          <cell r="W82" t="str">
            <v>G 그룹 1위</v>
          </cell>
          <cell r="X82" t="str">
            <v>1G</v>
          </cell>
          <cell r="Y82" t="str">
            <v>1G</v>
          </cell>
          <cell r="Z82" t="str">
            <v>1Ġ</v>
          </cell>
          <cell r="AA82" t="str">
            <v>1G</v>
          </cell>
          <cell r="AB82" t="str">
            <v>اول گروه G</v>
          </cell>
          <cell r="AC82" t="str">
            <v>1G</v>
          </cell>
          <cell r="AD82" t="str">
            <v>1G</v>
          </cell>
          <cell r="AE82" t="str">
            <v>1G</v>
          </cell>
          <cell r="AF82" t="str">
            <v>1G</v>
          </cell>
          <cell r="AG82" t="str">
            <v>1G</v>
          </cell>
          <cell r="AH82" t="str">
            <v>1G</v>
          </cell>
          <cell r="AI82" t="str">
            <v>1G</v>
          </cell>
          <cell r="AJ82" t="str">
            <v>1G</v>
          </cell>
          <cell r="AK82" t="str">
            <v>ที่ 1 สาย G</v>
          </cell>
          <cell r="AL82" t="str">
            <v>G1</v>
          </cell>
          <cell r="AM82" t="str">
            <v>1G</v>
          </cell>
          <cell r="AN82" t="str">
            <v>1G</v>
          </cell>
          <cell r="AO82" t="str">
            <v>۱ز</v>
          </cell>
        </row>
        <row r="83">
          <cell r="A83" t="str">
            <v>2G</v>
          </cell>
          <cell r="B83" t="str">
            <v>2G</v>
          </cell>
          <cell r="C83" t="str">
            <v>2G</v>
          </cell>
          <cell r="D83" t="str">
            <v>2G</v>
          </cell>
          <cell r="E83" t="str">
            <v>2G</v>
          </cell>
          <cell r="F83" t="str">
            <v>2G</v>
          </cell>
          <cell r="G83" t="str">
            <v>2G</v>
          </cell>
          <cell r="H83" t="str">
            <v>2G</v>
          </cell>
          <cell r="I83" t="str">
            <v>2G</v>
          </cell>
          <cell r="J83" t="str">
            <v>2G</v>
          </cell>
          <cell r="K83" t="str">
            <v>2G</v>
          </cell>
          <cell r="L83" t="str">
            <v>2G</v>
          </cell>
          <cell r="M83" t="str">
            <v>G2</v>
          </cell>
          <cell r="N83" t="str">
            <v>2G</v>
          </cell>
          <cell r="O83" t="str">
            <v>2G</v>
          </cell>
          <cell r="P83" t="str">
            <v>2G</v>
          </cell>
          <cell r="Q83" t="str">
            <v>2Ζ</v>
          </cell>
          <cell r="R83" t="str">
            <v>2G</v>
          </cell>
          <cell r="S83" t="str">
            <v>2G</v>
          </cell>
          <cell r="T83" t="str">
            <v>2G</v>
          </cell>
          <cell r="U83" t="str">
            <v>2G</v>
          </cell>
          <cell r="V83" t="str">
            <v>2G</v>
          </cell>
          <cell r="W83" t="str">
            <v>G 그룹 2위</v>
          </cell>
          <cell r="X83" t="str">
            <v>2G</v>
          </cell>
          <cell r="Y83" t="str">
            <v>2G</v>
          </cell>
          <cell r="Z83" t="str">
            <v>2Ġ</v>
          </cell>
          <cell r="AA83" t="str">
            <v>2G</v>
          </cell>
          <cell r="AB83" t="str">
            <v>دوم گروه G</v>
          </cell>
          <cell r="AC83" t="str">
            <v>2G</v>
          </cell>
          <cell r="AD83" t="str">
            <v>2G</v>
          </cell>
          <cell r="AE83" t="str">
            <v>2G</v>
          </cell>
          <cell r="AF83" t="str">
            <v>2G</v>
          </cell>
          <cell r="AG83" t="str">
            <v>2G</v>
          </cell>
          <cell r="AH83" t="str">
            <v>2G</v>
          </cell>
          <cell r="AI83" t="str">
            <v>2G</v>
          </cell>
          <cell r="AJ83" t="str">
            <v>2G</v>
          </cell>
          <cell r="AK83" t="str">
            <v>ที่ 2 สาย G</v>
          </cell>
          <cell r="AL83" t="str">
            <v>G2</v>
          </cell>
          <cell r="AM83" t="str">
            <v>2G</v>
          </cell>
          <cell r="AN83" t="str">
            <v>2G</v>
          </cell>
          <cell r="AO83" t="str">
            <v>۲ز</v>
          </cell>
        </row>
        <row r="84">
          <cell r="A84" t="str">
            <v>1H</v>
          </cell>
          <cell r="B84" t="str">
            <v>1H</v>
          </cell>
          <cell r="C84" t="str">
            <v>1H</v>
          </cell>
          <cell r="D84" t="str">
            <v>1H</v>
          </cell>
          <cell r="E84" t="str">
            <v>1H</v>
          </cell>
          <cell r="F84" t="str">
            <v>1H</v>
          </cell>
          <cell r="G84" t="str">
            <v>1H</v>
          </cell>
          <cell r="H84" t="str">
            <v>1H</v>
          </cell>
          <cell r="I84" t="str">
            <v>1H</v>
          </cell>
          <cell r="J84" t="str">
            <v>1H</v>
          </cell>
          <cell r="K84" t="str">
            <v>1H</v>
          </cell>
          <cell r="L84" t="str">
            <v>1H</v>
          </cell>
          <cell r="M84" t="str">
            <v>H1</v>
          </cell>
          <cell r="N84" t="str">
            <v>1H</v>
          </cell>
          <cell r="O84" t="str">
            <v>1H</v>
          </cell>
          <cell r="P84" t="str">
            <v>1H</v>
          </cell>
          <cell r="Q84" t="str">
            <v>1H</v>
          </cell>
          <cell r="R84" t="str">
            <v>1H</v>
          </cell>
          <cell r="S84" t="str">
            <v>1H</v>
          </cell>
          <cell r="T84" t="str">
            <v>1H</v>
          </cell>
          <cell r="U84" t="str">
            <v>1H</v>
          </cell>
          <cell r="V84" t="str">
            <v>1H</v>
          </cell>
          <cell r="W84" t="str">
            <v>H 그룹 1위</v>
          </cell>
          <cell r="X84" t="str">
            <v>1H</v>
          </cell>
          <cell r="Y84" t="str">
            <v>1H</v>
          </cell>
          <cell r="Z84" t="str">
            <v>1Ħ</v>
          </cell>
          <cell r="AA84" t="str">
            <v>1H</v>
          </cell>
          <cell r="AB84" t="str">
            <v>اول گروه H</v>
          </cell>
          <cell r="AC84" t="str">
            <v>1H</v>
          </cell>
          <cell r="AD84" t="str">
            <v>1H</v>
          </cell>
          <cell r="AE84" t="str">
            <v>1H</v>
          </cell>
          <cell r="AF84" t="str">
            <v>1H</v>
          </cell>
          <cell r="AG84" t="str">
            <v>1H</v>
          </cell>
          <cell r="AH84" t="str">
            <v>1H</v>
          </cell>
          <cell r="AI84" t="str">
            <v>1H</v>
          </cell>
          <cell r="AJ84" t="str">
            <v>1H</v>
          </cell>
          <cell r="AK84" t="str">
            <v>ที่ 1 สาย H</v>
          </cell>
          <cell r="AL84" t="str">
            <v>H1</v>
          </cell>
          <cell r="AM84" t="str">
            <v>1H</v>
          </cell>
          <cell r="AN84" t="str">
            <v>1H</v>
          </cell>
          <cell r="AO84" t="str">
            <v>۱ح</v>
          </cell>
        </row>
        <row r="85">
          <cell r="A85" t="str">
            <v>2H</v>
          </cell>
          <cell r="B85" t="str">
            <v>2H</v>
          </cell>
          <cell r="C85" t="str">
            <v>2H</v>
          </cell>
          <cell r="D85" t="str">
            <v>2H</v>
          </cell>
          <cell r="E85" t="str">
            <v>2H</v>
          </cell>
          <cell r="F85" t="str">
            <v>2H</v>
          </cell>
          <cell r="G85" t="str">
            <v>2H</v>
          </cell>
          <cell r="H85" t="str">
            <v>2H</v>
          </cell>
          <cell r="I85" t="str">
            <v>2H</v>
          </cell>
          <cell r="J85" t="str">
            <v>2H</v>
          </cell>
          <cell r="K85" t="str">
            <v>2H</v>
          </cell>
          <cell r="L85" t="str">
            <v>2H</v>
          </cell>
          <cell r="M85" t="str">
            <v>H2</v>
          </cell>
          <cell r="N85" t="str">
            <v>2H</v>
          </cell>
          <cell r="O85" t="str">
            <v>2H</v>
          </cell>
          <cell r="P85" t="str">
            <v>2H</v>
          </cell>
          <cell r="Q85" t="str">
            <v>2H</v>
          </cell>
          <cell r="R85" t="str">
            <v>2H</v>
          </cell>
          <cell r="S85" t="str">
            <v>2H</v>
          </cell>
          <cell r="T85" t="str">
            <v>2H</v>
          </cell>
          <cell r="U85" t="str">
            <v>2H</v>
          </cell>
          <cell r="V85" t="str">
            <v>2H</v>
          </cell>
          <cell r="W85" t="str">
            <v>H 그룹 2위</v>
          </cell>
          <cell r="X85" t="str">
            <v>2H</v>
          </cell>
          <cell r="Y85" t="str">
            <v>2H</v>
          </cell>
          <cell r="Z85" t="str">
            <v>1Ħ</v>
          </cell>
          <cell r="AA85" t="str">
            <v>2H</v>
          </cell>
          <cell r="AB85" t="str">
            <v>دوم گروه H</v>
          </cell>
          <cell r="AC85" t="str">
            <v>2H</v>
          </cell>
          <cell r="AD85" t="str">
            <v>2H</v>
          </cell>
          <cell r="AE85" t="str">
            <v>2H</v>
          </cell>
          <cell r="AF85" t="str">
            <v>2H</v>
          </cell>
          <cell r="AG85" t="str">
            <v>2H</v>
          </cell>
          <cell r="AH85" t="str">
            <v>2H</v>
          </cell>
          <cell r="AI85" t="str">
            <v>2H</v>
          </cell>
          <cell r="AJ85" t="str">
            <v>2H</v>
          </cell>
          <cell r="AK85" t="str">
            <v>ที่ 2 สาย H</v>
          </cell>
          <cell r="AL85" t="str">
            <v>H2</v>
          </cell>
          <cell r="AM85" t="str">
            <v>2H</v>
          </cell>
          <cell r="AN85" t="str">
            <v>2H</v>
          </cell>
          <cell r="AO85" t="str">
            <v>۲ح</v>
          </cell>
        </row>
        <row r="86">
          <cell r="A86" t="str">
            <v>W37</v>
          </cell>
          <cell r="B86" t="str">
            <v>F37</v>
          </cell>
          <cell r="C86" t="str">
            <v>W37</v>
          </cell>
          <cell r="D86" t="str">
            <v>W37</v>
          </cell>
          <cell r="E86" t="str">
            <v>Q37</v>
          </cell>
          <cell r="F86" t="str">
            <v>W37</v>
          </cell>
          <cell r="G86" t="str">
            <v>G37</v>
          </cell>
          <cell r="H86" t="str">
            <v>37胜者</v>
          </cell>
          <cell r="I86" t="str">
            <v>W37</v>
          </cell>
          <cell r="J86" t="str">
            <v>W37</v>
          </cell>
          <cell r="K86" t="str">
            <v>V37</v>
          </cell>
          <cell r="L86" t="str">
            <v>V37</v>
          </cell>
          <cell r="M86" t="str">
            <v>W37</v>
          </cell>
          <cell r="N86" t="str">
            <v>W37</v>
          </cell>
          <cell r="O86" t="str">
            <v>მ37</v>
          </cell>
          <cell r="P86" t="str">
            <v>W37</v>
          </cell>
          <cell r="Q86" t="str">
            <v>Ν37</v>
          </cell>
          <cell r="R86" t="str">
            <v>W37</v>
          </cell>
          <cell r="S86" t="str">
            <v>GY37</v>
          </cell>
          <cell r="T86" t="str">
            <v>W37</v>
          </cell>
          <cell r="U86" t="str">
            <v>W37</v>
          </cell>
          <cell r="V86" t="str">
            <v>W37</v>
          </cell>
          <cell r="W86" t="str">
            <v>16강전 경기1 승자</v>
          </cell>
          <cell r="X86" t="str">
            <v>L37</v>
          </cell>
          <cell r="Y86" t="str">
            <v>П37</v>
          </cell>
          <cell r="Z86" t="str">
            <v>R37</v>
          </cell>
          <cell r="AA86" t="str">
            <v>V37</v>
          </cell>
          <cell r="AB86" t="str">
            <v>برنده بازی 37</v>
          </cell>
          <cell r="AC86" t="str">
            <v>W37</v>
          </cell>
          <cell r="AD86" t="str">
            <v>W37</v>
          </cell>
          <cell r="AE86" t="str">
            <v>C37</v>
          </cell>
          <cell r="AF86" t="str">
            <v>P37</v>
          </cell>
          <cell r="AG86" t="str">
            <v>V37</v>
          </cell>
          <cell r="AH86" t="str">
            <v>W37</v>
          </cell>
          <cell r="AI86" t="str">
            <v>W37</v>
          </cell>
          <cell r="AJ86" t="str">
            <v>W37</v>
          </cell>
          <cell r="AK86" t="str">
            <v>ผู้ชนะนัดที่ 37</v>
          </cell>
          <cell r="AL86" t="str">
            <v>G37</v>
          </cell>
          <cell r="AM86" t="str">
            <v>T37</v>
          </cell>
          <cell r="AN86" t="str">
            <v>Переможець 37</v>
          </cell>
          <cell r="AO86" t="str">
            <v>۴۹ جیت</v>
          </cell>
        </row>
        <row r="87">
          <cell r="A87" t="str">
            <v>W39</v>
          </cell>
          <cell r="B87" t="str">
            <v>F39</v>
          </cell>
          <cell r="C87" t="str">
            <v>W39</v>
          </cell>
          <cell r="D87" t="str">
            <v>W39</v>
          </cell>
          <cell r="E87" t="str">
            <v>Q39</v>
          </cell>
          <cell r="F87" t="str">
            <v>W39</v>
          </cell>
          <cell r="G87" t="str">
            <v>G39</v>
          </cell>
          <cell r="H87" t="str">
            <v>39胜者</v>
          </cell>
          <cell r="I87" t="str">
            <v>W39</v>
          </cell>
          <cell r="J87" t="str">
            <v>W39</v>
          </cell>
          <cell r="K87" t="str">
            <v>V39</v>
          </cell>
          <cell r="L87" t="str">
            <v>V39</v>
          </cell>
          <cell r="M87" t="str">
            <v>W39</v>
          </cell>
          <cell r="N87" t="str">
            <v>W39</v>
          </cell>
          <cell r="O87" t="str">
            <v>მ39</v>
          </cell>
          <cell r="P87" t="str">
            <v>W39</v>
          </cell>
          <cell r="Q87" t="str">
            <v>Ν39</v>
          </cell>
          <cell r="R87" t="str">
            <v>W39</v>
          </cell>
          <cell r="S87" t="str">
            <v>GY39</v>
          </cell>
          <cell r="T87" t="str">
            <v>W39</v>
          </cell>
          <cell r="U87" t="str">
            <v>W39</v>
          </cell>
          <cell r="V87" t="str">
            <v>W39</v>
          </cell>
          <cell r="W87" t="str">
            <v>16강전 경기2 승자</v>
          </cell>
          <cell r="X87" t="str">
            <v>L39</v>
          </cell>
          <cell r="Y87" t="str">
            <v>П39</v>
          </cell>
          <cell r="Z87" t="str">
            <v>R39</v>
          </cell>
          <cell r="AA87" t="str">
            <v>V39</v>
          </cell>
          <cell r="AB87" t="str">
            <v>برنده بازی 39</v>
          </cell>
          <cell r="AC87" t="str">
            <v>W39</v>
          </cell>
          <cell r="AD87" t="str">
            <v>W39</v>
          </cell>
          <cell r="AE87" t="str">
            <v>C39</v>
          </cell>
          <cell r="AF87" t="str">
            <v>P39</v>
          </cell>
          <cell r="AG87" t="str">
            <v>V39</v>
          </cell>
          <cell r="AH87" t="str">
            <v>W39</v>
          </cell>
          <cell r="AI87" t="str">
            <v>W39</v>
          </cell>
          <cell r="AJ87" t="str">
            <v>W39</v>
          </cell>
          <cell r="AK87" t="str">
            <v>ผู้ชนะนัดที่ 39</v>
          </cell>
          <cell r="AL87" t="str">
            <v>G39</v>
          </cell>
          <cell r="AM87" t="str">
            <v>T39</v>
          </cell>
          <cell r="AN87" t="str">
            <v>Переможець 39</v>
          </cell>
          <cell r="AO87" t="str">
            <v>۵۰ جیت</v>
          </cell>
        </row>
        <row r="88">
          <cell r="A88" t="str">
            <v>W41</v>
          </cell>
          <cell r="B88" t="str">
            <v>F41</v>
          </cell>
          <cell r="C88" t="str">
            <v>W41</v>
          </cell>
          <cell r="D88" t="str">
            <v>W41</v>
          </cell>
          <cell r="E88" t="str">
            <v>Q41</v>
          </cell>
          <cell r="F88" t="str">
            <v>W41</v>
          </cell>
          <cell r="G88" t="str">
            <v>G41</v>
          </cell>
          <cell r="H88" t="str">
            <v>41胜者</v>
          </cell>
          <cell r="I88" t="str">
            <v>W41</v>
          </cell>
          <cell r="J88" t="str">
            <v>W41</v>
          </cell>
          <cell r="K88" t="str">
            <v>V41</v>
          </cell>
          <cell r="L88" t="str">
            <v>V41</v>
          </cell>
          <cell r="M88" t="str">
            <v>W41</v>
          </cell>
          <cell r="N88" t="str">
            <v>W41</v>
          </cell>
          <cell r="O88" t="str">
            <v>მ41</v>
          </cell>
          <cell r="P88" t="str">
            <v>W41</v>
          </cell>
          <cell r="Q88" t="str">
            <v>Ν41</v>
          </cell>
          <cell r="R88" t="str">
            <v>W41</v>
          </cell>
          <cell r="S88" t="str">
            <v>GY41</v>
          </cell>
          <cell r="T88" t="str">
            <v>W41</v>
          </cell>
          <cell r="U88" t="str">
            <v>W41</v>
          </cell>
          <cell r="V88" t="str">
            <v>W41</v>
          </cell>
          <cell r="W88" t="str">
            <v>16강전 경기3 승자</v>
          </cell>
          <cell r="X88" t="str">
            <v>L41</v>
          </cell>
          <cell r="Y88" t="str">
            <v>П41</v>
          </cell>
          <cell r="Z88" t="str">
            <v>R41</v>
          </cell>
          <cell r="AA88" t="str">
            <v>V41</v>
          </cell>
          <cell r="AB88" t="str">
            <v>برنده بازی 41</v>
          </cell>
          <cell r="AC88" t="str">
            <v>W41</v>
          </cell>
          <cell r="AD88" t="str">
            <v>W41</v>
          </cell>
          <cell r="AE88" t="str">
            <v>C41</v>
          </cell>
          <cell r="AF88" t="str">
            <v>P41</v>
          </cell>
          <cell r="AG88" t="str">
            <v>V41</v>
          </cell>
          <cell r="AH88" t="str">
            <v>W41</v>
          </cell>
          <cell r="AI88" t="str">
            <v>W41</v>
          </cell>
          <cell r="AJ88" t="str">
            <v>W41</v>
          </cell>
          <cell r="AK88" t="str">
            <v>ผู้ชนะนัดที่ 41</v>
          </cell>
          <cell r="AL88" t="str">
            <v>G41</v>
          </cell>
          <cell r="AM88" t="str">
            <v>T41</v>
          </cell>
          <cell r="AN88" t="str">
            <v>Переможець 41</v>
          </cell>
          <cell r="AO88" t="str">
            <v>۵۱ جیت</v>
          </cell>
        </row>
        <row r="89">
          <cell r="A89" t="str">
            <v>W43</v>
          </cell>
          <cell r="B89" t="str">
            <v>F43</v>
          </cell>
          <cell r="C89" t="str">
            <v>W43</v>
          </cell>
          <cell r="D89" t="str">
            <v>W43</v>
          </cell>
          <cell r="E89" t="str">
            <v>Q43</v>
          </cell>
          <cell r="F89" t="str">
            <v>W43</v>
          </cell>
          <cell r="G89" t="str">
            <v>G43</v>
          </cell>
          <cell r="H89" t="str">
            <v>43胜者</v>
          </cell>
          <cell r="I89" t="str">
            <v>W43</v>
          </cell>
          <cell r="J89" t="str">
            <v>W43</v>
          </cell>
          <cell r="K89" t="str">
            <v>V43</v>
          </cell>
          <cell r="L89" t="str">
            <v>V43</v>
          </cell>
          <cell r="M89" t="str">
            <v>W43</v>
          </cell>
          <cell r="N89" t="str">
            <v>W43</v>
          </cell>
          <cell r="O89" t="str">
            <v>მ43</v>
          </cell>
          <cell r="P89" t="str">
            <v>W43</v>
          </cell>
          <cell r="Q89" t="str">
            <v>Ν43</v>
          </cell>
          <cell r="R89" t="str">
            <v>W43</v>
          </cell>
          <cell r="S89" t="str">
            <v>GY43</v>
          </cell>
          <cell r="T89" t="str">
            <v>W43</v>
          </cell>
          <cell r="U89" t="str">
            <v>W43</v>
          </cell>
          <cell r="V89" t="str">
            <v>W43</v>
          </cell>
          <cell r="W89" t="str">
            <v>16강전 경기4 승자</v>
          </cell>
          <cell r="X89" t="str">
            <v>L43</v>
          </cell>
          <cell r="Y89" t="str">
            <v>П43</v>
          </cell>
          <cell r="Z89" t="str">
            <v>R43</v>
          </cell>
          <cell r="AA89" t="str">
            <v>V43</v>
          </cell>
          <cell r="AB89" t="str">
            <v>برنده بازی 43</v>
          </cell>
          <cell r="AC89" t="str">
            <v>W43</v>
          </cell>
          <cell r="AD89" t="str">
            <v>W43</v>
          </cell>
          <cell r="AE89" t="str">
            <v>C43</v>
          </cell>
          <cell r="AF89" t="str">
            <v>P43</v>
          </cell>
          <cell r="AG89" t="str">
            <v>V43</v>
          </cell>
          <cell r="AH89" t="str">
            <v>W43</v>
          </cell>
          <cell r="AI89" t="str">
            <v>W43</v>
          </cell>
          <cell r="AJ89" t="str">
            <v>W43</v>
          </cell>
          <cell r="AK89" t="str">
            <v>ผู้ชนะนัดที่ 43</v>
          </cell>
          <cell r="AL89" t="str">
            <v>G43</v>
          </cell>
          <cell r="AM89" t="str">
            <v>T43</v>
          </cell>
          <cell r="AN89" t="str">
            <v>Переможець 43</v>
          </cell>
          <cell r="AO89" t="str">
            <v>۵۲ جیت</v>
          </cell>
        </row>
        <row r="90">
          <cell r="A90" t="str">
            <v>W38</v>
          </cell>
          <cell r="B90" t="str">
            <v>F38</v>
          </cell>
          <cell r="C90" t="str">
            <v>W38</v>
          </cell>
          <cell r="D90" t="str">
            <v>W38</v>
          </cell>
          <cell r="E90" t="str">
            <v>Q38</v>
          </cell>
          <cell r="F90" t="str">
            <v>W38</v>
          </cell>
          <cell r="G90" t="str">
            <v>G38</v>
          </cell>
          <cell r="H90" t="str">
            <v>38胜者</v>
          </cell>
          <cell r="I90" t="str">
            <v>W38</v>
          </cell>
          <cell r="J90" t="str">
            <v>W38</v>
          </cell>
          <cell r="K90" t="str">
            <v>V38</v>
          </cell>
          <cell r="L90" t="str">
            <v>V38</v>
          </cell>
          <cell r="M90" t="str">
            <v>W38</v>
          </cell>
          <cell r="N90" t="str">
            <v>W38</v>
          </cell>
          <cell r="O90" t="str">
            <v>მ38</v>
          </cell>
          <cell r="P90" t="str">
            <v>W38</v>
          </cell>
          <cell r="Q90" t="str">
            <v>Ν38</v>
          </cell>
          <cell r="R90" t="str">
            <v>W38</v>
          </cell>
          <cell r="S90" t="str">
            <v>GY38</v>
          </cell>
          <cell r="T90" t="str">
            <v>W38</v>
          </cell>
          <cell r="U90" t="str">
            <v>W38</v>
          </cell>
          <cell r="V90" t="str">
            <v>W38</v>
          </cell>
          <cell r="W90" t="str">
            <v>16강전 경기5 승자</v>
          </cell>
          <cell r="X90" t="str">
            <v>L38</v>
          </cell>
          <cell r="Y90" t="str">
            <v>П38</v>
          </cell>
          <cell r="Z90" t="str">
            <v>R38</v>
          </cell>
          <cell r="AA90" t="str">
            <v>V38</v>
          </cell>
          <cell r="AB90" t="str">
            <v>برنده بازی 38</v>
          </cell>
          <cell r="AC90" t="str">
            <v>W38</v>
          </cell>
          <cell r="AD90" t="str">
            <v>W38</v>
          </cell>
          <cell r="AE90" t="str">
            <v>C38</v>
          </cell>
          <cell r="AF90" t="str">
            <v>P38</v>
          </cell>
          <cell r="AG90" t="str">
            <v>V38</v>
          </cell>
          <cell r="AH90" t="str">
            <v>W38</v>
          </cell>
          <cell r="AI90" t="str">
            <v>W38</v>
          </cell>
          <cell r="AJ90" t="str">
            <v>W38</v>
          </cell>
          <cell r="AK90" t="str">
            <v>ผู้ชนะนัดที่ 38</v>
          </cell>
          <cell r="AL90" t="str">
            <v>G38</v>
          </cell>
          <cell r="AM90" t="str">
            <v>T38</v>
          </cell>
          <cell r="AN90" t="str">
            <v>Переможець 38</v>
          </cell>
          <cell r="AO90" t="str">
            <v>۵۳ جیت</v>
          </cell>
        </row>
        <row r="91">
          <cell r="A91" t="str">
            <v>W42</v>
          </cell>
          <cell r="B91" t="str">
            <v>F42</v>
          </cell>
          <cell r="C91" t="str">
            <v>W42</v>
          </cell>
          <cell r="D91" t="str">
            <v>W42</v>
          </cell>
          <cell r="E91" t="str">
            <v>Q42</v>
          </cell>
          <cell r="F91" t="str">
            <v>W42</v>
          </cell>
          <cell r="G91" t="str">
            <v>G42</v>
          </cell>
          <cell r="H91" t="str">
            <v>42胜者</v>
          </cell>
          <cell r="I91" t="str">
            <v>W42</v>
          </cell>
          <cell r="J91" t="str">
            <v>W42</v>
          </cell>
          <cell r="K91" t="str">
            <v>V42</v>
          </cell>
          <cell r="L91" t="str">
            <v>V42</v>
          </cell>
          <cell r="M91" t="str">
            <v>W42</v>
          </cell>
          <cell r="N91" t="str">
            <v>W42</v>
          </cell>
          <cell r="O91" t="str">
            <v>მ42</v>
          </cell>
          <cell r="P91" t="str">
            <v>W42</v>
          </cell>
          <cell r="Q91" t="str">
            <v>Ν42</v>
          </cell>
          <cell r="R91" t="str">
            <v>W42</v>
          </cell>
          <cell r="S91" t="str">
            <v>GY42</v>
          </cell>
          <cell r="T91" t="str">
            <v>W42</v>
          </cell>
          <cell r="U91" t="str">
            <v>W42</v>
          </cell>
          <cell r="V91" t="str">
            <v>W42</v>
          </cell>
          <cell r="W91" t="str">
            <v>16강전 경기6 승자</v>
          </cell>
          <cell r="X91" t="str">
            <v>L42</v>
          </cell>
          <cell r="Y91" t="str">
            <v>П42</v>
          </cell>
          <cell r="Z91" t="str">
            <v>R42</v>
          </cell>
          <cell r="AA91" t="str">
            <v>V42</v>
          </cell>
          <cell r="AB91" t="str">
            <v>برنده بازی 42</v>
          </cell>
          <cell r="AC91" t="str">
            <v>W42</v>
          </cell>
          <cell r="AD91" t="str">
            <v>W42</v>
          </cell>
          <cell r="AE91" t="str">
            <v>C42</v>
          </cell>
          <cell r="AF91" t="str">
            <v>P42</v>
          </cell>
          <cell r="AG91" t="str">
            <v>V42</v>
          </cell>
          <cell r="AH91" t="str">
            <v>W42</v>
          </cell>
          <cell r="AI91" t="str">
            <v>W42</v>
          </cell>
          <cell r="AJ91" t="str">
            <v>W42</v>
          </cell>
          <cell r="AK91" t="str">
            <v>ผู้ชนะนัดที่ 42</v>
          </cell>
          <cell r="AL91" t="str">
            <v>G42</v>
          </cell>
          <cell r="AM91" t="str">
            <v>T42</v>
          </cell>
          <cell r="AN91" t="str">
            <v>Переможець 42</v>
          </cell>
          <cell r="AO91" t="str">
            <v>۵۴ جیت</v>
          </cell>
        </row>
        <row r="92">
          <cell r="A92" t="str">
            <v>W40</v>
          </cell>
          <cell r="B92" t="str">
            <v>F40</v>
          </cell>
          <cell r="C92" t="str">
            <v>W40</v>
          </cell>
          <cell r="D92" t="str">
            <v>W40</v>
          </cell>
          <cell r="E92" t="str">
            <v>Q40</v>
          </cell>
          <cell r="F92" t="str">
            <v>W40</v>
          </cell>
          <cell r="G92" t="str">
            <v>G40</v>
          </cell>
          <cell r="H92" t="str">
            <v>40胜者</v>
          </cell>
          <cell r="I92" t="str">
            <v>W40</v>
          </cell>
          <cell r="J92" t="str">
            <v>W40</v>
          </cell>
          <cell r="K92" t="str">
            <v>V40</v>
          </cell>
          <cell r="L92" t="str">
            <v>V40</v>
          </cell>
          <cell r="M92" t="str">
            <v>W40</v>
          </cell>
          <cell r="N92" t="str">
            <v>W40</v>
          </cell>
          <cell r="O92" t="str">
            <v>მ40</v>
          </cell>
          <cell r="P92" t="str">
            <v>W40</v>
          </cell>
          <cell r="Q92" t="str">
            <v>Ν40</v>
          </cell>
          <cell r="R92" t="str">
            <v>W40</v>
          </cell>
          <cell r="S92" t="str">
            <v>GY40</v>
          </cell>
          <cell r="T92" t="str">
            <v>W40</v>
          </cell>
          <cell r="U92" t="str">
            <v>W40</v>
          </cell>
          <cell r="V92" t="str">
            <v>W40</v>
          </cell>
          <cell r="W92" t="str">
            <v>16강전 경기7 승자</v>
          </cell>
          <cell r="X92" t="str">
            <v>L40</v>
          </cell>
          <cell r="Y92" t="str">
            <v>П40</v>
          </cell>
          <cell r="Z92" t="str">
            <v>R40</v>
          </cell>
          <cell r="AA92" t="str">
            <v>V40</v>
          </cell>
          <cell r="AB92" t="str">
            <v>برنده بازی 40</v>
          </cell>
          <cell r="AC92" t="str">
            <v>W40</v>
          </cell>
          <cell r="AD92" t="str">
            <v>W40</v>
          </cell>
          <cell r="AE92" t="str">
            <v>C40</v>
          </cell>
          <cell r="AF92" t="str">
            <v>P40</v>
          </cell>
          <cell r="AG92" t="str">
            <v>V40</v>
          </cell>
          <cell r="AH92" t="str">
            <v>W40</v>
          </cell>
          <cell r="AI92" t="str">
            <v>W40</v>
          </cell>
          <cell r="AJ92" t="str">
            <v>W40</v>
          </cell>
          <cell r="AK92" t="str">
            <v>ผู้ชนะนัดที่ 40</v>
          </cell>
          <cell r="AL92" t="str">
            <v>G40</v>
          </cell>
          <cell r="AM92" t="str">
            <v>T40</v>
          </cell>
          <cell r="AN92" t="str">
            <v>Переможець 40</v>
          </cell>
          <cell r="AO92" t="str">
            <v>۵۵ جیت</v>
          </cell>
        </row>
        <row r="93">
          <cell r="A93" t="str">
            <v>W44</v>
          </cell>
          <cell r="B93" t="str">
            <v>F44</v>
          </cell>
          <cell r="C93" t="str">
            <v>W44</v>
          </cell>
          <cell r="D93" t="str">
            <v>W44</v>
          </cell>
          <cell r="E93" t="str">
            <v>Q44</v>
          </cell>
          <cell r="F93" t="str">
            <v>W44</v>
          </cell>
          <cell r="G93" t="str">
            <v>G44</v>
          </cell>
          <cell r="H93" t="str">
            <v>44胜者</v>
          </cell>
          <cell r="I93" t="str">
            <v>W44</v>
          </cell>
          <cell r="J93" t="str">
            <v>W44</v>
          </cell>
          <cell r="K93" t="str">
            <v>V44</v>
          </cell>
          <cell r="L93" t="str">
            <v>V44</v>
          </cell>
          <cell r="M93" t="str">
            <v>W44</v>
          </cell>
          <cell r="N93" t="str">
            <v>W44</v>
          </cell>
          <cell r="O93" t="str">
            <v>მ44</v>
          </cell>
          <cell r="P93" t="str">
            <v>W44</v>
          </cell>
          <cell r="Q93" t="str">
            <v>Ν44</v>
          </cell>
          <cell r="R93" t="str">
            <v>W44</v>
          </cell>
          <cell r="S93" t="str">
            <v>GY44</v>
          </cell>
          <cell r="T93" t="str">
            <v>W44</v>
          </cell>
          <cell r="U93" t="str">
            <v>W44</v>
          </cell>
          <cell r="V93" t="str">
            <v>W44</v>
          </cell>
          <cell r="W93" t="str">
            <v>16강전 경기8 승자</v>
          </cell>
          <cell r="X93" t="str">
            <v>L44</v>
          </cell>
          <cell r="Y93" t="str">
            <v>П44</v>
          </cell>
          <cell r="Z93" t="str">
            <v>R44</v>
          </cell>
          <cell r="AA93" t="str">
            <v>V44</v>
          </cell>
          <cell r="AB93" t="str">
            <v>برنده بازی 44</v>
          </cell>
          <cell r="AC93" t="str">
            <v>W44</v>
          </cell>
          <cell r="AD93" t="str">
            <v>W44</v>
          </cell>
          <cell r="AE93" t="str">
            <v>C44</v>
          </cell>
          <cell r="AF93" t="str">
            <v>P44</v>
          </cell>
          <cell r="AG93" t="str">
            <v>V44</v>
          </cell>
          <cell r="AH93" t="str">
            <v>W44</v>
          </cell>
          <cell r="AI93" t="str">
            <v>W44</v>
          </cell>
          <cell r="AJ93" t="str">
            <v>W44</v>
          </cell>
          <cell r="AK93" t="str">
            <v>ผู้ชนะนัดที่ 44</v>
          </cell>
          <cell r="AL93" t="str">
            <v>G44</v>
          </cell>
          <cell r="AM93" t="str">
            <v>T44</v>
          </cell>
          <cell r="AN93" t="str">
            <v>Переможець 44</v>
          </cell>
          <cell r="AO93" t="str">
            <v>۵۶ جیت</v>
          </cell>
        </row>
        <row r="94">
          <cell r="A94" t="str">
            <v>W45</v>
          </cell>
          <cell r="B94" t="str">
            <v>F45</v>
          </cell>
          <cell r="C94" t="str">
            <v>W45</v>
          </cell>
          <cell r="D94" t="str">
            <v>W45</v>
          </cell>
          <cell r="E94" t="str">
            <v>Q45</v>
          </cell>
          <cell r="F94" t="str">
            <v>W45</v>
          </cell>
          <cell r="G94" t="str">
            <v>G45</v>
          </cell>
          <cell r="H94" t="str">
            <v>45胜者</v>
          </cell>
          <cell r="I94" t="str">
            <v>W45</v>
          </cell>
          <cell r="J94" t="str">
            <v>W45</v>
          </cell>
          <cell r="K94" t="str">
            <v>V45</v>
          </cell>
          <cell r="L94" t="str">
            <v>V45</v>
          </cell>
          <cell r="M94" t="str">
            <v>W45</v>
          </cell>
          <cell r="N94" t="str">
            <v>W45</v>
          </cell>
          <cell r="O94" t="str">
            <v>მ45</v>
          </cell>
          <cell r="P94" t="str">
            <v>W45</v>
          </cell>
          <cell r="Q94" t="str">
            <v>Ν45</v>
          </cell>
          <cell r="R94" t="str">
            <v>W45</v>
          </cell>
          <cell r="S94" t="str">
            <v>GY45</v>
          </cell>
          <cell r="T94" t="str">
            <v>W45</v>
          </cell>
          <cell r="U94" t="str">
            <v>W45</v>
          </cell>
          <cell r="V94" t="str">
            <v>W45</v>
          </cell>
          <cell r="W94" t="str">
            <v>8강전 경기1 승자</v>
          </cell>
          <cell r="X94" t="str">
            <v>L45</v>
          </cell>
          <cell r="Y94" t="str">
            <v>П45</v>
          </cell>
          <cell r="Z94" t="str">
            <v>R45</v>
          </cell>
          <cell r="AA94" t="str">
            <v>V45</v>
          </cell>
          <cell r="AB94" t="str">
            <v>برنده بازی 45</v>
          </cell>
          <cell r="AC94" t="str">
            <v>W45</v>
          </cell>
          <cell r="AD94" t="str">
            <v>W45</v>
          </cell>
          <cell r="AE94" t="str">
            <v>C45</v>
          </cell>
          <cell r="AF94" t="str">
            <v>P45</v>
          </cell>
          <cell r="AG94" t="str">
            <v>V45</v>
          </cell>
          <cell r="AH94" t="str">
            <v>W45</v>
          </cell>
          <cell r="AI94" t="str">
            <v>W45</v>
          </cell>
          <cell r="AJ94" t="str">
            <v>W45</v>
          </cell>
          <cell r="AK94" t="str">
            <v>ผู้ชนะนัดที่ 45</v>
          </cell>
          <cell r="AL94" t="str">
            <v>G45</v>
          </cell>
          <cell r="AM94" t="str">
            <v>T45</v>
          </cell>
          <cell r="AN94" t="str">
            <v>Переможець 45</v>
          </cell>
          <cell r="AO94" t="str">
            <v>۵۷ جیت</v>
          </cell>
        </row>
        <row r="95">
          <cell r="A95" t="str">
            <v>W46</v>
          </cell>
          <cell r="B95" t="str">
            <v>F46</v>
          </cell>
          <cell r="C95" t="str">
            <v>W46</v>
          </cell>
          <cell r="D95" t="str">
            <v>W46</v>
          </cell>
          <cell r="E95" t="str">
            <v>Q46</v>
          </cell>
          <cell r="F95" t="str">
            <v>W46</v>
          </cell>
          <cell r="G95" t="str">
            <v>G46</v>
          </cell>
          <cell r="H95" t="str">
            <v>46胜者</v>
          </cell>
          <cell r="I95" t="str">
            <v>W46</v>
          </cell>
          <cell r="J95" t="str">
            <v>W46</v>
          </cell>
          <cell r="K95" t="str">
            <v>V46</v>
          </cell>
          <cell r="L95" t="str">
            <v>V46</v>
          </cell>
          <cell r="M95" t="str">
            <v>W46</v>
          </cell>
          <cell r="N95" t="str">
            <v>W46</v>
          </cell>
          <cell r="O95" t="str">
            <v>მ46</v>
          </cell>
          <cell r="P95" t="str">
            <v>W46</v>
          </cell>
          <cell r="Q95" t="str">
            <v>Ν46</v>
          </cell>
          <cell r="R95" t="str">
            <v>W46</v>
          </cell>
          <cell r="S95" t="str">
            <v>GY46</v>
          </cell>
          <cell r="T95" t="str">
            <v>W46</v>
          </cell>
          <cell r="U95" t="str">
            <v>W46</v>
          </cell>
          <cell r="V95" t="str">
            <v>W46</v>
          </cell>
          <cell r="W95" t="str">
            <v>8강전 경기2 승자</v>
          </cell>
          <cell r="X95" t="str">
            <v>L46</v>
          </cell>
          <cell r="Y95" t="str">
            <v>П46</v>
          </cell>
          <cell r="Z95" t="str">
            <v>R46</v>
          </cell>
          <cell r="AA95" t="str">
            <v>V46</v>
          </cell>
          <cell r="AB95" t="str">
            <v>برنده بازی 46</v>
          </cell>
          <cell r="AC95" t="str">
            <v>W46</v>
          </cell>
          <cell r="AD95" t="str">
            <v>W46</v>
          </cell>
          <cell r="AE95" t="str">
            <v>C46</v>
          </cell>
          <cell r="AF95" t="str">
            <v>P46</v>
          </cell>
          <cell r="AG95" t="str">
            <v>V46</v>
          </cell>
          <cell r="AH95" t="str">
            <v>W46</v>
          </cell>
          <cell r="AI95" t="str">
            <v>W46</v>
          </cell>
          <cell r="AJ95" t="str">
            <v>W46</v>
          </cell>
          <cell r="AK95" t="str">
            <v>ผู้ชนะนัดที่ 46</v>
          </cell>
          <cell r="AL95" t="str">
            <v>G46</v>
          </cell>
          <cell r="AM95" t="str">
            <v>T46</v>
          </cell>
          <cell r="AN95" t="str">
            <v>Переможець 46</v>
          </cell>
          <cell r="AO95" t="str">
            <v>۵۸ جیت</v>
          </cell>
        </row>
        <row r="96">
          <cell r="A96" t="str">
            <v>W47</v>
          </cell>
          <cell r="B96" t="str">
            <v>F47</v>
          </cell>
          <cell r="C96" t="str">
            <v>W47</v>
          </cell>
          <cell r="D96" t="str">
            <v>W47</v>
          </cell>
          <cell r="E96" t="str">
            <v>Q47</v>
          </cell>
          <cell r="F96" t="str">
            <v>W47</v>
          </cell>
          <cell r="G96" t="str">
            <v>G47</v>
          </cell>
          <cell r="H96" t="str">
            <v>47胜者</v>
          </cell>
          <cell r="I96" t="str">
            <v>W47</v>
          </cell>
          <cell r="J96" t="str">
            <v>W47</v>
          </cell>
          <cell r="K96" t="str">
            <v>V47</v>
          </cell>
          <cell r="L96" t="str">
            <v>V47</v>
          </cell>
          <cell r="M96" t="str">
            <v>W47</v>
          </cell>
          <cell r="N96" t="str">
            <v>W47</v>
          </cell>
          <cell r="O96" t="str">
            <v>მ47</v>
          </cell>
          <cell r="P96" t="str">
            <v>W47</v>
          </cell>
          <cell r="Q96" t="str">
            <v>Ν47</v>
          </cell>
          <cell r="R96" t="str">
            <v>W47</v>
          </cell>
          <cell r="S96" t="str">
            <v>GY47</v>
          </cell>
          <cell r="T96" t="str">
            <v>W47</v>
          </cell>
          <cell r="U96" t="str">
            <v>W47</v>
          </cell>
          <cell r="V96" t="str">
            <v>W47</v>
          </cell>
          <cell r="W96" t="str">
            <v>8강전 경기3 승자</v>
          </cell>
          <cell r="X96" t="str">
            <v>L47</v>
          </cell>
          <cell r="Y96" t="str">
            <v>П47</v>
          </cell>
          <cell r="Z96" t="str">
            <v>R47</v>
          </cell>
          <cell r="AA96" t="str">
            <v>V47</v>
          </cell>
          <cell r="AB96" t="str">
            <v>برنده بازی 47</v>
          </cell>
          <cell r="AC96" t="str">
            <v>W47</v>
          </cell>
          <cell r="AD96" t="str">
            <v>W47</v>
          </cell>
          <cell r="AE96" t="str">
            <v>C47</v>
          </cell>
          <cell r="AF96" t="str">
            <v>P47</v>
          </cell>
          <cell r="AG96" t="str">
            <v>V47</v>
          </cell>
          <cell r="AH96" t="str">
            <v>W47</v>
          </cell>
          <cell r="AI96" t="str">
            <v>W47</v>
          </cell>
          <cell r="AJ96" t="str">
            <v>W47</v>
          </cell>
          <cell r="AK96" t="str">
            <v>ผู้ชนะนัดที่ 47</v>
          </cell>
          <cell r="AL96" t="str">
            <v>G47</v>
          </cell>
          <cell r="AM96" t="str">
            <v>T47</v>
          </cell>
          <cell r="AN96" t="str">
            <v>Переможець 47</v>
          </cell>
          <cell r="AO96" t="str">
            <v>۵۹ جیت</v>
          </cell>
        </row>
        <row r="97">
          <cell r="A97" t="str">
            <v>W48</v>
          </cell>
          <cell r="B97" t="str">
            <v>F48</v>
          </cell>
          <cell r="C97" t="str">
            <v>W48</v>
          </cell>
          <cell r="D97" t="str">
            <v>W48</v>
          </cell>
          <cell r="E97" t="str">
            <v>Q48</v>
          </cell>
          <cell r="F97" t="str">
            <v>W48</v>
          </cell>
          <cell r="G97" t="str">
            <v>G48</v>
          </cell>
          <cell r="H97" t="str">
            <v>48胜者</v>
          </cell>
          <cell r="I97" t="str">
            <v>W48</v>
          </cell>
          <cell r="J97" t="str">
            <v>W48</v>
          </cell>
          <cell r="K97" t="str">
            <v>V48</v>
          </cell>
          <cell r="L97" t="str">
            <v>V48</v>
          </cell>
          <cell r="M97" t="str">
            <v>W48</v>
          </cell>
          <cell r="N97" t="str">
            <v>W48</v>
          </cell>
          <cell r="O97" t="str">
            <v>მ48</v>
          </cell>
          <cell r="P97" t="str">
            <v>W48</v>
          </cell>
          <cell r="Q97" t="str">
            <v>Ν48</v>
          </cell>
          <cell r="R97" t="str">
            <v>W48</v>
          </cell>
          <cell r="S97" t="str">
            <v>GY48</v>
          </cell>
          <cell r="T97" t="str">
            <v>W48</v>
          </cell>
          <cell r="U97" t="str">
            <v>W48</v>
          </cell>
          <cell r="V97" t="str">
            <v>W48</v>
          </cell>
          <cell r="W97" t="str">
            <v>8강전 경기4 승자</v>
          </cell>
          <cell r="X97" t="str">
            <v>L48</v>
          </cell>
          <cell r="Y97" t="str">
            <v>П48</v>
          </cell>
          <cell r="Z97" t="str">
            <v>R48</v>
          </cell>
          <cell r="AA97" t="str">
            <v>V48</v>
          </cell>
          <cell r="AB97" t="str">
            <v>برنده بازی 48</v>
          </cell>
          <cell r="AC97" t="str">
            <v>W48</v>
          </cell>
          <cell r="AD97" t="str">
            <v>W48</v>
          </cell>
          <cell r="AE97" t="str">
            <v>C48</v>
          </cell>
          <cell r="AF97" t="str">
            <v>P48</v>
          </cell>
          <cell r="AG97" t="str">
            <v>V48</v>
          </cell>
          <cell r="AH97" t="str">
            <v>W48</v>
          </cell>
          <cell r="AI97" t="str">
            <v>W48</v>
          </cell>
          <cell r="AJ97" t="str">
            <v>W48</v>
          </cell>
          <cell r="AK97" t="str">
            <v>ผู้ชนะนัดที่ 48</v>
          </cell>
          <cell r="AL97" t="str">
            <v>G48</v>
          </cell>
          <cell r="AM97" t="str">
            <v>T48</v>
          </cell>
          <cell r="AN97" t="str">
            <v>Переможець 48</v>
          </cell>
          <cell r="AO97" t="str">
            <v>۶۰ جیت</v>
          </cell>
        </row>
        <row r="98">
          <cell r="A98" t="str">
            <v>W49</v>
          </cell>
          <cell r="B98" t="str">
            <v>F49</v>
          </cell>
          <cell r="C98" t="str">
            <v>W49</v>
          </cell>
          <cell r="D98" t="str">
            <v>W49</v>
          </cell>
          <cell r="E98" t="str">
            <v>Q49</v>
          </cell>
          <cell r="F98" t="str">
            <v>W49</v>
          </cell>
          <cell r="G98" t="str">
            <v>G49</v>
          </cell>
          <cell r="H98" t="str">
            <v>49胜者</v>
          </cell>
          <cell r="I98" t="str">
            <v>W49</v>
          </cell>
          <cell r="J98" t="str">
            <v>W49</v>
          </cell>
          <cell r="K98" t="str">
            <v>V49</v>
          </cell>
          <cell r="L98" t="str">
            <v>V49</v>
          </cell>
          <cell r="M98" t="str">
            <v>W49</v>
          </cell>
          <cell r="N98" t="str">
            <v>W49</v>
          </cell>
          <cell r="O98" t="str">
            <v>მ49</v>
          </cell>
          <cell r="P98" t="str">
            <v>W49</v>
          </cell>
          <cell r="Q98" t="str">
            <v>Ν49</v>
          </cell>
          <cell r="R98" t="str">
            <v>W49</v>
          </cell>
          <cell r="S98" t="str">
            <v>GY49</v>
          </cell>
          <cell r="T98" t="str">
            <v>W49</v>
          </cell>
          <cell r="U98" t="str">
            <v>W49</v>
          </cell>
          <cell r="V98" t="str">
            <v>W49</v>
          </cell>
          <cell r="W98" t="str">
            <v>준결승 경기1 승자</v>
          </cell>
          <cell r="X98" t="str">
            <v>L49</v>
          </cell>
          <cell r="Y98" t="str">
            <v>П49</v>
          </cell>
          <cell r="Z98" t="str">
            <v>R49</v>
          </cell>
          <cell r="AA98" t="str">
            <v>V49</v>
          </cell>
          <cell r="AB98" t="str">
            <v>برنده بازی 49</v>
          </cell>
          <cell r="AC98" t="str">
            <v>W49</v>
          </cell>
          <cell r="AD98" t="str">
            <v>W49</v>
          </cell>
          <cell r="AE98" t="str">
            <v>C49</v>
          </cell>
          <cell r="AF98" t="str">
            <v>P49</v>
          </cell>
          <cell r="AG98" t="str">
            <v>V49</v>
          </cell>
          <cell r="AH98" t="str">
            <v>W49</v>
          </cell>
          <cell r="AI98" t="str">
            <v>W49</v>
          </cell>
          <cell r="AJ98" t="str">
            <v>W49</v>
          </cell>
          <cell r="AK98" t="str">
            <v>ผู้ชนะนัดที่ 49</v>
          </cell>
          <cell r="AL98" t="str">
            <v>G49</v>
          </cell>
          <cell r="AM98" t="str">
            <v>T49</v>
          </cell>
          <cell r="AN98" t="str">
            <v>Переможець 49</v>
          </cell>
          <cell r="AO98" t="str">
            <v>۶۱ جیت</v>
          </cell>
        </row>
        <row r="99">
          <cell r="A99" t="str">
            <v>W50</v>
          </cell>
          <cell r="B99" t="str">
            <v>F50</v>
          </cell>
          <cell r="C99" t="str">
            <v>W50</v>
          </cell>
          <cell r="D99" t="str">
            <v>W50</v>
          </cell>
          <cell r="E99" t="str">
            <v>Q50</v>
          </cell>
          <cell r="F99" t="str">
            <v>W50</v>
          </cell>
          <cell r="G99" t="str">
            <v>G50</v>
          </cell>
          <cell r="H99" t="str">
            <v>50胜者</v>
          </cell>
          <cell r="I99" t="str">
            <v>W50</v>
          </cell>
          <cell r="J99" t="str">
            <v>W50</v>
          </cell>
          <cell r="K99" t="str">
            <v>V50</v>
          </cell>
          <cell r="L99" t="str">
            <v>V50</v>
          </cell>
          <cell r="M99" t="str">
            <v>W50</v>
          </cell>
          <cell r="N99" t="str">
            <v>W50</v>
          </cell>
          <cell r="O99" t="str">
            <v>მ50</v>
          </cell>
          <cell r="P99" t="str">
            <v>W50</v>
          </cell>
          <cell r="Q99" t="str">
            <v>Ν50</v>
          </cell>
          <cell r="R99" t="str">
            <v>W50</v>
          </cell>
          <cell r="S99" t="str">
            <v>GY50</v>
          </cell>
          <cell r="T99" t="str">
            <v>W50</v>
          </cell>
          <cell r="U99" t="str">
            <v>W50</v>
          </cell>
          <cell r="V99" t="str">
            <v>W50</v>
          </cell>
          <cell r="W99" t="str">
            <v>준결승 경기2 승자</v>
          </cell>
          <cell r="X99" t="str">
            <v>L50</v>
          </cell>
          <cell r="Y99" t="str">
            <v>П50</v>
          </cell>
          <cell r="Z99" t="str">
            <v>R50</v>
          </cell>
          <cell r="AA99" t="str">
            <v>V50</v>
          </cell>
          <cell r="AB99" t="str">
            <v>برنده بازی 50</v>
          </cell>
          <cell r="AC99" t="str">
            <v>W50</v>
          </cell>
          <cell r="AD99" t="str">
            <v>W50</v>
          </cell>
          <cell r="AE99" t="str">
            <v>C50</v>
          </cell>
          <cell r="AF99" t="str">
            <v>P50</v>
          </cell>
          <cell r="AG99" t="str">
            <v>V50</v>
          </cell>
          <cell r="AH99" t="str">
            <v>W50</v>
          </cell>
          <cell r="AI99" t="str">
            <v>W50</v>
          </cell>
          <cell r="AJ99" t="str">
            <v>W50</v>
          </cell>
          <cell r="AK99" t="str">
            <v>ผู้ชนะนัดที่ 50</v>
          </cell>
          <cell r="AL99" t="str">
            <v>G50</v>
          </cell>
          <cell r="AM99" t="str">
            <v>T50</v>
          </cell>
          <cell r="AN99" t="str">
            <v>Переможець 50</v>
          </cell>
          <cell r="AO99" t="str">
            <v>۶۲ جیت</v>
          </cell>
        </row>
        <row r="100">
          <cell r="A100" t="str">
            <v>L61</v>
          </cell>
          <cell r="B100" t="str">
            <v>H61</v>
          </cell>
          <cell r="C100" t="str">
            <v>L61</v>
          </cell>
          <cell r="D100" t="str">
            <v>L61</v>
          </cell>
          <cell r="E100" t="str">
            <v>M61</v>
          </cell>
          <cell r="F100" t="str">
            <v>L61</v>
          </cell>
          <cell r="G100" t="str">
            <v>P61</v>
          </cell>
          <cell r="H100" t="str">
            <v>61负者</v>
          </cell>
          <cell r="I100" t="str">
            <v>L61</v>
          </cell>
          <cell r="J100" t="str">
            <v>L61</v>
          </cell>
          <cell r="K100" t="str">
            <v>P61</v>
          </cell>
          <cell r="L100" t="str">
            <v>T61</v>
          </cell>
          <cell r="M100" t="str">
            <v>V61</v>
          </cell>
          <cell r="N100" t="str">
            <v>L61</v>
          </cell>
          <cell r="O100" t="str">
            <v>წ61</v>
          </cell>
          <cell r="P100" t="str">
            <v>L61</v>
          </cell>
          <cell r="Q100" t="str">
            <v>Η61</v>
          </cell>
          <cell r="R100" t="str">
            <v>L61</v>
          </cell>
          <cell r="S100" t="str">
            <v>V61</v>
          </cell>
          <cell r="T100" t="str">
            <v>L61</v>
          </cell>
          <cell r="U100" t="str">
            <v>L61</v>
          </cell>
          <cell r="V100" t="str">
            <v>L61</v>
          </cell>
          <cell r="W100" t="str">
            <v>준결승 경기1 패자</v>
          </cell>
          <cell r="X100" t="str">
            <v>P61</v>
          </cell>
          <cell r="Y100" t="str">
            <v>И61</v>
          </cell>
          <cell r="Z100" t="str">
            <v>T61</v>
          </cell>
          <cell r="AA100" t="str">
            <v>T61</v>
          </cell>
          <cell r="AB100" t="str">
            <v>بازنده بازی 61</v>
          </cell>
          <cell r="AC100" t="str">
            <v>L61</v>
          </cell>
          <cell r="AD100" t="str">
            <v>L61</v>
          </cell>
          <cell r="AE100" t="str">
            <v>P61</v>
          </cell>
          <cell r="AF100" t="str">
            <v>I61</v>
          </cell>
          <cell r="AG100" t="str">
            <v>P61</v>
          </cell>
          <cell r="AH100" t="str">
            <v>L61</v>
          </cell>
          <cell r="AI100" t="str">
            <v>L61</v>
          </cell>
          <cell r="AJ100" t="str">
            <v>L61</v>
          </cell>
          <cell r="AK100" t="str">
            <v>ผู้แพ้นัดที่ 61</v>
          </cell>
          <cell r="AL100" t="str">
            <v>M61</v>
          </cell>
          <cell r="AM100" t="str">
            <v>B61</v>
          </cell>
          <cell r="AN100" t="str">
            <v>Переможений 61</v>
          </cell>
          <cell r="AO100" t="str">
            <v>۶۱ ہار</v>
          </cell>
        </row>
        <row r="101">
          <cell r="A101" t="str">
            <v>L62</v>
          </cell>
          <cell r="B101" t="str">
            <v>H62</v>
          </cell>
          <cell r="C101" t="str">
            <v>L62</v>
          </cell>
          <cell r="D101" t="str">
            <v>L62</v>
          </cell>
          <cell r="E101" t="str">
            <v>M62</v>
          </cell>
          <cell r="F101" t="str">
            <v>L62</v>
          </cell>
          <cell r="G101" t="str">
            <v>P62</v>
          </cell>
          <cell r="H101" t="str">
            <v>62负者</v>
          </cell>
          <cell r="I101" t="str">
            <v>L62</v>
          </cell>
          <cell r="J101" t="str">
            <v>L62</v>
          </cell>
          <cell r="K101" t="str">
            <v>P62</v>
          </cell>
          <cell r="L101" t="str">
            <v>T62</v>
          </cell>
          <cell r="M101" t="str">
            <v>V62</v>
          </cell>
          <cell r="N101" t="str">
            <v>L62</v>
          </cell>
          <cell r="O101" t="str">
            <v>წ62</v>
          </cell>
          <cell r="P101" t="str">
            <v>L62</v>
          </cell>
          <cell r="Q101" t="str">
            <v>Η62</v>
          </cell>
          <cell r="R101" t="str">
            <v>L62</v>
          </cell>
          <cell r="S101" t="str">
            <v>V62</v>
          </cell>
          <cell r="T101" t="str">
            <v>L62</v>
          </cell>
          <cell r="U101" t="str">
            <v>L62</v>
          </cell>
          <cell r="V101" t="str">
            <v>L62</v>
          </cell>
          <cell r="W101" t="str">
            <v>준결승 경기2 패자</v>
          </cell>
          <cell r="X101" t="str">
            <v>P62</v>
          </cell>
          <cell r="Y101" t="str">
            <v>И62</v>
          </cell>
          <cell r="Z101" t="str">
            <v>T62</v>
          </cell>
          <cell r="AA101" t="str">
            <v>T62</v>
          </cell>
          <cell r="AB101" t="str">
            <v>بازنده بازی 62</v>
          </cell>
          <cell r="AC101" t="str">
            <v>L62</v>
          </cell>
          <cell r="AD101" t="str">
            <v>L62</v>
          </cell>
          <cell r="AE101" t="str">
            <v>P62</v>
          </cell>
          <cell r="AF101" t="str">
            <v>I62</v>
          </cell>
          <cell r="AG101" t="str">
            <v>P62</v>
          </cell>
          <cell r="AH101" t="str">
            <v>L62</v>
          </cell>
          <cell r="AI101" t="str">
            <v>L62</v>
          </cell>
          <cell r="AJ101" t="str">
            <v>L62</v>
          </cell>
          <cell r="AK101" t="str">
            <v>ผู้แพ้นัดที่ 62</v>
          </cell>
          <cell r="AL101" t="str">
            <v>M62</v>
          </cell>
          <cell r="AM101" t="str">
            <v>B62</v>
          </cell>
          <cell r="AN101" t="str">
            <v>Переможений 62</v>
          </cell>
          <cell r="AO101" t="str">
            <v>۶۲ ہار</v>
          </cell>
        </row>
        <row r="102">
          <cell r="A102" t="str">
            <v>Champion 2021</v>
          </cell>
          <cell r="B102" t="str">
            <v>Champion 2021</v>
          </cell>
          <cell r="C102" t="str">
            <v>بطل 2021</v>
          </cell>
          <cell r="D102" t="str">
            <v>Champion 2021-</v>
          </cell>
          <cell r="E102" t="str">
            <v>Champion 2021</v>
          </cell>
          <cell r="F102" t="str">
            <v>Шампион 2021</v>
          </cell>
          <cell r="G102" t="str">
            <v>Campió 2021</v>
          </cell>
          <cell r="H102" t="str">
            <v>2021年冠军</v>
          </cell>
          <cell r="I102" t="str">
            <v>2021年冠軍</v>
          </cell>
          <cell r="J102" t="str">
            <v>Prvak 2021</v>
          </cell>
          <cell r="K102" t="str">
            <v>Champion 2021</v>
          </cell>
          <cell r="L102" t="str">
            <v>Champion 2021</v>
          </cell>
          <cell r="M102" t="str">
            <v>Champion 2021</v>
          </cell>
          <cell r="N102" t="str">
            <v>Champion 2021</v>
          </cell>
          <cell r="O102" t="str">
            <v>ჩემპიონი 2021</v>
          </cell>
          <cell r="P102" t="str">
            <v>Meister 2021</v>
          </cell>
          <cell r="Q102" t="str">
            <v>Πρωταθλητής 2021</v>
          </cell>
          <cell r="R102" t="str">
            <v>אלוף 2021</v>
          </cell>
          <cell r="S102" t="str">
            <v>Champion 2021</v>
          </cell>
          <cell r="T102" t="str">
            <v>Juara 2021</v>
          </cell>
          <cell r="U102" t="str">
            <v>Meistari 2021</v>
          </cell>
          <cell r="V102" t="str">
            <v>Campione 2021</v>
          </cell>
          <cell r="W102" t="str">
            <v>챔피언 2021</v>
          </cell>
          <cell r="X102" t="str">
            <v>Čempionas 2021</v>
          </cell>
          <cell r="Y102" t="str">
            <v>Шампион 2021</v>
          </cell>
          <cell r="Z102" t="str">
            <v>Champion 2021</v>
          </cell>
          <cell r="AA102" t="str">
            <v>Champion 2021</v>
          </cell>
          <cell r="AB102" t="str">
            <v>قهرمان 2021</v>
          </cell>
          <cell r="AC102" t="str">
            <v>Champion 2021</v>
          </cell>
          <cell r="AD102" t="str">
            <v>Champion 2021</v>
          </cell>
          <cell r="AE102" t="str">
            <v>Campionul 2021</v>
          </cell>
          <cell r="AF102" t="str">
            <v>Цхампион 2021</v>
          </cell>
          <cell r="AG102" t="str">
            <v>Champion 2021</v>
          </cell>
          <cell r="AH102" t="str">
            <v>Champion 2021</v>
          </cell>
          <cell r="AI102" t="str">
            <v>Campeón 2021</v>
          </cell>
          <cell r="AJ102" t="str">
            <v>Champion 2021</v>
          </cell>
          <cell r="AK102" t="str">
            <v>แชมป์ 2021</v>
          </cell>
          <cell r="AL102" t="str">
            <v>Şampiyon 2021</v>
          </cell>
          <cell r="AM102" t="str">
            <v>Champion 2021</v>
          </cell>
          <cell r="AN102" t="str">
            <v>Чемпіон 2021</v>
          </cell>
          <cell r="AO102" t="str">
            <v>چیمپیئن 2021</v>
          </cell>
        </row>
        <row r="103">
          <cell r="A103" t="str">
            <v>Rome</v>
          </cell>
          <cell r="B103" t="str">
            <v>Roma</v>
          </cell>
          <cell r="C103" t="str">
            <v>روما</v>
          </cell>
          <cell r="D103" t="str">
            <v>Հռոմ</v>
          </cell>
          <cell r="E103" t="str">
            <v>Rome</v>
          </cell>
          <cell r="F103" t="str">
            <v>Рим</v>
          </cell>
          <cell r="G103" t="str">
            <v>Roma</v>
          </cell>
          <cell r="H103" t="str">
            <v>罗马</v>
          </cell>
          <cell r="I103" t="str">
            <v>羅馬</v>
          </cell>
          <cell r="J103" t="str">
            <v>Rim</v>
          </cell>
          <cell r="K103" t="str">
            <v>Řím</v>
          </cell>
          <cell r="L103" t="str">
            <v>Rom</v>
          </cell>
          <cell r="M103" t="str">
            <v>Rome</v>
          </cell>
          <cell r="N103" t="str">
            <v>Rome</v>
          </cell>
          <cell r="O103" t="str">
            <v>რომი</v>
          </cell>
          <cell r="P103" t="str">
            <v>Rom</v>
          </cell>
          <cell r="Q103" t="str">
            <v>Ρώμη</v>
          </cell>
          <cell r="R103" t="str">
            <v>רומא</v>
          </cell>
          <cell r="S103" t="str">
            <v>Róma</v>
          </cell>
          <cell r="T103" t="str">
            <v>Roma</v>
          </cell>
          <cell r="U103" t="str">
            <v>Rome</v>
          </cell>
          <cell r="V103" t="str">
            <v>Roma</v>
          </cell>
          <cell r="W103" t="str">
            <v>로마</v>
          </cell>
          <cell r="X103" t="str">
            <v>Roma</v>
          </cell>
          <cell r="Y103" t="str">
            <v>Рим</v>
          </cell>
          <cell r="Z103" t="str">
            <v>Ruma</v>
          </cell>
          <cell r="AA103" t="str">
            <v>Roma</v>
          </cell>
          <cell r="AB103" t="str">
            <v>رم</v>
          </cell>
          <cell r="AC103" t="str">
            <v>Rzym</v>
          </cell>
          <cell r="AD103" t="str">
            <v>Roma</v>
          </cell>
          <cell r="AE103" t="str">
            <v>Roma</v>
          </cell>
          <cell r="AF103" t="str">
            <v>Рим</v>
          </cell>
          <cell r="AG103" t="str">
            <v>Rím</v>
          </cell>
          <cell r="AH103" t="str">
            <v>Rim</v>
          </cell>
          <cell r="AI103" t="str">
            <v>Roma</v>
          </cell>
          <cell r="AJ103" t="str">
            <v>Rom</v>
          </cell>
          <cell r="AK103" t="str">
            <v>กรุงโรม</v>
          </cell>
          <cell r="AL103" t="str">
            <v>Roma</v>
          </cell>
          <cell r="AM103" t="str">
            <v>La Mã</v>
          </cell>
          <cell r="AN103" t="str">
            <v>Рим</v>
          </cell>
          <cell r="AO103" t="str">
            <v>روم</v>
          </cell>
        </row>
        <row r="104">
          <cell r="A104" t="str">
            <v>Baku</v>
          </cell>
          <cell r="B104" t="str">
            <v>Baku</v>
          </cell>
          <cell r="C104" t="str">
            <v>باكو</v>
          </cell>
          <cell r="D104" t="str">
            <v>Baku</v>
          </cell>
          <cell r="E104" t="str">
            <v>Bakı</v>
          </cell>
          <cell r="F104" t="str">
            <v>Баку</v>
          </cell>
          <cell r="G104" t="str">
            <v>Bakú</v>
          </cell>
          <cell r="H104" t="str">
            <v>巴库</v>
          </cell>
          <cell r="I104" t="str">
            <v>巴庫</v>
          </cell>
          <cell r="J104" t="str">
            <v>Baku</v>
          </cell>
          <cell r="K104" t="str">
            <v>Baku</v>
          </cell>
          <cell r="L104" t="str">
            <v>Baku</v>
          </cell>
          <cell r="M104" t="str">
            <v>Baku</v>
          </cell>
          <cell r="N104" t="str">
            <v>Bakou</v>
          </cell>
          <cell r="O104" t="str">
            <v>ბაკო</v>
          </cell>
          <cell r="P104" t="str">
            <v>Baku</v>
          </cell>
          <cell r="Q104" t="str">
            <v>Μπακού</v>
          </cell>
          <cell r="R104" t="str">
            <v>באקו</v>
          </cell>
          <cell r="S104" t="str">
            <v>Baku</v>
          </cell>
          <cell r="T104" t="str">
            <v>Baku</v>
          </cell>
          <cell r="U104" t="str">
            <v>Baku</v>
          </cell>
          <cell r="V104" t="str">
            <v>Baku</v>
          </cell>
          <cell r="W104" t="str">
            <v>바쿠</v>
          </cell>
          <cell r="X104" t="str">
            <v>Baku</v>
          </cell>
          <cell r="Y104" t="str">
            <v>Баку</v>
          </cell>
          <cell r="Z104" t="str">
            <v>Baku</v>
          </cell>
          <cell r="AA104" t="str">
            <v>Baku</v>
          </cell>
          <cell r="AB104" t="str">
            <v>باکو</v>
          </cell>
          <cell r="AC104" t="str">
            <v>Baku</v>
          </cell>
          <cell r="AD104" t="str">
            <v>Baku</v>
          </cell>
          <cell r="AE104" t="str">
            <v>Baku</v>
          </cell>
          <cell r="AF104" t="str">
            <v>Баку</v>
          </cell>
          <cell r="AG104" t="str">
            <v>Baku</v>
          </cell>
          <cell r="AH104" t="str">
            <v>Baku</v>
          </cell>
          <cell r="AI104" t="str">
            <v>Bakú</v>
          </cell>
          <cell r="AJ104" t="str">
            <v>Baku</v>
          </cell>
          <cell r="AK104" t="str">
            <v>บากู</v>
          </cell>
          <cell r="AL104" t="str">
            <v>Bakü</v>
          </cell>
          <cell r="AM104" t="str">
            <v>Baku</v>
          </cell>
          <cell r="AN104" t="str">
            <v>Баку</v>
          </cell>
          <cell r="AO104" t="str">
            <v>باکو</v>
          </cell>
        </row>
        <row r="105">
          <cell r="A105" t="str">
            <v>Copenhagen</v>
          </cell>
          <cell r="B105" t="str">
            <v>Kopenhagen</v>
          </cell>
          <cell r="C105" t="str">
            <v>كوبنهاغن</v>
          </cell>
          <cell r="D105" t="str">
            <v>Կոպենհագեն</v>
          </cell>
          <cell r="E105" t="str">
            <v>Kopenhagen</v>
          </cell>
          <cell r="F105" t="str">
            <v>Копенхаген</v>
          </cell>
          <cell r="G105" t="str">
            <v>Copenhaguen</v>
          </cell>
          <cell r="H105" t="str">
            <v>哥本哈根</v>
          </cell>
          <cell r="I105" t="str">
            <v>哥本哈根</v>
          </cell>
          <cell r="J105" t="str">
            <v>Kopenhagen</v>
          </cell>
          <cell r="K105" t="str">
            <v>Kodaň</v>
          </cell>
          <cell r="L105" t="str">
            <v>København</v>
          </cell>
          <cell r="M105" t="str">
            <v>Kopenhagen</v>
          </cell>
          <cell r="N105" t="str">
            <v>Copenhague</v>
          </cell>
          <cell r="O105" t="str">
            <v>კოპენჰაგე</v>
          </cell>
          <cell r="P105" t="str">
            <v>Kopenhagen</v>
          </cell>
          <cell r="Q105" t="str">
            <v>Κοπεγχάγη</v>
          </cell>
          <cell r="R105" t="str">
            <v>קופנהגן</v>
          </cell>
          <cell r="S105" t="str">
            <v>Koppenhága</v>
          </cell>
          <cell r="T105" t="str">
            <v>Copenhagen</v>
          </cell>
          <cell r="U105" t="str">
            <v>Kaupmannahöfn</v>
          </cell>
          <cell r="V105" t="str">
            <v>Copenhagen</v>
          </cell>
          <cell r="W105" t="str">
            <v>코펜하겐</v>
          </cell>
          <cell r="X105" t="str">
            <v>Kopenhaga</v>
          </cell>
          <cell r="Y105" t="str">
            <v>Копенхаген</v>
          </cell>
          <cell r="Z105" t="str">
            <v>Kopenħagen</v>
          </cell>
          <cell r="AA105" t="str">
            <v>København</v>
          </cell>
          <cell r="AB105" t="str">
            <v>کپنهاگ</v>
          </cell>
          <cell r="AC105" t="str">
            <v>Kopenhaga</v>
          </cell>
          <cell r="AD105" t="str">
            <v>Copenhague</v>
          </cell>
          <cell r="AE105" t="str">
            <v>Copenhaga</v>
          </cell>
          <cell r="AF105" t="str">
            <v>Копенхаген</v>
          </cell>
          <cell r="AG105" t="str">
            <v>Kodaň</v>
          </cell>
          <cell r="AH105" t="str">
            <v>Copenhagen</v>
          </cell>
          <cell r="AI105" t="str">
            <v>Copenhague</v>
          </cell>
          <cell r="AJ105" t="str">
            <v>Köpenhamn</v>
          </cell>
          <cell r="AK105" t="str">
            <v>โคเปนเฮเกน</v>
          </cell>
          <cell r="AL105" t="str">
            <v>Kopenhag</v>
          </cell>
          <cell r="AM105" t="str">
            <v>Copenhagen</v>
          </cell>
          <cell r="AN105" t="str">
            <v>Копенгаген</v>
          </cell>
          <cell r="AO105" t="str">
            <v>کوپن ہیگن</v>
          </cell>
        </row>
        <row r="106">
          <cell r="A106" t="str">
            <v>St Petersburg</v>
          </cell>
          <cell r="B106" t="str">
            <v>Shën Petersburg</v>
          </cell>
          <cell r="C106" t="str">
            <v>سان بطرسبرج</v>
          </cell>
          <cell r="D106" t="str">
            <v>Սանկտ Պետերբուրգում</v>
          </cell>
          <cell r="E106" t="str">
            <v>Sankt-Peterburq</v>
          </cell>
          <cell r="F106" t="str">
            <v>Санкт Петербург</v>
          </cell>
          <cell r="G106" t="str">
            <v>Sant Petersburg</v>
          </cell>
          <cell r="H106" t="str">
            <v>圣彼得堡</v>
          </cell>
          <cell r="I106" t="str">
            <v>聖彼得堡</v>
          </cell>
          <cell r="J106" t="str">
            <v>St. Petersburg</v>
          </cell>
          <cell r="K106" t="str">
            <v>Petrohrad</v>
          </cell>
          <cell r="L106" t="str">
            <v>Sankt Petersborg</v>
          </cell>
          <cell r="M106" t="str">
            <v>St. Petersburg</v>
          </cell>
          <cell r="N106" t="str">
            <v>Saint-Pétersbourg</v>
          </cell>
          <cell r="O106" t="str">
            <v>სენ-პეტერბურგი</v>
          </cell>
          <cell r="P106" t="str">
            <v>St. Petersburg</v>
          </cell>
          <cell r="Q106" t="str">
            <v>Αγία Πετρούπολη</v>
          </cell>
          <cell r="R106" t="str">
            <v>סנט פטרסבורג</v>
          </cell>
          <cell r="S106" t="str">
            <v>Szentpétervár</v>
          </cell>
          <cell r="T106" t="str">
            <v>St Petersburg</v>
          </cell>
          <cell r="U106" t="str">
            <v>Sankti Pétursborg</v>
          </cell>
          <cell r="V106" t="str">
            <v>San Pietroburgo</v>
          </cell>
          <cell r="W106" t="str">
            <v>세인트 피터스 버그</v>
          </cell>
          <cell r="X106" t="str">
            <v>Sankt Peterburgas</v>
          </cell>
          <cell r="Y106" t="str">
            <v>Санкт Петербург</v>
          </cell>
          <cell r="Z106" t="str">
            <v>San Pietruburgu</v>
          </cell>
          <cell r="AA106" t="str">
            <v>St. Petersburg</v>
          </cell>
          <cell r="AB106" t="str">
            <v>سنت پترزبورگ</v>
          </cell>
          <cell r="AC106" t="str">
            <v>Petersburg</v>
          </cell>
          <cell r="AD106" t="str">
            <v>São Petersburgo</v>
          </cell>
          <cell r="AE106" t="str">
            <v>St.Petersburg</v>
          </cell>
          <cell r="AF106" t="str">
            <v>Санкт Петербург</v>
          </cell>
          <cell r="AG106" t="str">
            <v>St. Petersburg</v>
          </cell>
          <cell r="AH106" t="str">
            <v>St. Petersburg</v>
          </cell>
          <cell r="AI106" t="str">
            <v>San Petersburgo</v>
          </cell>
          <cell r="AJ106" t="str">
            <v>St. Petersburg</v>
          </cell>
          <cell r="AK106" t="str">
            <v>เซนต์ปีเตอร์สเบิร์ก</v>
          </cell>
          <cell r="AL106" t="str">
            <v>St Petersburg</v>
          </cell>
          <cell r="AM106" t="str">
            <v>St Petersburg</v>
          </cell>
          <cell r="AN106" t="str">
            <v>Санкт-Петербург</v>
          </cell>
          <cell r="AO106" t="str">
            <v>سینٹ پیٹرز برگ</v>
          </cell>
        </row>
        <row r="107">
          <cell r="A107" t="str">
            <v>London</v>
          </cell>
          <cell r="B107" t="str">
            <v>Londër</v>
          </cell>
          <cell r="C107" t="str">
            <v>لندن</v>
          </cell>
          <cell r="D107" t="str">
            <v>London</v>
          </cell>
          <cell r="E107" t="str">
            <v>London</v>
          </cell>
          <cell r="F107" t="str">
            <v>Лондон</v>
          </cell>
          <cell r="G107" t="str">
            <v>Londres</v>
          </cell>
          <cell r="H107" t="str">
            <v>伦敦</v>
          </cell>
          <cell r="I107" t="str">
            <v>倫敦</v>
          </cell>
          <cell r="J107" t="str">
            <v>London</v>
          </cell>
          <cell r="K107" t="str">
            <v>Londýn</v>
          </cell>
          <cell r="L107" t="str">
            <v>London</v>
          </cell>
          <cell r="M107" t="str">
            <v>Londen</v>
          </cell>
          <cell r="N107" t="str">
            <v>Londres</v>
          </cell>
          <cell r="O107" t="str">
            <v>ლონდრები</v>
          </cell>
          <cell r="P107" t="str">
            <v>London</v>
          </cell>
          <cell r="Q107" t="str">
            <v>Λονδίνο</v>
          </cell>
          <cell r="R107" t="str">
            <v>לונדון</v>
          </cell>
          <cell r="S107" t="str">
            <v>London</v>
          </cell>
          <cell r="T107" t="str">
            <v>London</v>
          </cell>
          <cell r="U107" t="str">
            <v>London</v>
          </cell>
          <cell r="V107" t="str">
            <v>Londra</v>
          </cell>
          <cell r="W107" t="str">
            <v>런던</v>
          </cell>
          <cell r="X107" t="str">
            <v>Londonas</v>
          </cell>
          <cell r="Y107" t="str">
            <v>Лондон</v>
          </cell>
          <cell r="Z107" t="str">
            <v>London</v>
          </cell>
          <cell r="AA107" t="str">
            <v>London</v>
          </cell>
          <cell r="AB107" t="str">
            <v>لندن</v>
          </cell>
          <cell r="AC107" t="str">
            <v>Londyn</v>
          </cell>
          <cell r="AD107" t="str">
            <v>Londres</v>
          </cell>
          <cell r="AE107" t="str">
            <v>Londra</v>
          </cell>
          <cell r="AF107" t="str">
            <v>Лондон</v>
          </cell>
          <cell r="AG107" t="str">
            <v>Londýn</v>
          </cell>
          <cell r="AH107" t="str">
            <v>London</v>
          </cell>
          <cell r="AI107" t="str">
            <v>Londres</v>
          </cell>
          <cell r="AJ107" t="str">
            <v>London</v>
          </cell>
          <cell r="AK107" t="str">
            <v>กรุงลอนดอน</v>
          </cell>
          <cell r="AL107" t="str">
            <v>Londra</v>
          </cell>
          <cell r="AM107" t="str">
            <v>London</v>
          </cell>
          <cell r="AN107" t="str">
            <v>Лондон</v>
          </cell>
          <cell r="AO107" t="str">
            <v>لندن</v>
          </cell>
        </row>
        <row r="108">
          <cell r="A108" t="str">
            <v>Bucharest</v>
          </cell>
          <cell r="B108" t="str">
            <v>Bukuresht</v>
          </cell>
          <cell r="C108" t="str">
            <v>بوخارست</v>
          </cell>
          <cell r="D108" t="str">
            <v>Բուխարեստ</v>
          </cell>
          <cell r="E108" t="str">
            <v>Buxarest</v>
          </cell>
          <cell r="F108" t="str">
            <v>Букурещ</v>
          </cell>
          <cell r="G108" t="str">
            <v>Bucarest</v>
          </cell>
          <cell r="H108" t="str">
            <v>布加勒斯特</v>
          </cell>
          <cell r="I108" t="str">
            <v>布加勒斯特</v>
          </cell>
          <cell r="J108" t="str">
            <v>Bukurešt</v>
          </cell>
          <cell r="K108" t="str">
            <v>Bukurešť</v>
          </cell>
          <cell r="L108" t="str">
            <v>Bukarest</v>
          </cell>
          <cell r="M108" t="str">
            <v>Boekarest</v>
          </cell>
          <cell r="N108" t="str">
            <v>Bucarest</v>
          </cell>
          <cell r="O108" t="str">
            <v>ბუკარესტი</v>
          </cell>
          <cell r="P108" t="str">
            <v>Bukarest</v>
          </cell>
          <cell r="Q108" t="str">
            <v>Βουκουρέστι</v>
          </cell>
          <cell r="R108" t="str">
            <v>בוקרשט</v>
          </cell>
          <cell r="S108" t="str">
            <v>Bukarest</v>
          </cell>
          <cell r="T108" t="str">
            <v>Bucharest</v>
          </cell>
          <cell r="U108" t="str">
            <v>Búkarest</v>
          </cell>
          <cell r="V108" t="str">
            <v>Bucarest</v>
          </cell>
          <cell r="W108" t="str">
            <v>부카레스트</v>
          </cell>
          <cell r="X108" t="str">
            <v>Bukareštas</v>
          </cell>
          <cell r="Y108" t="str">
            <v>Букурешт</v>
          </cell>
          <cell r="Z108" t="str">
            <v>Bukarest</v>
          </cell>
          <cell r="AA108" t="str">
            <v>Bucuresti</v>
          </cell>
          <cell r="AB108" t="str">
            <v>بخارست</v>
          </cell>
          <cell r="AC108" t="str">
            <v>Bukareszt</v>
          </cell>
          <cell r="AD108" t="str">
            <v>Bucareste</v>
          </cell>
          <cell r="AE108" t="str">
            <v>Bucureşti</v>
          </cell>
          <cell r="AF108" t="str">
            <v>Букурешт</v>
          </cell>
          <cell r="AG108" t="str">
            <v>Bukurešť</v>
          </cell>
          <cell r="AH108" t="str">
            <v>Bukarešta</v>
          </cell>
          <cell r="AI108" t="str">
            <v>Bucarest</v>
          </cell>
          <cell r="AJ108" t="str">
            <v>Bukarest</v>
          </cell>
          <cell r="AK108" t="str">
            <v>บูคาเรสต์</v>
          </cell>
          <cell r="AL108" t="str">
            <v>Bükreş</v>
          </cell>
          <cell r="AM108" t="str">
            <v>Bucharest</v>
          </cell>
          <cell r="AN108" t="str">
            <v>Бухарест</v>
          </cell>
          <cell r="AO108" t="str">
            <v>بخارسٹ</v>
          </cell>
        </row>
        <row r="109">
          <cell r="A109" t="str">
            <v>Amsterdam</v>
          </cell>
          <cell r="B109" t="str">
            <v>Amsterdam</v>
          </cell>
          <cell r="C109" t="str">
            <v>أمستردام</v>
          </cell>
          <cell r="D109" t="str">
            <v>Ամստերդամ</v>
          </cell>
          <cell r="E109" t="str">
            <v>Amsterdam</v>
          </cell>
          <cell r="F109" t="str">
            <v>Амстердам</v>
          </cell>
          <cell r="G109" t="str">
            <v>Amsterdam</v>
          </cell>
          <cell r="H109" t="str">
            <v>阿姆斯特丹</v>
          </cell>
          <cell r="I109" t="str">
            <v>阿姆斯特丹</v>
          </cell>
          <cell r="J109" t="str">
            <v>Amsterdam</v>
          </cell>
          <cell r="K109" t="str">
            <v>Amsterodam</v>
          </cell>
          <cell r="L109" t="str">
            <v>Amsterdam</v>
          </cell>
          <cell r="M109" t="str">
            <v>Amsterdam</v>
          </cell>
          <cell r="N109" t="str">
            <v>Amsterdam</v>
          </cell>
          <cell r="O109" t="str">
            <v>ამსტერდამი</v>
          </cell>
          <cell r="P109" t="str">
            <v>Amsterdam</v>
          </cell>
          <cell r="Q109" t="str">
            <v>Άμστερνταμ</v>
          </cell>
          <cell r="R109" t="str">
            <v>אמסטרדם</v>
          </cell>
          <cell r="S109" t="str">
            <v>Amszterdam</v>
          </cell>
          <cell r="T109" t="str">
            <v>Amsterdam</v>
          </cell>
          <cell r="U109" t="str">
            <v>Amsterdam</v>
          </cell>
          <cell r="V109" t="str">
            <v>Amsterdam</v>
          </cell>
          <cell r="W109" t="str">
            <v>암스테르담</v>
          </cell>
          <cell r="X109" t="str">
            <v>Amsterdamas</v>
          </cell>
          <cell r="Y109" t="str">
            <v>Амстердам</v>
          </cell>
          <cell r="Z109" t="str">
            <v>Amsterdam</v>
          </cell>
          <cell r="AA109" t="str">
            <v>Amsterdam</v>
          </cell>
          <cell r="AB109" t="str">
            <v>آمستردام</v>
          </cell>
          <cell r="AC109" t="str">
            <v>Amsterdam</v>
          </cell>
          <cell r="AD109" t="str">
            <v>Amsterdam</v>
          </cell>
          <cell r="AE109" t="str">
            <v>Amsterdam</v>
          </cell>
          <cell r="AF109" t="str">
            <v>Амстердам</v>
          </cell>
          <cell r="AG109" t="str">
            <v>Amsterdam</v>
          </cell>
          <cell r="AH109" t="str">
            <v>Amsterdam</v>
          </cell>
          <cell r="AI109" t="str">
            <v>Ámsterdam</v>
          </cell>
          <cell r="AJ109" t="str">
            <v>Amsterdam</v>
          </cell>
          <cell r="AK109" t="str">
            <v>อัมสเตอร์ดัม</v>
          </cell>
          <cell r="AL109" t="str">
            <v>Amsterdam</v>
          </cell>
          <cell r="AM109" t="str">
            <v>Amsterdam</v>
          </cell>
          <cell r="AN109" t="str">
            <v>Амстердам</v>
          </cell>
          <cell r="AO109" t="str">
            <v>ایمسٹرڈیم</v>
          </cell>
        </row>
        <row r="110">
          <cell r="A110" t="str">
            <v>Glasgow</v>
          </cell>
          <cell r="B110" t="str">
            <v>Glasgow</v>
          </cell>
          <cell r="C110" t="str">
            <v>غلاسكو</v>
          </cell>
          <cell r="D110" t="str">
            <v>Glasgow</v>
          </cell>
          <cell r="E110" t="str">
            <v>Glasgow</v>
          </cell>
          <cell r="F110" t="str">
            <v>Глазгоу</v>
          </cell>
          <cell r="G110" t="str">
            <v>Glasgow</v>
          </cell>
          <cell r="H110" t="str">
            <v>格拉斯哥</v>
          </cell>
          <cell r="I110" t="str">
            <v>格拉斯哥</v>
          </cell>
          <cell r="J110" t="str">
            <v>Glazgov</v>
          </cell>
          <cell r="K110" t="str">
            <v>Glasgow</v>
          </cell>
          <cell r="L110" t="str">
            <v>Glasgow</v>
          </cell>
          <cell r="M110" t="str">
            <v>Glasgow</v>
          </cell>
          <cell r="N110" t="str">
            <v>Glasgow</v>
          </cell>
          <cell r="O110" t="str">
            <v>გლაზგო</v>
          </cell>
          <cell r="P110" t="str">
            <v>Glasgow</v>
          </cell>
          <cell r="Q110" t="str">
            <v>Γλασκώβη</v>
          </cell>
          <cell r="R110" t="str">
            <v>גלזגו</v>
          </cell>
          <cell r="S110" t="str">
            <v>Glasgow</v>
          </cell>
          <cell r="T110" t="str">
            <v>Glasgow</v>
          </cell>
          <cell r="U110" t="str">
            <v>Glasgow</v>
          </cell>
          <cell r="V110" t="str">
            <v>Glasgow</v>
          </cell>
          <cell r="W110" t="str">
            <v>글래스고</v>
          </cell>
          <cell r="X110" t="str">
            <v>Glazgas</v>
          </cell>
          <cell r="Y110" t="str">
            <v>Глазгов</v>
          </cell>
          <cell r="Z110" t="str">
            <v>Glasgow</v>
          </cell>
          <cell r="AA110" t="str">
            <v>Glasgow</v>
          </cell>
          <cell r="AB110" t="str">
            <v>گلاسکو</v>
          </cell>
          <cell r="AC110" t="str">
            <v>Glasgow</v>
          </cell>
          <cell r="AD110" t="str">
            <v>Glasgow</v>
          </cell>
          <cell r="AE110" t="str">
            <v>Glasgow</v>
          </cell>
          <cell r="AF110" t="str">
            <v>Глазгов</v>
          </cell>
          <cell r="AG110" t="str">
            <v>Glasgow</v>
          </cell>
          <cell r="AH110" t="str">
            <v>Glasgow</v>
          </cell>
          <cell r="AI110" t="str">
            <v>Glasgow</v>
          </cell>
          <cell r="AJ110" t="str">
            <v>Glasgow</v>
          </cell>
          <cell r="AK110" t="str">
            <v>กลาสโกว์</v>
          </cell>
          <cell r="AL110" t="str">
            <v>Glasgow</v>
          </cell>
          <cell r="AM110" t="str">
            <v>Glasgow</v>
          </cell>
          <cell r="AN110" t="str">
            <v>Глазго</v>
          </cell>
          <cell r="AO110" t="str">
            <v>گلاسگو</v>
          </cell>
        </row>
        <row r="111">
          <cell r="A111" t="str">
            <v>Dublin</v>
          </cell>
          <cell r="B111" t="str">
            <v>Dublin</v>
          </cell>
          <cell r="C111" t="str">
            <v>دبلن</v>
          </cell>
          <cell r="D111" t="str">
            <v>Dublin</v>
          </cell>
          <cell r="E111" t="str">
            <v>Dublin</v>
          </cell>
          <cell r="F111" t="str">
            <v>Дъблин</v>
          </cell>
          <cell r="G111" t="str">
            <v>Dublín</v>
          </cell>
          <cell r="H111" t="str">
            <v>都柏林</v>
          </cell>
          <cell r="I111" t="str">
            <v>都柏林</v>
          </cell>
          <cell r="J111" t="str">
            <v>Dablin</v>
          </cell>
          <cell r="K111" t="str">
            <v>Dublin</v>
          </cell>
          <cell r="L111" t="str">
            <v>Dublin</v>
          </cell>
          <cell r="M111" t="str">
            <v>Dublin</v>
          </cell>
          <cell r="N111" t="str">
            <v>Dublin</v>
          </cell>
          <cell r="O111" t="str">
            <v>დუბლინი</v>
          </cell>
          <cell r="P111" t="str">
            <v>Dublin</v>
          </cell>
          <cell r="Q111" t="str">
            <v>Δουβλίνο</v>
          </cell>
          <cell r="R111" t="str">
            <v>דבלין</v>
          </cell>
          <cell r="S111" t="str">
            <v>Dublin</v>
          </cell>
          <cell r="T111" t="str">
            <v>Dublin</v>
          </cell>
          <cell r="U111" t="str">
            <v>Dublin</v>
          </cell>
          <cell r="V111" t="str">
            <v>Dublino</v>
          </cell>
          <cell r="W111" t="str">
            <v>더블린</v>
          </cell>
          <cell r="X111" t="str">
            <v>Dublinas</v>
          </cell>
          <cell r="Y111" t="str">
            <v>Даблин</v>
          </cell>
          <cell r="Z111" t="str">
            <v>Dublin</v>
          </cell>
          <cell r="AA111" t="str">
            <v>Dublin</v>
          </cell>
          <cell r="AB111" t="str">
            <v>دوبلین</v>
          </cell>
          <cell r="AC111" t="str">
            <v>Dublin</v>
          </cell>
          <cell r="AD111" t="str">
            <v>Dublin</v>
          </cell>
          <cell r="AE111" t="str">
            <v>Dublin</v>
          </cell>
          <cell r="AF111" t="str">
            <v>Даблин</v>
          </cell>
          <cell r="AG111" t="str">
            <v>Dublin</v>
          </cell>
          <cell r="AH111" t="str">
            <v>Dublin</v>
          </cell>
          <cell r="AI111" t="str">
            <v>Dublín</v>
          </cell>
          <cell r="AJ111" t="str">
            <v>Dublin</v>
          </cell>
          <cell r="AK111" t="str">
            <v>ดับลิน</v>
          </cell>
          <cell r="AL111" t="str">
            <v>Dublin</v>
          </cell>
          <cell r="AM111" t="str">
            <v>Dublin</v>
          </cell>
          <cell r="AN111" t="str">
            <v>Дублін</v>
          </cell>
          <cell r="AO111" t="str">
            <v>ڈبلن</v>
          </cell>
        </row>
        <row r="112">
          <cell r="A112" t="str">
            <v>Bilbao</v>
          </cell>
          <cell r="B112" t="str">
            <v>Bilbao</v>
          </cell>
          <cell r="C112" t="str">
            <v>بلباو</v>
          </cell>
          <cell r="D112" t="str">
            <v>Bilbao</v>
          </cell>
          <cell r="E112" t="str">
            <v>Bilbao</v>
          </cell>
          <cell r="F112" t="str">
            <v>Билбао</v>
          </cell>
          <cell r="G112" t="str">
            <v>Bilbao</v>
          </cell>
          <cell r="H112" t="str">
            <v>毕尔巴鄂</v>
          </cell>
          <cell r="I112" t="str">
            <v>畢爾巴鄂</v>
          </cell>
          <cell r="J112" t="str">
            <v>Bilbao</v>
          </cell>
          <cell r="K112" t="str">
            <v>Bilbao</v>
          </cell>
          <cell r="L112" t="str">
            <v>Bilbao</v>
          </cell>
          <cell r="M112" t="str">
            <v>Bilbao</v>
          </cell>
          <cell r="N112" t="str">
            <v>Bilbao</v>
          </cell>
          <cell r="O112" t="str">
            <v>ბილბაო</v>
          </cell>
          <cell r="P112" t="str">
            <v>Bilbao</v>
          </cell>
          <cell r="Q112" t="str">
            <v>Μπιλμπάο</v>
          </cell>
          <cell r="R112" t="str">
            <v>בילבאו</v>
          </cell>
          <cell r="S112" t="str">
            <v>Bilbao</v>
          </cell>
          <cell r="T112" t="str">
            <v>Bilbao</v>
          </cell>
          <cell r="U112" t="str">
            <v>Bilbao</v>
          </cell>
          <cell r="V112" t="str">
            <v>Bilbao</v>
          </cell>
          <cell r="W112" t="str">
            <v>빌바오</v>
          </cell>
          <cell r="X112" t="str">
            <v>Bilbao</v>
          </cell>
          <cell r="Y112" t="str">
            <v>Билбао</v>
          </cell>
          <cell r="Z112" t="str">
            <v>Bilbao</v>
          </cell>
          <cell r="AA112" t="str">
            <v>Bilbao</v>
          </cell>
          <cell r="AB112" t="str">
            <v>بیلبائو</v>
          </cell>
          <cell r="AC112" t="str">
            <v>Bilbao</v>
          </cell>
          <cell r="AD112" t="str">
            <v>Bilbao</v>
          </cell>
          <cell r="AE112" t="str">
            <v>Bilbao</v>
          </cell>
          <cell r="AF112" t="str">
            <v>Билбао</v>
          </cell>
          <cell r="AG112" t="str">
            <v>Bilbao</v>
          </cell>
          <cell r="AH112" t="str">
            <v>Bilbao</v>
          </cell>
          <cell r="AI112" t="str">
            <v>Bilbao</v>
          </cell>
          <cell r="AJ112" t="str">
            <v>Bilbao</v>
          </cell>
          <cell r="AK112" t="str">
            <v>บิลเบา</v>
          </cell>
          <cell r="AL112" t="str">
            <v>Bilbao</v>
          </cell>
          <cell r="AM112" t="str">
            <v>Bilbao</v>
          </cell>
          <cell r="AN112" t="str">
            <v>Більбао</v>
          </cell>
          <cell r="AO112" t="str">
            <v>بلباؤ</v>
          </cell>
        </row>
        <row r="113">
          <cell r="A113" t="str">
            <v>Budapest</v>
          </cell>
          <cell r="B113" t="str">
            <v>Budapest</v>
          </cell>
          <cell r="C113" t="str">
            <v>بودابست</v>
          </cell>
          <cell r="D113" t="str">
            <v>Budapest</v>
          </cell>
          <cell r="E113" t="str">
            <v>Budapeşt</v>
          </cell>
          <cell r="F113" t="str">
            <v>Будапеща</v>
          </cell>
          <cell r="G113" t="str">
            <v>Budapest</v>
          </cell>
          <cell r="H113" t="str">
            <v>布达佩斯</v>
          </cell>
          <cell r="I113" t="str">
            <v>布達佩斯</v>
          </cell>
          <cell r="J113" t="str">
            <v>Budimpešta</v>
          </cell>
          <cell r="K113" t="str">
            <v>Budapest</v>
          </cell>
          <cell r="L113" t="str">
            <v>Budapest</v>
          </cell>
          <cell r="M113" t="str">
            <v>Boedapest</v>
          </cell>
          <cell r="N113" t="str">
            <v>Budapest</v>
          </cell>
          <cell r="O113" t="str">
            <v>ბუდაპეშტი</v>
          </cell>
          <cell r="P113" t="str">
            <v>Budapest</v>
          </cell>
          <cell r="Q113" t="str">
            <v>Βουδαπέστη</v>
          </cell>
          <cell r="R113" t="str">
            <v>בודפשט</v>
          </cell>
          <cell r="S113" t="str">
            <v>Budapest</v>
          </cell>
          <cell r="T113" t="str">
            <v>Budapest</v>
          </cell>
          <cell r="U113" t="str">
            <v>Búdapest</v>
          </cell>
          <cell r="V113" t="str">
            <v>Budapest</v>
          </cell>
          <cell r="W113" t="str">
            <v>부다페스트</v>
          </cell>
          <cell r="X113" t="str">
            <v>Budapeštas</v>
          </cell>
          <cell r="Y113" t="str">
            <v>Будимпешта</v>
          </cell>
          <cell r="Z113" t="str">
            <v>Budapest</v>
          </cell>
          <cell r="AA113" t="str">
            <v>Budapest</v>
          </cell>
          <cell r="AB113" t="str">
            <v>بوداپست</v>
          </cell>
          <cell r="AC113" t="str">
            <v>Budapeszt</v>
          </cell>
          <cell r="AD113" t="str">
            <v>Budapeste</v>
          </cell>
          <cell r="AE113" t="str">
            <v>Budapesta</v>
          </cell>
          <cell r="AF113" t="str">
            <v>Будимпешта</v>
          </cell>
          <cell r="AG113" t="str">
            <v>Budapest</v>
          </cell>
          <cell r="AH113" t="str">
            <v>Budimpešta</v>
          </cell>
          <cell r="AI113" t="str">
            <v>Budapest</v>
          </cell>
          <cell r="AJ113" t="str">
            <v>Budapest</v>
          </cell>
          <cell r="AK113" t="str">
            <v>บูดาเปสต์</v>
          </cell>
          <cell r="AL113" t="str">
            <v>Budapeşte</v>
          </cell>
          <cell r="AM113" t="str">
            <v>Budapest</v>
          </cell>
          <cell r="AN113" t="str">
            <v>Будапешт</v>
          </cell>
          <cell r="AO113" t="str">
            <v>بوڈاپیسٹ</v>
          </cell>
        </row>
        <row r="114">
          <cell r="A114" t="str">
            <v>Munich</v>
          </cell>
          <cell r="B114" t="str">
            <v>Mynih</v>
          </cell>
          <cell r="C114" t="str">
            <v>ميونيخ</v>
          </cell>
          <cell r="D114" t="str">
            <v>Մյունխենի</v>
          </cell>
          <cell r="E114" t="str">
            <v>Munich</v>
          </cell>
          <cell r="F114" t="str">
            <v>Мюнхен</v>
          </cell>
          <cell r="G114" t="str">
            <v>Munic</v>
          </cell>
          <cell r="H114" t="str">
            <v>慕尼黑</v>
          </cell>
          <cell r="I114" t="str">
            <v>慕尼黑</v>
          </cell>
          <cell r="J114" t="str">
            <v>Minhen</v>
          </cell>
          <cell r="K114" t="str">
            <v>Mnichov</v>
          </cell>
          <cell r="L114" t="str">
            <v>München</v>
          </cell>
          <cell r="M114" t="str">
            <v>München</v>
          </cell>
          <cell r="N114" t="str">
            <v>Munich</v>
          </cell>
          <cell r="O114" t="str">
            <v>მიუნხენი</v>
          </cell>
          <cell r="P114" t="str">
            <v>München</v>
          </cell>
          <cell r="Q114" t="str">
            <v>Μόναχο</v>
          </cell>
          <cell r="R114" t="str">
            <v>מינכן</v>
          </cell>
          <cell r="S114" t="str">
            <v>München</v>
          </cell>
          <cell r="T114" t="str">
            <v>Munich</v>
          </cell>
          <cell r="U114" t="str">
            <v>Munich</v>
          </cell>
          <cell r="V114" t="str">
            <v>Monaco</v>
          </cell>
          <cell r="W114" t="str">
            <v>뮌헨</v>
          </cell>
          <cell r="X114" t="str">
            <v>Miunchenas</v>
          </cell>
          <cell r="Y114" t="str">
            <v>Минхен</v>
          </cell>
          <cell r="Z114" t="str">
            <v>Munich</v>
          </cell>
          <cell r="AA114" t="str">
            <v>München</v>
          </cell>
          <cell r="AB114" t="str">
            <v>مونیخ</v>
          </cell>
          <cell r="AC114" t="str">
            <v>Monachium</v>
          </cell>
          <cell r="AD114" t="str">
            <v>Munique</v>
          </cell>
          <cell r="AE114" t="str">
            <v>Munchen</v>
          </cell>
          <cell r="AF114" t="str">
            <v>Минхен</v>
          </cell>
          <cell r="AG114" t="str">
            <v>Mníchov</v>
          </cell>
          <cell r="AH114" t="str">
            <v>München</v>
          </cell>
          <cell r="AI114" t="str">
            <v>Munich</v>
          </cell>
          <cell r="AJ114" t="str">
            <v>Munich</v>
          </cell>
          <cell r="AK114" t="str">
            <v>มิวนิค</v>
          </cell>
          <cell r="AL114" t="str">
            <v>Münih</v>
          </cell>
          <cell r="AM114" t="str">
            <v>Munich</v>
          </cell>
          <cell r="AN114" t="str">
            <v>Мюнхен</v>
          </cell>
          <cell r="AO114" t="str">
            <v>میونخ</v>
          </cell>
        </row>
        <row r="115">
          <cell r="A115" t="str">
            <v>en</v>
          </cell>
          <cell r="B115" t="str">
            <v>sq</v>
          </cell>
          <cell r="C115" t="str">
            <v>ar</v>
          </cell>
          <cell r="D115" t="str">
            <v>hy</v>
          </cell>
          <cell r="E115" t="str">
            <v>az</v>
          </cell>
          <cell r="F115" t="str">
            <v>bg</v>
          </cell>
          <cell r="G115" t="str">
            <v>ca</v>
          </cell>
          <cell r="H115" t="str">
            <v>zh-CN</v>
          </cell>
          <cell r="I115" t="str">
            <v>zh-TW</v>
          </cell>
          <cell r="J115" t="str">
            <v>hr</v>
          </cell>
          <cell r="K115" t="str">
            <v>cs</v>
          </cell>
          <cell r="L115" t="str">
            <v>da</v>
          </cell>
          <cell r="M115" t="str">
            <v>nl</v>
          </cell>
          <cell r="N115" t="str">
            <v>fr</v>
          </cell>
          <cell r="O115" t="str">
            <v>ka</v>
          </cell>
          <cell r="P115" t="str">
            <v>de</v>
          </cell>
          <cell r="Q115" t="str">
            <v>el</v>
          </cell>
          <cell r="R115" t="str">
            <v>iw</v>
          </cell>
          <cell r="S115" t="str">
            <v>hu</v>
          </cell>
          <cell r="T115" t="str">
            <v>id</v>
          </cell>
          <cell r="U115" t="str">
            <v>is</v>
          </cell>
          <cell r="V115" t="str">
            <v>it</v>
          </cell>
          <cell r="W115" t="str">
            <v>ko</v>
          </cell>
          <cell r="X115" t="str">
            <v>lt</v>
          </cell>
          <cell r="Y115" t="str">
            <v>mk</v>
          </cell>
          <cell r="Z115" t="str">
            <v>mt</v>
          </cell>
          <cell r="AA115" t="str">
            <v>no</v>
          </cell>
          <cell r="AB115" t="str">
            <v>fa</v>
          </cell>
          <cell r="AC115" t="str">
            <v>pl</v>
          </cell>
          <cell r="AD115" t="str">
            <v>pt</v>
          </cell>
          <cell r="AE115" t="str">
            <v>ro</v>
          </cell>
          <cell r="AF115" t="str">
            <v>sr</v>
          </cell>
          <cell r="AG115" t="str">
            <v>sk</v>
          </cell>
          <cell r="AH115" t="str">
            <v>sl</v>
          </cell>
          <cell r="AI115" t="str">
            <v>es</v>
          </cell>
          <cell r="AJ115" t="str">
            <v>sv</v>
          </cell>
          <cell r="AK115" t="str">
            <v>th</v>
          </cell>
          <cell r="AL115" t="str">
            <v>tr</v>
          </cell>
          <cell r="AM115" t="str">
            <v>vi</v>
          </cell>
          <cell r="AN115" t="str">
            <v>uk</v>
          </cell>
          <cell r="AO115" t="str">
            <v>ur</v>
          </cell>
        </row>
      </sheetData>
      <sheetData sheetId="1"/>
      <sheetData sheetId="2">
        <row r="13">
          <cell r="G13">
            <v>13</v>
          </cell>
        </row>
        <row r="14">
          <cell r="G14">
            <v>0.54166666666666663</v>
          </cell>
        </row>
        <row r="15">
          <cell r="B15" t="str">
            <v>Duitsland</v>
          </cell>
          <cell r="C15">
            <v>40747</v>
          </cell>
        </row>
        <row r="16">
          <cell r="B16" t="str">
            <v>Portugal</v>
          </cell>
          <cell r="C16">
            <v>38655</v>
          </cell>
        </row>
        <row r="17">
          <cell r="B17" t="str">
            <v>België</v>
          </cell>
          <cell r="C17">
            <v>38123</v>
          </cell>
        </row>
        <row r="18">
          <cell r="B18" t="str">
            <v>Spanje</v>
          </cell>
          <cell r="C18">
            <v>37311</v>
          </cell>
        </row>
        <row r="19">
          <cell r="B19" t="str">
            <v>Frankrijk</v>
          </cell>
          <cell r="C19">
            <v>36617</v>
          </cell>
        </row>
        <row r="20">
          <cell r="B20" t="str">
            <v>Engeland</v>
          </cell>
          <cell r="C20">
            <v>36231</v>
          </cell>
        </row>
        <row r="21">
          <cell r="B21" t="str">
            <v>Zwitserland</v>
          </cell>
          <cell r="C21">
            <v>34986</v>
          </cell>
        </row>
        <row r="22">
          <cell r="B22" t="str">
            <v>Italië</v>
          </cell>
          <cell r="C22">
            <v>34426</v>
          </cell>
        </row>
        <row r="23">
          <cell r="B23" t="str">
            <v>Polen</v>
          </cell>
          <cell r="C23">
            <v>32982</v>
          </cell>
        </row>
        <row r="24">
          <cell r="B24" t="str">
            <v>Kroatië</v>
          </cell>
          <cell r="C24">
            <v>31139</v>
          </cell>
        </row>
        <row r="25">
          <cell r="B25" t="str">
            <v>Nederland</v>
          </cell>
          <cell r="C25">
            <v>29866</v>
          </cell>
        </row>
        <row r="26">
          <cell r="B26" t="str">
            <v>Oostenrijk</v>
          </cell>
          <cell r="C26">
            <v>29418</v>
          </cell>
        </row>
        <row r="27">
          <cell r="B27" t="str">
            <v>Wales</v>
          </cell>
          <cell r="C27">
            <v>29269</v>
          </cell>
        </row>
        <row r="28">
          <cell r="B28" t="str">
            <v>Rusland</v>
          </cell>
          <cell r="C28">
            <v>29258</v>
          </cell>
        </row>
        <row r="29">
          <cell r="B29" t="str">
            <v>Slowakije</v>
          </cell>
          <cell r="C29">
            <v>28555</v>
          </cell>
        </row>
        <row r="30">
          <cell r="B30" t="str">
            <v>Zweden</v>
          </cell>
          <cell r="C30">
            <v>28487</v>
          </cell>
        </row>
        <row r="31">
          <cell r="B31" t="str">
            <v>Oekraïne</v>
          </cell>
          <cell r="C31">
            <v>28286</v>
          </cell>
        </row>
        <row r="32">
          <cell r="B32" t="str">
            <v>Denemarken</v>
          </cell>
          <cell r="C32">
            <v>27052</v>
          </cell>
        </row>
        <row r="33">
          <cell r="B33" t="str">
            <v>Tsjechische Republiek</v>
          </cell>
          <cell r="C33">
            <v>27028</v>
          </cell>
        </row>
        <row r="34">
          <cell r="B34" t="str">
            <v>Turkije</v>
          </cell>
          <cell r="C34">
            <v>26538</v>
          </cell>
        </row>
        <row r="35">
          <cell r="B35" t="str">
            <v>Hongarije</v>
          </cell>
          <cell r="C35">
            <v>26486</v>
          </cell>
        </row>
        <row r="36">
          <cell r="B36" t="str">
            <v>Schotland</v>
          </cell>
          <cell r="C36">
            <v>25662</v>
          </cell>
        </row>
        <row r="37">
          <cell r="B37" t="str">
            <v>Finland</v>
          </cell>
          <cell r="C37">
            <v>20501</v>
          </cell>
        </row>
        <row r="38">
          <cell r="B38" t="str">
            <v>Noord-Macedonië</v>
          </cell>
          <cell r="C38">
            <v>17071</v>
          </cell>
        </row>
      </sheetData>
      <sheetData sheetId="3"/>
      <sheetData sheetId="4">
        <row r="50">
          <cell r="BB50" t="str">
            <v>ABCD</v>
          </cell>
        </row>
        <row r="53">
          <cell r="BD53" t="str">
            <v>ABCD</v>
          </cell>
          <cell r="BE53" t="str">
            <v>3A</v>
          </cell>
          <cell r="BF53" t="str">
            <v>3D</v>
          </cell>
          <cell r="BG53" t="str">
            <v>3B</v>
          </cell>
          <cell r="BH53" t="str">
            <v>3C</v>
          </cell>
        </row>
        <row r="54">
          <cell r="BD54" t="str">
            <v>ABCE</v>
          </cell>
          <cell r="BE54" t="str">
            <v>3A</v>
          </cell>
          <cell r="BF54" t="str">
            <v>3E</v>
          </cell>
          <cell r="BG54" t="str">
            <v>3B</v>
          </cell>
          <cell r="BH54" t="str">
            <v>3C</v>
          </cell>
        </row>
        <row r="55">
          <cell r="BD55" t="str">
            <v>ABCF</v>
          </cell>
          <cell r="BE55" t="str">
            <v>3A</v>
          </cell>
          <cell r="BF55" t="str">
            <v>3F</v>
          </cell>
          <cell r="BG55" t="str">
            <v>3B</v>
          </cell>
          <cell r="BH55" t="str">
            <v>3C</v>
          </cell>
        </row>
        <row r="56">
          <cell r="BD56" t="str">
            <v>ABDE</v>
          </cell>
          <cell r="BE56" t="str">
            <v>3D</v>
          </cell>
          <cell r="BF56" t="str">
            <v>3E</v>
          </cell>
          <cell r="BG56" t="str">
            <v>3A</v>
          </cell>
          <cell r="BH56" t="str">
            <v>3B</v>
          </cell>
        </row>
        <row r="57">
          <cell r="BD57" t="str">
            <v>ABDF</v>
          </cell>
          <cell r="BE57" t="str">
            <v>3D</v>
          </cell>
          <cell r="BF57" t="str">
            <v>3F</v>
          </cell>
          <cell r="BG57" t="str">
            <v>3A</v>
          </cell>
          <cell r="BH57" t="str">
            <v>3B</v>
          </cell>
        </row>
        <row r="58">
          <cell r="BD58" t="str">
            <v>ABEF</v>
          </cell>
          <cell r="BE58" t="str">
            <v>3E</v>
          </cell>
          <cell r="BF58" t="str">
            <v>3F</v>
          </cell>
          <cell r="BG58" t="str">
            <v>3B</v>
          </cell>
          <cell r="BH58" t="str">
            <v>3A</v>
          </cell>
        </row>
        <row r="59">
          <cell r="BD59" t="str">
            <v>ACDE</v>
          </cell>
          <cell r="BE59" t="str">
            <v>3E</v>
          </cell>
          <cell r="BF59" t="str">
            <v>3D</v>
          </cell>
          <cell r="BG59" t="str">
            <v>3C</v>
          </cell>
          <cell r="BH59" t="str">
            <v>3A</v>
          </cell>
        </row>
        <row r="60">
          <cell r="BD60" t="str">
            <v>ACDF</v>
          </cell>
          <cell r="BE60" t="str">
            <v>3F</v>
          </cell>
          <cell r="BF60" t="str">
            <v>3D</v>
          </cell>
          <cell r="BG60" t="str">
            <v>3C</v>
          </cell>
          <cell r="BH60" t="str">
            <v>3A</v>
          </cell>
        </row>
        <row r="61">
          <cell r="BD61" t="str">
            <v>ACEF</v>
          </cell>
          <cell r="BE61" t="str">
            <v>3E</v>
          </cell>
          <cell r="BF61" t="str">
            <v>3F</v>
          </cell>
          <cell r="BG61" t="str">
            <v>3C</v>
          </cell>
          <cell r="BH61" t="str">
            <v>3A</v>
          </cell>
        </row>
        <row r="62">
          <cell r="BD62" t="str">
            <v>ADEF</v>
          </cell>
          <cell r="BE62" t="str">
            <v>3E</v>
          </cell>
          <cell r="BF62" t="str">
            <v>3F</v>
          </cell>
          <cell r="BG62" t="str">
            <v>3D</v>
          </cell>
          <cell r="BH62" t="str">
            <v>3A</v>
          </cell>
        </row>
        <row r="63">
          <cell r="BD63" t="str">
            <v>BCDE</v>
          </cell>
          <cell r="BE63" t="str">
            <v>3E</v>
          </cell>
          <cell r="BF63" t="str">
            <v>3D</v>
          </cell>
          <cell r="BG63" t="str">
            <v>3B</v>
          </cell>
          <cell r="BH63" t="str">
            <v>3C</v>
          </cell>
        </row>
        <row r="64">
          <cell r="BD64" t="str">
            <v>BCDF</v>
          </cell>
          <cell r="BE64" t="str">
            <v>3F</v>
          </cell>
          <cell r="BF64" t="str">
            <v>3D</v>
          </cell>
          <cell r="BG64" t="str">
            <v>3C</v>
          </cell>
          <cell r="BH64" t="str">
            <v>3B</v>
          </cell>
        </row>
        <row r="65">
          <cell r="BD65" t="str">
            <v>BCEF</v>
          </cell>
          <cell r="BE65" t="str">
            <v>3F</v>
          </cell>
          <cell r="BF65" t="str">
            <v>3E</v>
          </cell>
          <cell r="BG65" t="str">
            <v>3C</v>
          </cell>
          <cell r="BH65" t="str">
            <v>3B</v>
          </cell>
        </row>
        <row r="66">
          <cell r="BD66" t="str">
            <v>BDEF</v>
          </cell>
          <cell r="BE66" t="str">
            <v>3F</v>
          </cell>
          <cell r="BF66" t="str">
            <v>3E</v>
          </cell>
          <cell r="BG66" t="str">
            <v>3D</v>
          </cell>
          <cell r="BH66" t="str">
            <v>3B</v>
          </cell>
        </row>
        <row r="67">
          <cell r="BD67" t="str">
            <v>CDEF</v>
          </cell>
          <cell r="BE67" t="str">
            <v>3F</v>
          </cell>
          <cell r="BF67" t="str">
            <v>3E</v>
          </cell>
          <cell r="BG67" t="str">
            <v>3D</v>
          </cell>
          <cell r="BH67" t="str">
            <v>3C</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5"/>
  <sheetViews>
    <sheetView zoomScaleNormal="100" workbookViewId="0">
      <pane xSplit="1" ySplit="1" topLeftCell="B2" activePane="bottomRight" state="frozen"/>
      <selection pane="topRight" activeCell="F1" sqref="F1"/>
      <selection pane="bottomLeft" activeCell="A89" sqref="A89"/>
      <selection pane="bottomRight" activeCell="E50" sqref="E50"/>
    </sheetView>
  </sheetViews>
  <sheetFormatPr baseColWidth="10" defaultColWidth="8.3984375" defaultRowHeight="14"/>
  <sheetData>
    <row r="1" spans="1:4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2552</v>
      </c>
      <c r="B2" t="s">
        <v>2553</v>
      </c>
      <c r="C2" t="s">
        <v>2554</v>
      </c>
      <c r="D2" t="s">
        <v>2555</v>
      </c>
      <c r="E2" t="s">
        <v>2556</v>
      </c>
      <c r="F2" t="s">
        <v>2557</v>
      </c>
      <c r="G2" t="s">
        <v>2558</v>
      </c>
      <c r="H2" t="s">
        <v>2559</v>
      </c>
      <c r="I2" t="s">
        <v>2560</v>
      </c>
      <c r="J2" t="s">
        <v>2561</v>
      </c>
      <c r="K2" t="s">
        <v>2562</v>
      </c>
      <c r="L2" t="s">
        <v>2552</v>
      </c>
      <c r="M2" t="s">
        <v>2563</v>
      </c>
      <c r="N2" t="s">
        <v>2564</v>
      </c>
      <c r="O2" t="s">
        <v>2565</v>
      </c>
      <c r="P2" t="s">
        <v>2566</v>
      </c>
      <c r="Q2" t="s">
        <v>2567</v>
      </c>
      <c r="R2" t="s">
        <v>2568</v>
      </c>
      <c r="S2" t="s">
        <v>2569</v>
      </c>
      <c r="T2" t="s">
        <v>2570</v>
      </c>
      <c r="U2" t="s">
        <v>2571</v>
      </c>
      <c r="V2" t="s">
        <v>2552</v>
      </c>
      <c r="W2" t="s">
        <v>2572</v>
      </c>
      <c r="X2" t="s">
        <v>2573</v>
      </c>
      <c r="Y2" t="s">
        <v>2574</v>
      </c>
      <c r="Z2" t="s">
        <v>2575</v>
      </c>
      <c r="AA2" t="s">
        <v>2576</v>
      </c>
      <c r="AB2" t="s">
        <v>2577</v>
      </c>
      <c r="AC2" t="s">
        <v>2578</v>
      </c>
      <c r="AD2" t="s">
        <v>2579</v>
      </c>
      <c r="AE2" t="s">
        <v>2580</v>
      </c>
      <c r="AF2" t="s">
        <v>2581</v>
      </c>
      <c r="AG2" t="s">
        <v>2582</v>
      </c>
      <c r="AH2" t="s">
        <v>2583</v>
      </c>
      <c r="AI2" t="s">
        <v>2584</v>
      </c>
      <c r="AJ2" t="s">
        <v>2585</v>
      </c>
      <c r="AK2" t="s">
        <v>2586</v>
      </c>
      <c r="AL2" t="s">
        <v>2587</v>
      </c>
      <c r="AM2" t="s">
        <v>2588</v>
      </c>
      <c r="AN2" s="1" t="s">
        <v>2589</v>
      </c>
      <c r="AO2" t="s">
        <v>2590</v>
      </c>
    </row>
    <row r="3" spans="1:41">
      <c r="A3" t="s">
        <v>41</v>
      </c>
      <c r="B3" t="s">
        <v>42</v>
      </c>
      <c r="C3" t="s">
        <v>43</v>
      </c>
      <c r="D3" t="s">
        <v>44</v>
      </c>
      <c r="E3" t="s">
        <v>45</v>
      </c>
      <c r="F3" t="s">
        <v>46</v>
      </c>
      <c r="G3" t="s">
        <v>47</v>
      </c>
      <c r="H3" s="2" t="s">
        <v>48</v>
      </c>
      <c r="I3" s="2" t="s">
        <v>49</v>
      </c>
      <c r="J3" t="s">
        <v>50</v>
      </c>
      <c r="K3" t="s">
        <v>51</v>
      </c>
      <c r="L3" t="s">
        <v>52</v>
      </c>
      <c r="M3" t="s">
        <v>53</v>
      </c>
      <c r="N3" t="s">
        <v>54</v>
      </c>
      <c r="O3" t="s">
        <v>55</v>
      </c>
      <c r="P3" t="s">
        <v>56</v>
      </c>
      <c r="Q3" t="s">
        <v>57</v>
      </c>
      <c r="R3" t="s">
        <v>58</v>
      </c>
      <c r="S3" t="s">
        <v>59</v>
      </c>
      <c r="T3" t="s">
        <v>60</v>
      </c>
      <c r="U3" t="s">
        <v>61</v>
      </c>
      <c r="V3" t="s">
        <v>62</v>
      </c>
      <c r="W3" s="2" t="s">
        <v>63</v>
      </c>
      <c r="X3" t="s">
        <v>64</v>
      </c>
      <c r="Y3" t="s">
        <v>65</v>
      </c>
      <c r="Z3" t="s">
        <v>66</v>
      </c>
      <c r="AA3" t="s">
        <v>67</v>
      </c>
      <c r="AB3" t="s">
        <v>68</v>
      </c>
      <c r="AC3" t="s">
        <v>69</v>
      </c>
      <c r="AD3" t="s">
        <v>70</v>
      </c>
      <c r="AE3" t="s">
        <v>71</v>
      </c>
      <c r="AF3" t="s">
        <v>72</v>
      </c>
      <c r="AG3" t="s">
        <v>73</v>
      </c>
      <c r="AH3" t="s">
        <v>74</v>
      </c>
      <c r="AI3" t="s">
        <v>70</v>
      </c>
      <c r="AJ3" t="s">
        <v>75</v>
      </c>
      <c r="AK3" t="s">
        <v>76</v>
      </c>
      <c r="AL3" t="s">
        <v>77</v>
      </c>
      <c r="AM3" t="s">
        <v>78</v>
      </c>
      <c r="AN3" t="s">
        <v>79</v>
      </c>
      <c r="AO3" t="s">
        <v>80</v>
      </c>
    </row>
    <row r="4" spans="1:41">
      <c r="A4" t="s">
        <v>81</v>
      </c>
      <c r="B4" t="s">
        <v>82</v>
      </c>
      <c r="C4" t="s">
        <v>83</v>
      </c>
      <c r="D4" t="s">
        <v>84</v>
      </c>
      <c r="E4" t="s">
        <v>85</v>
      </c>
      <c r="F4" t="s">
        <v>86</v>
      </c>
      <c r="G4" t="s">
        <v>87</v>
      </c>
      <c r="H4" t="s">
        <v>88</v>
      </c>
      <c r="I4" s="2"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row>
    <row r="5" spans="1:41">
      <c r="A5" t="s">
        <v>122</v>
      </c>
      <c r="B5" t="s">
        <v>123</v>
      </c>
      <c r="C5" t="s">
        <v>124</v>
      </c>
      <c r="D5" t="s">
        <v>125</v>
      </c>
      <c r="E5" t="s">
        <v>126</v>
      </c>
      <c r="F5" t="s">
        <v>127</v>
      </c>
      <c r="G5" t="s">
        <v>128</v>
      </c>
      <c r="H5" t="s">
        <v>129</v>
      </c>
      <c r="I5" s="2" t="s">
        <v>130</v>
      </c>
      <c r="J5" t="s">
        <v>131</v>
      </c>
      <c r="K5" t="s">
        <v>132</v>
      </c>
      <c r="L5" t="s">
        <v>133</v>
      </c>
      <c r="M5" t="s">
        <v>134</v>
      </c>
      <c r="N5" t="s">
        <v>135</v>
      </c>
      <c r="O5" t="s">
        <v>136</v>
      </c>
      <c r="P5" t="s">
        <v>137</v>
      </c>
      <c r="Q5" t="s">
        <v>138</v>
      </c>
      <c r="R5" t="s">
        <v>139</v>
      </c>
      <c r="S5" t="s">
        <v>140</v>
      </c>
      <c r="T5" t="s">
        <v>141</v>
      </c>
      <c r="U5" t="s">
        <v>142</v>
      </c>
      <c r="V5" t="s">
        <v>143</v>
      </c>
      <c r="W5" t="s">
        <v>144</v>
      </c>
      <c r="X5" t="s">
        <v>145</v>
      </c>
      <c r="Y5" t="s">
        <v>146</v>
      </c>
      <c r="Z5" t="s">
        <v>147</v>
      </c>
      <c r="AA5" t="s">
        <v>133</v>
      </c>
      <c r="AB5" t="s">
        <v>148</v>
      </c>
      <c r="AC5" t="s">
        <v>149</v>
      </c>
      <c r="AD5" t="s">
        <v>150</v>
      </c>
      <c r="AE5" t="s">
        <v>151</v>
      </c>
      <c r="AF5" t="s">
        <v>131</v>
      </c>
      <c r="AG5" t="s">
        <v>152</v>
      </c>
      <c r="AH5" t="s">
        <v>153</v>
      </c>
      <c r="AI5" t="s">
        <v>154</v>
      </c>
      <c r="AJ5" t="s">
        <v>155</v>
      </c>
      <c r="AK5" t="s">
        <v>156</v>
      </c>
      <c r="AL5" t="s">
        <v>157</v>
      </c>
      <c r="AM5" t="s">
        <v>158</v>
      </c>
      <c r="AN5" t="s">
        <v>159</v>
      </c>
      <c r="AO5" t="s">
        <v>160</v>
      </c>
    </row>
    <row r="6" spans="1:41">
      <c r="A6" t="s">
        <v>161</v>
      </c>
      <c r="B6" t="s">
        <v>162</v>
      </c>
      <c r="C6" t="s">
        <v>163</v>
      </c>
      <c r="D6" t="s">
        <v>164</v>
      </c>
      <c r="E6" t="s">
        <v>165</v>
      </c>
      <c r="F6" t="s">
        <v>166</v>
      </c>
      <c r="G6" t="s">
        <v>167</v>
      </c>
      <c r="H6" s="2" t="s">
        <v>168</v>
      </c>
      <c r="I6" s="2" t="s">
        <v>169</v>
      </c>
      <c r="J6" t="s">
        <v>170</v>
      </c>
      <c r="K6" t="s">
        <v>171</v>
      </c>
      <c r="L6" t="s">
        <v>172</v>
      </c>
      <c r="M6" t="s">
        <v>173</v>
      </c>
      <c r="N6" t="s">
        <v>174</v>
      </c>
      <c r="O6" t="s">
        <v>175</v>
      </c>
      <c r="P6" t="s">
        <v>176</v>
      </c>
      <c r="Q6" t="s">
        <v>177</v>
      </c>
      <c r="R6" t="s">
        <v>178</v>
      </c>
      <c r="S6" t="s">
        <v>179</v>
      </c>
      <c r="T6" t="s">
        <v>180</v>
      </c>
      <c r="U6" t="s">
        <v>181</v>
      </c>
      <c r="V6" t="s">
        <v>182</v>
      </c>
      <c r="W6" s="2" t="s">
        <v>183</v>
      </c>
      <c r="X6" t="s">
        <v>184</v>
      </c>
      <c r="Y6" t="s">
        <v>185</v>
      </c>
      <c r="Z6" t="s">
        <v>186</v>
      </c>
      <c r="AA6" t="s">
        <v>172</v>
      </c>
      <c r="AB6" t="s">
        <v>187</v>
      </c>
      <c r="AC6" t="s">
        <v>188</v>
      </c>
      <c r="AD6" t="s">
        <v>189</v>
      </c>
      <c r="AE6" t="s">
        <v>172</v>
      </c>
      <c r="AF6" t="s">
        <v>170</v>
      </c>
      <c r="AG6" t="s">
        <v>171</v>
      </c>
      <c r="AH6" t="s">
        <v>190</v>
      </c>
      <c r="AI6" t="s">
        <v>191</v>
      </c>
      <c r="AJ6" t="s">
        <v>192</v>
      </c>
      <c r="AK6" t="s">
        <v>193</v>
      </c>
      <c r="AL6" t="s">
        <v>194</v>
      </c>
      <c r="AM6" t="s">
        <v>195</v>
      </c>
      <c r="AN6" t="s">
        <v>196</v>
      </c>
      <c r="AO6" t="s">
        <v>197</v>
      </c>
    </row>
    <row r="7" spans="1:41">
      <c r="A7" t="s">
        <v>198</v>
      </c>
      <c r="B7" t="s">
        <v>199</v>
      </c>
      <c r="C7" t="s">
        <v>200</v>
      </c>
      <c r="D7" t="s">
        <v>201</v>
      </c>
      <c r="E7" t="s">
        <v>202</v>
      </c>
      <c r="F7" t="s">
        <v>203</v>
      </c>
      <c r="G7" t="s">
        <v>204</v>
      </c>
      <c r="H7" s="2" t="s">
        <v>205</v>
      </c>
      <c r="I7" s="2" t="s">
        <v>206</v>
      </c>
      <c r="J7" t="s">
        <v>207</v>
      </c>
      <c r="K7" t="s">
        <v>208</v>
      </c>
      <c r="L7" t="s">
        <v>209</v>
      </c>
      <c r="M7" t="s">
        <v>210</v>
      </c>
      <c r="N7" t="s">
        <v>211</v>
      </c>
      <c r="O7" t="s">
        <v>212</v>
      </c>
      <c r="P7" t="s">
        <v>213</v>
      </c>
      <c r="Q7" t="s">
        <v>214</v>
      </c>
      <c r="R7" t="s">
        <v>215</v>
      </c>
      <c r="S7" t="s">
        <v>216</v>
      </c>
      <c r="T7" t="s">
        <v>217</v>
      </c>
      <c r="U7" t="s">
        <v>218</v>
      </c>
      <c r="V7" t="s">
        <v>219</v>
      </c>
      <c r="W7" t="s">
        <v>220</v>
      </c>
      <c r="X7" t="s">
        <v>221</v>
      </c>
      <c r="Y7" t="s">
        <v>222</v>
      </c>
      <c r="Z7" t="s">
        <v>223</v>
      </c>
      <c r="AA7" t="s">
        <v>224</v>
      </c>
      <c r="AB7" t="s">
        <v>225</v>
      </c>
      <c r="AC7" t="s">
        <v>226</v>
      </c>
      <c r="AD7" t="s">
        <v>227</v>
      </c>
      <c r="AE7" t="s">
        <v>228</v>
      </c>
      <c r="AF7" t="s">
        <v>207</v>
      </c>
      <c r="AG7" t="s">
        <v>229</v>
      </c>
      <c r="AH7" t="s">
        <v>230</v>
      </c>
      <c r="AI7" t="s">
        <v>231</v>
      </c>
      <c r="AJ7" t="s">
        <v>232</v>
      </c>
      <c r="AK7" t="s">
        <v>233</v>
      </c>
      <c r="AL7" t="s">
        <v>234</v>
      </c>
      <c r="AM7" t="s">
        <v>235</v>
      </c>
      <c r="AN7" t="s">
        <v>236</v>
      </c>
      <c r="AO7" t="s">
        <v>237</v>
      </c>
    </row>
    <row r="8" spans="1:41">
      <c r="A8" t="s">
        <v>238</v>
      </c>
      <c r="B8" t="s">
        <v>239</v>
      </c>
      <c r="C8" t="s">
        <v>240</v>
      </c>
      <c r="D8" t="s">
        <v>241</v>
      </c>
      <c r="E8" t="s">
        <v>238</v>
      </c>
      <c r="F8" t="s">
        <v>242</v>
      </c>
      <c r="G8" t="s">
        <v>238</v>
      </c>
      <c r="H8" s="2" t="s">
        <v>243</v>
      </c>
      <c r="I8" s="2" t="s">
        <v>244</v>
      </c>
      <c r="J8" t="s">
        <v>245</v>
      </c>
      <c r="K8" t="s">
        <v>246</v>
      </c>
      <c r="L8" t="s">
        <v>245</v>
      </c>
      <c r="M8" t="s">
        <v>245</v>
      </c>
      <c r="N8" t="s">
        <v>245</v>
      </c>
      <c r="O8" t="s">
        <v>247</v>
      </c>
      <c r="P8" t="s">
        <v>245</v>
      </c>
      <c r="Q8" t="s">
        <v>248</v>
      </c>
      <c r="R8" t="s">
        <v>249</v>
      </c>
      <c r="S8" t="s">
        <v>250</v>
      </c>
      <c r="T8" t="s">
        <v>238</v>
      </c>
      <c r="U8" t="s">
        <v>251</v>
      </c>
      <c r="V8" t="s">
        <v>245</v>
      </c>
      <c r="W8" s="2" t="s">
        <v>252</v>
      </c>
      <c r="X8" t="s">
        <v>253</v>
      </c>
      <c r="Y8" t="s">
        <v>254</v>
      </c>
      <c r="Z8" t="s">
        <v>255</v>
      </c>
      <c r="AA8" t="s">
        <v>245</v>
      </c>
      <c r="AB8" t="s">
        <v>256</v>
      </c>
      <c r="AC8" t="s">
        <v>257</v>
      </c>
      <c r="AD8" t="s">
        <v>238</v>
      </c>
      <c r="AE8" t="s">
        <v>258</v>
      </c>
      <c r="AF8" t="s">
        <v>245</v>
      </c>
      <c r="AG8" t="s">
        <v>246</v>
      </c>
      <c r="AH8" t="s">
        <v>245</v>
      </c>
      <c r="AI8" t="s">
        <v>238</v>
      </c>
      <c r="AJ8" t="s">
        <v>238</v>
      </c>
      <c r="AK8" t="s">
        <v>259</v>
      </c>
      <c r="AL8" t="s">
        <v>238</v>
      </c>
      <c r="AM8" t="s">
        <v>260</v>
      </c>
      <c r="AN8" t="s">
        <v>261</v>
      </c>
      <c r="AO8" t="s">
        <v>262</v>
      </c>
    </row>
    <row r="9" spans="1:41">
      <c r="A9" t="s">
        <v>263</v>
      </c>
      <c r="B9" t="s">
        <v>264</v>
      </c>
      <c r="C9" t="s">
        <v>265</v>
      </c>
      <c r="D9" t="s">
        <v>266</v>
      </c>
      <c r="E9" t="s">
        <v>267</v>
      </c>
      <c r="F9" t="s">
        <v>268</v>
      </c>
      <c r="G9" t="s">
        <v>269</v>
      </c>
      <c r="H9" s="2" t="s">
        <v>270</v>
      </c>
      <c r="I9" s="2" t="s">
        <v>271</v>
      </c>
      <c r="J9" t="s">
        <v>272</v>
      </c>
      <c r="K9" t="s">
        <v>273</v>
      </c>
      <c r="L9" t="s">
        <v>274</v>
      </c>
      <c r="M9" t="s">
        <v>275</v>
      </c>
      <c r="N9" t="s">
        <v>276</v>
      </c>
      <c r="O9" t="s">
        <v>277</v>
      </c>
      <c r="P9" t="s">
        <v>274</v>
      </c>
      <c r="Q9" t="s">
        <v>278</v>
      </c>
      <c r="R9" t="s">
        <v>279</v>
      </c>
      <c r="S9" t="s">
        <v>280</v>
      </c>
      <c r="T9" t="s">
        <v>281</v>
      </c>
      <c r="U9" t="s">
        <v>282</v>
      </c>
      <c r="V9" t="s">
        <v>283</v>
      </c>
      <c r="W9" s="2" t="s">
        <v>284</v>
      </c>
      <c r="X9" t="s">
        <v>285</v>
      </c>
      <c r="Y9" t="s">
        <v>268</v>
      </c>
      <c r="Z9" t="s">
        <v>286</v>
      </c>
      <c r="AA9" t="s">
        <v>274</v>
      </c>
      <c r="AB9" t="s">
        <v>287</v>
      </c>
      <c r="AC9" t="s">
        <v>272</v>
      </c>
      <c r="AD9" t="s">
        <v>288</v>
      </c>
      <c r="AE9" t="s">
        <v>272</v>
      </c>
      <c r="AF9" t="s">
        <v>272</v>
      </c>
      <c r="AG9" t="s">
        <v>273</v>
      </c>
      <c r="AH9" t="s">
        <v>273</v>
      </c>
      <c r="AI9" t="s">
        <v>288</v>
      </c>
      <c r="AJ9" t="s">
        <v>286</v>
      </c>
      <c r="AK9" t="s">
        <v>289</v>
      </c>
      <c r="AL9" t="s">
        <v>269</v>
      </c>
      <c r="AM9" t="s">
        <v>290</v>
      </c>
      <c r="AN9" t="s">
        <v>268</v>
      </c>
      <c r="AO9" t="s">
        <v>80</v>
      </c>
    </row>
    <row r="10" spans="1:41">
      <c r="A10" t="s">
        <v>291</v>
      </c>
      <c r="B10" t="s">
        <v>292</v>
      </c>
      <c r="C10" t="s">
        <v>293</v>
      </c>
      <c r="D10" t="s">
        <v>294</v>
      </c>
      <c r="E10" t="s">
        <v>295</v>
      </c>
      <c r="F10" t="s">
        <v>296</v>
      </c>
      <c r="G10" t="s">
        <v>297</v>
      </c>
      <c r="H10" s="2" t="s">
        <v>298</v>
      </c>
      <c r="I10" s="2" t="s">
        <v>299</v>
      </c>
      <c r="J10" t="s">
        <v>291</v>
      </c>
      <c r="K10" t="s">
        <v>300</v>
      </c>
      <c r="L10" t="s">
        <v>301</v>
      </c>
      <c r="M10" t="s">
        <v>302</v>
      </c>
      <c r="N10" t="s">
        <v>297</v>
      </c>
      <c r="O10" t="s">
        <v>303</v>
      </c>
      <c r="P10" t="s">
        <v>301</v>
      </c>
      <c r="Q10" t="s">
        <v>304</v>
      </c>
      <c r="R10" t="s">
        <v>305</v>
      </c>
      <c r="S10" t="s">
        <v>306</v>
      </c>
      <c r="T10" t="s">
        <v>307</v>
      </c>
      <c r="U10" t="s">
        <v>292</v>
      </c>
      <c r="V10" t="s">
        <v>308</v>
      </c>
      <c r="W10" s="2" t="s">
        <v>309</v>
      </c>
      <c r="X10" t="s">
        <v>310</v>
      </c>
      <c r="Y10" t="s">
        <v>311</v>
      </c>
      <c r="Z10" t="s">
        <v>292</v>
      </c>
      <c r="AA10" t="s">
        <v>312</v>
      </c>
      <c r="AB10" t="s">
        <v>313</v>
      </c>
      <c r="AC10" t="s">
        <v>306</v>
      </c>
      <c r="AD10" t="s">
        <v>297</v>
      </c>
      <c r="AE10" t="s">
        <v>297</v>
      </c>
      <c r="AF10" t="s">
        <v>314</v>
      </c>
      <c r="AG10" t="s">
        <v>300</v>
      </c>
      <c r="AH10" t="s">
        <v>291</v>
      </c>
      <c r="AI10" t="s">
        <v>297</v>
      </c>
      <c r="AJ10" t="s">
        <v>315</v>
      </c>
      <c r="AK10" t="s">
        <v>316</v>
      </c>
      <c r="AL10" t="s">
        <v>295</v>
      </c>
      <c r="AM10" t="s">
        <v>317</v>
      </c>
      <c r="AN10" t="s">
        <v>318</v>
      </c>
      <c r="AO10" t="s">
        <v>319</v>
      </c>
    </row>
    <row r="11" spans="1:41">
      <c r="A11" t="s">
        <v>320</v>
      </c>
      <c r="B11" t="s">
        <v>321</v>
      </c>
      <c r="C11" t="s">
        <v>322</v>
      </c>
      <c r="D11" t="s">
        <v>323</v>
      </c>
      <c r="E11" t="s">
        <v>324</v>
      </c>
      <c r="F11" t="s">
        <v>325</v>
      </c>
      <c r="G11" t="s">
        <v>308</v>
      </c>
      <c r="H11" s="2" t="s">
        <v>326</v>
      </c>
      <c r="I11" s="2" t="s">
        <v>327</v>
      </c>
      <c r="J11" t="s">
        <v>320</v>
      </c>
      <c r="K11" t="s">
        <v>328</v>
      </c>
      <c r="L11" t="s">
        <v>328</v>
      </c>
      <c r="M11" t="s">
        <v>320</v>
      </c>
      <c r="N11" t="s">
        <v>328</v>
      </c>
      <c r="O11" t="s">
        <v>329</v>
      </c>
      <c r="P11" t="s">
        <v>312</v>
      </c>
      <c r="Q11" t="s">
        <v>330</v>
      </c>
      <c r="R11" t="s">
        <v>331</v>
      </c>
      <c r="S11" t="s">
        <v>332</v>
      </c>
      <c r="T11" t="s">
        <v>333</v>
      </c>
      <c r="U11" t="s">
        <v>334</v>
      </c>
      <c r="V11" t="s">
        <v>328</v>
      </c>
      <c r="W11" s="2" t="s">
        <v>335</v>
      </c>
      <c r="X11" t="s">
        <v>292</v>
      </c>
      <c r="Y11" t="s">
        <v>325</v>
      </c>
      <c r="Z11" t="s">
        <v>336</v>
      </c>
      <c r="AA11" t="s">
        <v>328</v>
      </c>
      <c r="AB11" t="s">
        <v>337</v>
      </c>
      <c r="AC11" t="s">
        <v>300</v>
      </c>
      <c r="AD11" t="s">
        <v>328</v>
      </c>
      <c r="AE11" t="s">
        <v>328</v>
      </c>
      <c r="AF11" t="s">
        <v>338</v>
      </c>
      <c r="AG11" t="s">
        <v>328</v>
      </c>
      <c r="AH11" t="s">
        <v>320</v>
      </c>
      <c r="AI11" t="s">
        <v>308</v>
      </c>
      <c r="AJ11" t="s">
        <v>328</v>
      </c>
      <c r="AK11" t="s">
        <v>339</v>
      </c>
      <c r="AL11" t="s">
        <v>308</v>
      </c>
      <c r="AM11" t="s">
        <v>340</v>
      </c>
      <c r="AN11" t="s">
        <v>341</v>
      </c>
      <c r="AO11" t="s">
        <v>342</v>
      </c>
    </row>
    <row r="12" spans="1:41">
      <c r="A12" t="s">
        <v>343</v>
      </c>
      <c r="B12" t="s">
        <v>344</v>
      </c>
      <c r="C12" t="s">
        <v>345</v>
      </c>
      <c r="D12" t="s">
        <v>346</v>
      </c>
      <c r="E12" t="s">
        <v>347</v>
      </c>
      <c r="F12" t="s">
        <v>348</v>
      </c>
      <c r="G12" t="s">
        <v>349</v>
      </c>
      <c r="H12" s="2" t="s">
        <v>350</v>
      </c>
      <c r="I12" s="2" t="s">
        <v>351</v>
      </c>
      <c r="J12" t="s">
        <v>343</v>
      </c>
      <c r="K12" t="s">
        <v>336</v>
      </c>
      <c r="L12" t="s">
        <v>352</v>
      </c>
      <c r="M12" t="s">
        <v>308</v>
      </c>
      <c r="N12" t="s">
        <v>353</v>
      </c>
      <c r="O12" t="s">
        <v>354</v>
      </c>
      <c r="P12" t="s">
        <v>343</v>
      </c>
      <c r="Q12" t="s">
        <v>355</v>
      </c>
      <c r="R12" t="s">
        <v>356</v>
      </c>
      <c r="S12" t="s">
        <v>357</v>
      </c>
      <c r="T12" t="s">
        <v>358</v>
      </c>
      <c r="U12" t="s">
        <v>359</v>
      </c>
      <c r="V12" t="s">
        <v>338</v>
      </c>
      <c r="W12" s="2" t="s">
        <v>360</v>
      </c>
      <c r="X12" t="s">
        <v>361</v>
      </c>
      <c r="Y12" t="s">
        <v>362</v>
      </c>
      <c r="Z12" t="s">
        <v>363</v>
      </c>
      <c r="AA12" t="s">
        <v>340</v>
      </c>
      <c r="AB12" t="s">
        <v>364</v>
      </c>
      <c r="AC12" t="s">
        <v>336</v>
      </c>
      <c r="AD12" t="s">
        <v>349</v>
      </c>
      <c r="AE12" t="s">
        <v>349</v>
      </c>
      <c r="AF12" t="s">
        <v>365</v>
      </c>
      <c r="AG12" t="s">
        <v>336</v>
      </c>
      <c r="AH12" t="s">
        <v>343</v>
      </c>
      <c r="AI12" t="s">
        <v>343</v>
      </c>
      <c r="AJ12" t="s">
        <v>295</v>
      </c>
      <c r="AK12" t="s">
        <v>366</v>
      </c>
      <c r="AL12" t="s">
        <v>367</v>
      </c>
      <c r="AM12" t="s">
        <v>347</v>
      </c>
      <c r="AN12" t="s">
        <v>362</v>
      </c>
      <c r="AO12" t="s">
        <v>368</v>
      </c>
    </row>
    <row r="13" spans="1:41">
      <c r="A13" t="s">
        <v>292</v>
      </c>
      <c r="B13" t="s">
        <v>347</v>
      </c>
      <c r="C13" t="s">
        <v>369</v>
      </c>
      <c r="D13" t="s">
        <v>370</v>
      </c>
      <c r="E13" t="s">
        <v>306</v>
      </c>
      <c r="F13" t="s">
        <v>371</v>
      </c>
      <c r="G13" t="s">
        <v>338</v>
      </c>
      <c r="H13" s="2" t="s">
        <v>372</v>
      </c>
      <c r="I13" s="2" t="s">
        <v>373</v>
      </c>
      <c r="J13" t="s">
        <v>292</v>
      </c>
      <c r="K13" t="s">
        <v>338</v>
      </c>
      <c r="L13" t="s">
        <v>340</v>
      </c>
      <c r="M13" t="s">
        <v>328</v>
      </c>
      <c r="N13" t="s">
        <v>357</v>
      </c>
      <c r="O13" t="s">
        <v>374</v>
      </c>
      <c r="P13" t="s">
        <v>353</v>
      </c>
      <c r="Q13" t="s">
        <v>375</v>
      </c>
      <c r="R13" t="s">
        <v>376</v>
      </c>
      <c r="S13" t="s">
        <v>328</v>
      </c>
      <c r="T13" t="s">
        <v>377</v>
      </c>
      <c r="U13" t="s">
        <v>340</v>
      </c>
      <c r="V13" t="s">
        <v>312</v>
      </c>
      <c r="W13" s="2" t="s">
        <v>378</v>
      </c>
      <c r="X13" t="s">
        <v>338</v>
      </c>
      <c r="Y13" t="s">
        <v>379</v>
      </c>
      <c r="Z13" t="s">
        <v>340</v>
      </c>
      <c r="AA13" t="s">
        <v>334</v>
      </c>
      <c r="AB13" t="s">
        <v>380</v>
      </c>
      <c r="AC13" t="s">
        <v>338</v>
      </c>
      <c r="AD13" t="s">
        <v>357</v>
      </c>
      <c r="AE13" t="s">
        <v>363</v>
      </c>
      <c r="AF13" t="s">
        <v>363</v>
      </c>
      <c r="AG13" t="s">
        <v>338</v>
      </c>
      <c r="AH13" t="s">
        <v>292</v>
      </c>
      <c r="AI13" t="s">
        <v>338</v>
      </c>
      <c r="AJ13" t="s">
        <v>321</v>
      </c>
      <c r="AK13" t="s">
        <v>381</v>
      </c>
      <c r="AL13" t="s">
        <v>306</v>
      </c>
      <c r="AM13" t="s">
        <v>367</v>
      </c>
      <c r="AN13" t="s">
        <v>325</v>
      </c>
      <c r="AO13" t="s">
        <v>382</v>
      </c>
    </row>
    <row r="14" spans="1:41">
      <c r="A14" t="s">
        <v>383</v>
      </c>
      <c r="B14" t="s">
        <v>384</v>
      </c>
      <c r="C14" t="s">
        <v>385</v>
      </c>
      <c r="D14" t="s">
        <v>386</v>
      </c>
      <c r="E14" t="s">
        <v>387</v>
      </c>
      <c r="F14" t="s">
        <v>388</v>
      </c>
      <c r="G14" t="s">
        <v>389</v>
      </c>
      <c r="H14" s="2" t="s">
        <v>390</v>
      </c>
      <c r="I14" s="2" t="s">
        <v>391</v>
      </c>
      <c r="J14" t="s">
        <v>383</v>
      </c>
      <c r="K14" t="s">
        <v>392</v>
      </c>
      <c r="L14" t="s">
        <v>393</v>
      </c>
      <c r="M14" t="s">
        <v>394</v>
      </c>
      <c r="N14" t="s">
        <v>395</v>
      </c>
      <c r="O14" t="s">
        <v>396</v>
      </c>
      <c r="P14" t="s">
        <v>397</v>
      </c>
      <c r="Q14" t="s">
        <v>398</v>
      </c>
      <c r="R14" t="s">
        <v>399</v>
      </c>
      <c r="S14" t="s">
        <v>400</v>
      </c>
      <c r="T14" t="s">
        <v>401</v>
      </c>
      <c r="U14" t="s">
        <v>402</v>
      </c>
      <c r="V14" t="s">
        <v>403</v>
      </c>
      <c r="W14" s="2" t="s">
        <v>404</v>
      </c>
      <c r="X14" t="s">
        <v>405</v>
      </c>
      <c r="Y14" t="s">
        <v>406</v>
      </c>
      <c r="Z14" t="s">
        <v>407</v>
      </c>
      <c r="AA14" t="s">
        <v>408</v>
      </c>
      <c r="AB14" t="s">
        <v>409</v>
      </c>
      <c r="AC14" t="s">
        <v>410</v>
      </c>
      <c r="AD14" t="s">
        <v>411</v>
      </c>
      <c r="AE14" t="s">
        <v>412</v>
      </c>
      <c r="AF14" t="s">
        <v>413</v>
      </c>
      <c r="AG14" t="s">
        <v>414</v>
      </c>
      <c r="AH14" t="s">
        <v>383</v>
      </c>
      <c r="AI14" t="s">
        <v>389</v>
      </c>
      <c r="AJ14" t="s">
        <v>415</v>
      </c>
      <c r="AK14" t="s">
        <v>416</v>
      </c>
      <c r="AL14" t="s">
        <v>417</v>
      </c>
      <c r="AM14" t="s">
        <v>418</v>
      </c>
      <c r="AN14" t="s">
        <v>419</v>
      </c>
      <c r="AO14" t="s">
        <v>420</v>
      </c>
    </row>
    <row r="15" spans="1:41">
      <c r="A15" t="s">
        <v>421</v>
      </c>
      <c r="B15" t="s">
        <v>422</v>
      </c>
      <c r="C15" t="s">
        <v>423</v>
      </c>
      <c r="D15" t="s">
        <v>424</v>
      </c>
      <c r="E15" t="s">
        <v>425</v>
      </c>
      <c r="F15" t="s">
        <v>426</v>
      </c>
      <c r="G15" t="s">
        <v>427</v>
      </c>
      <c r="H15" s="2" t="s">
        <v>428</v>
      </c>
      <c r="I15" s="2" t="s">
        <v>429</v>
      </c>
      <c r="J15" t="s">
        <v>421</v>
      </c>
      <c r="K15" t="s">
        <v>430</v>
      </c>
      <c r="L15" t="s">
        <v>421</v>
      </c>
      <c r="M15" t="s">
        <v>421</v>
      </c>
      <c r="N15" t="s">
        <v>431</v>
      </c>
      <c r="O15" t="s">
        <v>432</v>
      </c>
      <c r="P15" t="s">
        <v>433</v>
      </c>
      <c r="Q15" t="s">
        <v>434</v>
      </c>
      <c r="R15" t="s">
        <v>435</v>
      </c>
      <c r="S15" t="s">
        <v>421</v>
      </c>
      <c r="T15" t="s">
        <v>436</v>
      </c>
      <c r="U15" t="s">
        <v>437</v>
      </c>
      <c r="V15" t="s">
        <v>438</v>
      </c>
      <c r="W15" s="2" t="s">
        <v>439</v>
      </c>
      <c r="X15" t="s">
        <v>440</v>
      </c>
      <c r="Y15" t="s">
        <v>441</v>
      </c>
      <c r="Z15" t="s">
        <v>338</v>
      </c>
      <c r="AA15" t="s">
        <v>338</v>
      </c>
      <c r="AB15" t="s">
        <v>442</v>
      </c>
      <c r="AC15" t="s">
        <v>443</v>
      </c>
      <c r="AD15" t="s">
        <v>338</v>
      </c>
      <c r="AE15" t="s">
        <v>338</v>
      </c>
      <c r="AF15" t="s">
        <v>444</v>
      </c>
      <c r="AG15" t="s">
        <v>430</v>
      </c>
      <c r="AH15" t="s">
        <v>421</v>
      </c>
      <c r="AI15" t="s">
        <v>431</v>
      </c>
      <c r="AJ15" t="s">
        <v>338</v>
      </c>
      <c r="AK15" t="s">
        <v>445</v>
      </c>
      <c r="AL15" t="s">
        <v>338</v>
      </c>
      <c r="AM15" t="s">
        <v>446</v>
      </c>
      <c r="AN15" t="s">
        <v>311</v>
      </c>
      <c r="AO15" t="s">
        <v>447</v>
      </c>
    </row>
    <row r="18" spans="1:41">
      <c r="A18" t="s">
        <v>448</v>
      </c>
      <c r="B18" t="s">
        <v>449</v>
      </c>
      <c r="C18" t="s">
        <v>450</v>
      </c>
      <c r="D18" t="s">
        <v>451</v>
      </c>
      <c r="E18" t="s">
        <v>367</v>
      </c>
      <c r="F18" t="s">
        <v>452</v>
      </c>
      <c r="G18" t="s">
        <v>453</v>
      </c>
      <c r="H18" s="2" t="s">
        <v>454</v>
      </c>
      <c r="I18" t="s">
        <v>448</v>
      </c>
      <c r="J18" t="s">
        <v>455</v>
      </c>
      <c r="K18" t="s">
        <v>456</v>
      </c>
      <c r="L18" t="s">
        <v>457</v>
      </c>
      <c r="M18" t="s">
        <v>458</v>
      </c>
      <c r="N18" t="s">
        <v>459</v>
      </c>
      <c r="O18" t="s">
        <v>460</v>
      </c>
      <c r="P18" t="s">
        <v>448</v>
      </c>
      <c r="Q18" t="s">
        <v>461</v>
      </c>
      <c r="R18" t="s">
        <v>462</v>
      </c>
      <c r="S18" t="s">
        <v>463</v>
      </c>
      <c r="T18" t="s">
        <v>464</v>
      </c>
      <c r="U18" t="s">
        <v>448</v>
      </c>
      <c r="V18" t="s">
        <v>465</v>
      </c>
      <c r="W18" s="2" t="s">
        <v>466</v>
      </c>
      <c r="X18" t="s">
        <v>467</v>
      </c>
      <c r="Y18" t="s">
        <v>452</v>
      </c>
      <c r="Z18" t="s">
        <v>468</v>
      </c>
      <c r="AA18" t="s">
        <v>457</v>
      </c>
      <c r="AB18" t="s">
        <v>469</v>
      </c>
      <c r="AC18" t="s">
        <v>470</v>
      </c>
      <c r="AD18" t="s">
        <v>465</v>
      </c>
      <c r="AE18" t="s">
        <v>471</v>
      </c>
      <c r="AF18" t="s">
        <v>455</v>
      </c>
      <c r="AG18" t="s">
        <v>456</v>
      </c>
      <c r="AH18" t="s">
        <v>455</v>
      </c>
      <c r="AI18" t="s">
        <v>448</v>
      </c>
      <c r="AJ18" t="s">
        <v>472</v>
      </c>
      <c r="AK18" t="s">
        <v>473</v>
      </c>
      <c r="AL18" t="s">
        <v>474</v>
      </c>
      <c r="AM18" t="s">
        <v>475</v>
      </c>
      <c r="AN18" t="s">
        <v>476</v>
      </c>
      <c r="AO18" t="s">
        <v>477</v>
      </c>
    </row>
    <row r="19" spans="1:41">
      <c r="A19" t="s">
        <v>478</v>
      </c>
      <c r="B19" t="s">
        <v>479</v>
      </c>
      <c r="C19" t="s">
        <v>480</v>
      </c>
      <c r="D19" t="s">
        <v>481</v>
      </c>
      <c r="E19" t="s">
        <v>482</v>
      </c>
      <c r="F19" t="s">
        <v>483</v>
      </c>
      <c r="G19" t="s">
        <v>484</v>
      </c>
      <c r="H19" s="2" t="s">
        <v>485</v>
      </c>
      <c r="I19" t="s">
        <v>478</v>
      </c>
      <c r="J19" t="s">
        <v>486</v>
      </c>
      <c r="K19" t="s">
        <v>487</v>
      </c>
      <c r="L19" t="s">
        <v>488</v>
      </c>
      <c r="M19" t="s">
        <v>489</v>
      </c>
      <c r="N19" t="s">
        <v>490</v>
      </c>
      <c r="O19" t="s">
        <v>491</v>
      </c>
      <c r="P19" t="s">
        <v>478</v>
      </c>
      <c r="Q19" t="s">
        <v>492</v>
      </c>
      <c r="R19" t="s">
        <v>493</v>
      </c>
      <c r="S19" t="s">
        <v>494</v>
      </c>
      <c r="T19" t="s">
        <v>495</v>
      </c>
      <c r="U19" t="s">
        <v>496</v>
      </c>
      <c r="V19" t="s">
        <v>490</v>
      </c>
      <c r="W19" s="2" t="s">
        <v>497</v>
      </c>
      <c r="X19" t="s">
        <v>498</v>
      </c>
      <c r="Y19" t="s">
        <v>483</v>
      </c>
      <c r="Z19" t="s">
        <v>499</v>
      </c>
      <c r="AA19" t="s">
        <v>488</v>
      </c>
      <c r="AB19" t="s">
        <v>500</v>
      </c>
      <c r="AC19" t="s">
        <v>501</v>
      </c>
      <c r="AD19" t="s">
        <v>502</v>
      </c>
      <c r="AE19" t="s">
        <v>490</v>
      </c>
      <c r="AF19" t="s">
        <v>486</v>
      </c>
      <c r="AG19" t="s">
        <v>487</v>
      </c>
      <c r="AH19" t="s">
        <v>486</v>
      </c>
      <c r="AI19" t="s">
        <v>478</v>
      </c>
      <c r="AJ19" t="s">
        <v>503</v>
      </c>
      <c r="AK19" t="s">
        <v>504</v>
      </c>
      <c r="AL19" t="s">
        <v>505</v>
      </c>
      <c r="AM19" t="s">
        <v>506</v>
      </c>
      <c r="AN19" t="s">
        <v>507</v>
      </c>
      <c r="AO19" t="s">
        <v>508</v>
      </c>
    </row>
    <row r="20" spans="1:41">
      <c r="A20" t="s">
        <v>509</v>
      </c>
      <c r="B20" t="s">
        <v>510</v>
      </c>
      <c r="C20" t="s">
        <v>511</v>
      </c>
      <c r="D20" t="s">
        <v>512</v>
      </c>
      <c r="E20" t="s">
        <v>513</v>
      </c>
      <c r="F20" t="s">
        <v>514</v>
      </c>
      <c r="G20" t="s">
        <v>459</v>
      </c>
      <c r="H20" s="2" t="s">
        <v>515</v>
      </c>
      <c r="I20" t="s">
        <v>509</v>
      </c>
      <c r="J20" t="s">
        <v>516</v>
      </c>
      <c r="K20" t="s">
        <v>517</v>
      </c>
      <c r="L20" t="s">
        <v>518</v>
      </c>
      <c r="M20" t="s">
        <v>519</v>
      </c>
      <c r="N20" t="s">
        <v>510</v>
      </c>
      <c r="O20" t="s">
        <v>520</v>
      </c>
      <c r="P20" t="s">
        <v>509</v>
      </c>
      <c r="Q20" t="s">
        <v>521</v>
      </c>
      <c r="R20" t="s">
        <v>522</v>
      </c>
      <c r="S20" t="s">
        <v>523</v>
      </c>
      <c r="T20" t="s">
        <v>524</v>
      </c>
      <c r="U20" t="s">
        <v>525</v>
      </c>
      <c r="V20" t="s">
        <v>510</v>
      </c>
      <c r="W20" s="2" t="s">
        <v>526</v>
      </c>
      <c r="X20" t="s">
        <v>527</v>
      </c>
      <c r="Y20" t="s">
        <v>528</v>
      </c>
      <c r="Z20" t="s">
        <v>529</v>
      </c>
      <c r="AA20" t="s">
        <v>530</v>
      </c>
      <c r="AB20" t="s">
        <v>531</v>
      </c>
      <c r="AC20" t="s">
        <v>532</v>
      </c>
      <c r="AD20" t="s">
        <v>533</v>
      </c>
      <c r="AE20" t="s">
        <v>510</v>
      </c>
      <c r="AF20" t="s">
        <v>516</v>
      </c>
      <c r="AG20" t="s">
        <v>534</v>
      </c>
      <c r="AH20" t="s">
        <v>535</v>
      </c>
      <c r="AI20" t="s">
        <v>509</v>
      </c>
      <c r="AJ20" t="s">
        <v>536</v>
      </c>
      <c r="AK20" t="s">
        <v>537</v>
      </c>
      <c r="AL20" t="s">
        <v>538</v>
      </c>
      <c r="AM20" t="s">
        <v>539</v>
      </c>
      <c r="AN20" t="s">
        <v>514</v>
      </c>
      <c r="AO20" t="s">
        <v>540</v>
      </c>
    </row>
    <row r="21" spans="1:41">
      <c r="A21" t="s">
        <v>541</v>
      </c>
      <c r="B21" t="s">
        <v>542</v>
      </c>
      <c r="C21" t="s">
        <v>543</v>
      </c>
      <c r="D21" t="s">
        <v>544</v>
      </c>
      <c r="E21" t="s">
        <v>545</v>
      </c>
      <c r="F21" t="s">
        <v>546</v>
      </c>
      <c r="G21" t="s">
        <v>547</v>
      </c>
      <c r="H21" s="2" t="s">
        <v>548</v>
      </c>
      <c r="I21" t="s">
        <v>541</v>
      </c>
      <c r="J21" t="s">
        <v>549</v>
      </c>
      <c r="K21" t="s">
        <v>550</v>
      </c>
      <c r="L21" t="s">
        <v>551</v>
      </c>
      <c r="M21" t="s">
        <v>552</v>
      </c>
      <c r="N21" t="s">
        <v>553</v>
      </c>
      <c r="O21" t="s">
        <v>554</v>
      </c>
      <c r="P21" t="s">
        <v>541</v>
      </c>
      <c r="Q21" t="s">
        <v>555</v>
      </c>
      <c r="R21" t="s">
        <v>556</v>
      </c>
      <c r="S21" t="s">
        <v>557</v>
      </c>
      <c r="T21" t="s">
        <v>558</v>
      </c>
      <c r="U21" t="s">
        <v>559</v>
      </c>
      <c r="V21" t="s">
        <v>553</v>
      </c>
      <c r="W21" s="2" t="s">
        <v>560</v>
      </c>
      <c r="X21" t="s">
        <v>561</v>
      </c>
      <c r="Y21" t="s">
        <v>562</v>
      </c>
      <c r="Z21" t="s">
        <v>563</v>
      </c>
      <c r="AA21" t="s">
        <v>551</v>
      </c>
      <c r="AB21" t="s">
        <v>564</v>
      </c>
      <c r="AC21" t="s">
        <v>565</v>
      </c>
      <c r="AD21" t="s">
        <v>566</v>
      </c>
      <c r="AE21" t="s">
        <v>567</v>
      </c>
      <c r="AF21" t="s">
        <v>568</v>
      </c>
      <c r="AG21" t="s">
        <v>550</v>
      </c>
      <c r="AH21" t="s">
        <v>568</v>
      </c>
      <c r="AI21" t="s">
        <v>541</v>
      </c>
      <c r="AJ21" t="s">
        <v>551</v>
      </c>
      <c r="AK21" t="s">
        <v>569</v>
      </c>
      <c r="AL21" t="s">
        <v>570</v>
      </c>
      <c r="AM21" t="s">
        <v>571</v>
      </c>
      <c r="AN21" t="s">
        <v>572</v>
      </c>
      <c r="AO21" t="s">
        <v>573</v>
      </c>
    </row>
    <row r="22" spans="1:41">
      <c r="A22" t="s">
        <v>574</v>
      </c>
      <c r="B22" t="s">
        <v>575</v>
      </c>
      <c r="C22" t="s">
        <v>576</v>
      </c>
      <c r="D22" t="s">
        <v>577</v>
      </c>
      <c r="E22" t="s">
        <v>578</v>
      </c>
      <c r="F22" t="s">
        <v>579</v>
      </c>
      <c r="G22" t="s">
        <v>580</v>
      </c>
      <c r="H22" s="2" t="s">
        <v>581</v>
      </c>
      <c r="I22" t="s">
        <v>574</v>
      </c>
      <c r="J22" t="s">
        <v>582</v>
      </c>
      <c r="K22" t="s">
        <v>583</v>
      </c>
      <c r="L22" t="s">
        <v>535</v>
      </c>
      <c r="M22" t="s">
        <v>584</v>
      </c>
      <c r="N22" t="s">
        <v>585</v>
      </c>
      <c r="O22" t="s">
        <v>586</v>
      </c>
      <c r="P22" t="s">
        <v>574</v>
      </c>
      <c r="Q22" t="s">
        <v>587</v>
      </c>
      <c r="R22" t="s">
        <v>588</v>
      </c>
      <c r="S22" t="s">
        <v>589</v>
      </c>
      <c r="T22" t="s">
        <v>590</v>
      </c>
      <c r="U22" t="s">
        <v>591</v>
      </c>
      <c r="V22" t="s">
        <v>592</v>
      </c>
      <c r="W22" s="2" t="s">
        <v>593</v>
      </c>
      <c r="X22" t="s">
        <v>594</v>
      </c>
      <c r="Y22" t="s">
        <v>595</v>
      </c>
      <c r="Z22" t="s">
        <v>596</v>
      </c>
      <c r="AA22" t="s">
        <v>597</v>
      </c>
      <c r="AB22" t="s">
        <v>598</v>
      </c>
      <c r="AC22" t="s">
        <v>599</v>
      </c>
      <c r="AD22" t="s">
        <v>600</v>
      </c>
      <c r="AE22" t="s">
        <v>601</v>
      </c>
      <c r="AF22" t="s">
        <v>582</v>
      </c>
      <c r="AG22" t="s">
        <v>602</v>
      </c>
      <c r="AH22" t="s">
        <v>582</v>
      </c>
      <c r="AI22" t="s">
        <v>574</v>
      </c>
      <c r="AJ22" t="s">
        <v>535</v>
      </c>
      <c r="AK22" t="s">
        <v>603</v>
      </c>
      <c r="AL22" t="s">
        <v>604</v>
      </c>
      <c r="AM22" t="s">
        <v>605</v>
      </c>
      <c r="AN22" t="s">
        <v>606</v>
      </c>
      <c r="AO22" t="s">
        <v>607</v>
      </c>
    </row>
    <row r="23" spans="1:41">
      <c r="A23" t="s">
        <v>608</v>
      </c>
      <c r="B23" t="s">
        <v>609</v>
      </c>
      <c r="C23" t="s">
        <v>610</v>
      </c>
      <c r="D23" t="s">
        <v>611</v>
      </c>
      <c r="E23" t="s">
        <v>612</v>
      </c>
      <c r="F23" t="s">
        <v>613</v>
      </c>
      <c r="G23" t="s">
        <v>614</v>
      </c>
      <c r="H23" s="2" t="s">
        <v>615</v>
      </c>
      <c r="I23" t="s">
        <v>608</v>
      </c>
      <c r="J23" t="s">
        <v>616</v>
      </c>
      <c r="K23" t="s">
        <v>617</v>
      </c>
      <c r="L23" t="s">
        <v>618</v>
      </c>
      <c r="M23" t="s">
        <v>619</v>
      </c>
      <c r="N23" t="s">
        <v>620</v>
      </c>
      <c r="O23" t="s">
        <v>621</v>
      </c>
      <c r="P23" t="s">
        <v>608</v>
      </c>
      <c r="Q23" t="s">
        <v>622</v>
      </c>
      <c r="R23" t="s">
        <v>623</v>
      </c>
      <c r="S23" t="s">
        <v>624</v>
      </c>
      <c r="T23" t="s">
        <v>625</v>
      </c>
      <c r="U23" t="s">
        <v>626</v>
      </c>
      <c r="V23" t="s">
        <v>620</v>
      </c>
      <c r="W23" s="2" t="s">
        <v>627</v>
      </c>
      <c r="X23" t="s">
        <v>628</v>
      </c>
      <c r="Y23" t="s">
        <v>613</v>
      </c>
      <c r="Z23" t="s">
        <v>629</v>
      </c>
      <c r="AA23" t="s">
        <v>618</v>
      </c>
      <c r="AB23" t="s">
        <v>630</v>
      </c>
      <c r="AC23" t="s">
        <v>631</v>
      </c>
      <c r="AD23" t="s">
        <v>632</v>
      </c>
      <c r="AE23" t="s">
        <v>633</v>
      </c>
      <c r="AF23" t="s">
        <v>616</v>
      </c>
      <c r="AG23" t="s">
        <v>634</v>
      </c>
      <c r="AH23" t="s">
        <v>616</v>
      </c>
      <c r="AI23" t="s">
        <v>608</v>
      </c>
      <c r="AJ23" t="s">
        <v>618</v>
      </c>
      <c r="AK23" t="s">
        <v>635</v>
      </c>
      <c r="AL23" t="s">
        <v>636</v>
      </c>
      <c r="AM23" t="s">
        <v>637</v>
      </c>
      <c r="AN23" t="s">
        <v>638</v>
      </c>
      <c r="AO23" t="s">
        <v>639</v>
      </c>
    </row>
    <row r="24" spans="1:41">
      <c r="A24" t="s">
        <v>640</v>
      </c>
      <c r="B24" t="s">
        <v>641</v>
      </c>
      <c r="C24" t="s">
        <v>642</v>
      </c>
      <c r="D24" t="s">
        <v>643</v>
      </c>
      <c r="E24" t="s">
        <v>644</v>
      </c>
      <c r="F24" t="s">
        <v>645</v>
      </c>
      <c r="G24" t="s">
        <v>646</v>
      </c>
      <c r="H24" s="2" t="s">
        <v>647</v>
      </c>
      <c r="I24" t="s">
        <v>640</v>
      </c>
      <c r="J24" t="s">
        <v>648</v>
      </c>
      <c r="K24" t="s">
        <v>649</v>
      </c>
      <c r="L24" t="s">
        <v>650</v>
      </c>
      <c r="M24" t="s">
        <v>651</v>
      </c>
      <c r="N24" t="s">
        <v>652</v>
      </c>
      <c r="O24" t="s">
        <v>653</v>
      </c>
      <c r="P24" t="s">
        <v>640</v>
      </c>
      <c r="Q24" t="s">
        <v>654</v>
      </c>
      <c r="R24" t="s">
        <v>655</v>
      </c>
      <c r="S24" t="s">
        <v>656</v>
      </c>
      <c r="T24" t="s">
        <v>657</v>
      </c>
      <c r="U24" t="s">
        <v>658</v>
      </c>
      <c r="V24" t="s">
        <v>657</v>
      </c>
      <c r="W24" s="2" t="s">
        <v>659</v>
      </c>
      <c r="X24" t="s">
        <v>660</v>
      </c>
      <c r="Y24" t="s">
        <v>661</v>
      </c>
      <c r="Z24" t="s">
        <v>662</v>
      </c>
      <c r="AA24" t="s">
        <v>650</v>
      </c>
      <c r="AB24" t="s">
        <v>663</v>
      </c>
      <c r="AC24" t="s">
        <v>649</v>
      </c>
      <c r="AD24" t="s">
        <v>657</v>
      </c>
      <c r="AE24" t="s">
        <v>652</v>
      </c>
      <c r="AF24" t="s">
        <v>648</v>
      </c>
      <c r="AG24" t="s">
        <v>649</v>
      </c>
      <c r="AH24" t="s">
        <v>664</v>
      </c>
      <c r="AI24" t="s">
        <v>640</v>
      </c>
      <c r="AJ24" t="s">
        <v>665</v>
      </c>
      <c r="AK24" t="s">
        <v>666</v>
      </c>
      <c r="AL24" t="s">
        <v>667</v>
      </c>
      <c r="AM24" t="s">
        <v>668</v>
      </c>
      <c r="AN24" t="s">
        <v>669</v>
      </c>
      <c r="AO24" t="s">
        <v>670</v>
      </c>
    </row>
    <row r="25" spans="1:41">
      <c r="A25" t="s">
        <v>671</v>
      </c>
      <c r="B25" t="s">
        <v>671</v>
      </c>
      <c r="C25" t="s">
        <v>672</v>
      </c>
      <c r="D25" t="s">
        <v>673</v>
      </c>
      <c r="E25" t="s">
        <v>674</v>
      </c>
      <c r="F25" t="s">
        <v>675</v>
      </c>
      <c r="G25" t="s">
        <v>676</v>
      </c>
      <c r="H25" s="2" t="s">
        <v>677</v>
      </c>
      <c r="I25" t="s">
        <v>671</v>
      </c>
      <c r="J25" t="s">
        <v>678</v>
      </c>
      <c r="K25" t="s">
        <v>671</v>
      </c>
      <c r="L25" t="s">
        <v>671</v>
      </c>
      <c r="M25" t="s">
        <v>671</v>
      </c>
      <c r="N25" t="s">
        <v>679</v>
      </c>
      <c r="O25" t="s">
        <v>680</v>
      </c>
      <c r="P25" t="s">
        <v>671</v>
      </c>
      <c r="Q25" t="s">
        <v>681</v>
      </c>
      <c r="R25" t="s">
        <v>682</v>
      </c>
      <c r="S25" t="s">
        <v>671</v>
      </c>
      <c r="T25" t="s">
        <v>671</v>
      </c>
      <c r="U25" t="s">
        <v>671</v>
      </c>
      <c r="V25" t="s">
        <v>676</v>
      </c>
      <c r="W25" t="s">
        <v>683</v>
      </c>
      <c r="X25" t="s">
        <v>684</v>
      </c>
      <c r="Y25" t="s">
        <v>685</v>
      </c>
      <c r="Z25" t="s">
        <v>671</v>
      </c>
      <c r="AA25" t="s">
        <v>671</v>
      </c>
      <c r="AB25" t="s">
        <v>686</v>
      </c>
      <c r="AC25" t="s">
        <v>687</v>
      </c>
      <c r="AD25" t="s">
        <v>671</v>
      </c>
      <c r="AE25" t="s">
        <v>688</v>
      </c>
      <c r="AF25" t="s">
        <v>671</v>
      </c>
      <c r="AG25" t="s">
        <v>671</v>
      </c>
      <c r="AH25" t="s">
        <v>671</v>
      </c>
      <c r="AI25" t="s">
        <v>689</v>
      </c>
      <c r="AJ25" t="s">
        <v>690</v>
      </c>
      <c r="AK25" t="s">
        <v>691</v>
      </c>
      <c r="AL25" t="s">
        <v>692</v>
      </c>
      <c r="AM25" t="s">
        <v>693</v>
      </c>
      <c r="AN25" t="s">
        <v>694</v>
      </c>
      <c r="AO25" t="s">
        <v>695</v>
      </c>
    </row>
    <row r="26" spans="1:41">
      <c r="A26" t="s">
        <v>696</v>
      </c>
      <c r="B26" t="s">
        <v>697</v>
      </c>
      <c r="C26" t="s">
        <v>698</v>
      </c>
      <c r="D26" t="s">
        <v>699</v>
      </c>
      <c r="E26" t="s">
        <v>700</v>
      </c>
      <c r="F26" t="s">
        <v>701</v>
      </c>
      <c r="G26" t="s">
        <v>696</v>
      </c>
      <c r="H26" s="2" t="s">
        <v>702</v>
      </c>
      <c r="I26" t="s">
        <v>696</v>
      </c>
      <c r="J26" t="s">
        <v>703</v>
      </c>
      <c r="K26" t="s">
        <v>696</v>
      </c>
      <c r="L26" t="s">
        <v>696</v>
      </c>
      <c r="M26" t="s">
        <v>696</v>
      </c>
      <c r="N26" t="s">
        <v>704</v>
      </c>
      <c r="O26" t="s">
        <v>705</v>
      </c>
      <c r="P26" t="s">
        <v>696</v>
      </c>
      <c r="Q26" t="s">
        <v>706</v>
      </c>
      <c r="R26" t="s">
        <v>707</v>
      </c>
      <c r="S26" t="s">
        <v>696</v>
      </c>
      <c r="T26" t="s">
        <v>708</v>
      </c>
      <c r="U26" t="s">
        <v>696</v>
      </c>
      <c r="V26" t="s">
        <v>696</v>
      </c>
      <c r="W26" t="s">
        <v>709</v>
      </c>
      <c r="X26" t="s">
        <v>463</v>
      </c>
      <c r="Y26" t="s">
        <v>710</v>
      </c>
      <c r="Z26" t="s">
        <v>711</v>
      </c>
      <c r="AA26" t="s">
        <v>696</v>
      </c>
      <c r="AB26" t="s">
        <v>712</v>
      </c>
      <c r="AC26" t="s">
        <v>713</v>
      </c>
      <c r="AD26" t="s">
        <v>700</v>
      </c>
      <c r="AE26" t="s">
        <v>696</v>
      </c>
      <c r="AF26" t="s">
        <v>696</v>
      </c>
      <c r="AG26" t="s">
        <v>696</v>
      </c>
      <c r="AH26" t="s">
        <v>696</v>
      </c>
      <c r="AI26" t="s">
        <v>696</v>
      </c>
      <c r="AJ26" t="s">
        <v>696</v>
      </c>
      <c r="AK26" t="s">
        <v>714</v>
      </c>
      <c r="AL26" t="s">
        <v>715</v>
      </c>
      <c r="AM26" t="s">
        <v>716</v>
      </c>
      <c r="AN26" t="s">
        <v>717</v>
      </c>
      <c r="AO26" t="s">
        <v>718</v>
      </c>
    </row>
    <row r="27" spans="1:41">
      <c r="A27" t="s">
        <v>510</v>
      </c>
      <c r="B27" t="s">
        <v>510</v>
      </c>
      <c r="C27" t="s">
        <v>719</v>
      </c>
      <c r="D27" t="s">
        <v>720</v>
      </c>
      <c r="E27" t="s">
        <v>510</v>
      </c>
      <c r="F27" t="s">
        <v>721</v>
      </c>
      <c r="G27" t="s">
        <v>510</v>
      </c>
      <c r="H27" s="2" t="s">
        <v>722</v>
      </c>
      <c r="I27" t="s">
        <v>510</v>
      </c>
      <c r="J27" t="s">
        <v>723</v>
      </c>
      <c r="K27" t="s">
        <v>510</v>
      </c>
      <c r="L27" t="s">
        <v>510</v>
      </c>
      <c r="M27" t="s">
        <v>724</v>
      </c>
      <c r="N27" t="s">
        <v>725</v>
      </c>
      <c r="O27" t="s">
        <v>726</v>
      </c>
      <c r="P27" t="s">
        <v>727</v>
      </c>
      <c r="Q27" t="s">
        <v>728</v>
      </c>
      <c r="R27" t="s">
        <v>729</v>
      </c>
      <c r="S27" t="s">
        <v>730</v>
      </c>
      <c r="T27" t="s">
        <v>510</v>
      </c>
      <c r="U27" t="s">
        <v>510</v>
      </c>
      <c r="V27" t="s">
        <v>510</v>
      </c>
      <c r="W27" t="s">
        <v>731</v>
      </c>
      <c r="X27" t="s">
        <v>732</v>
      </c>
      <c r="Y27" t="s">
        <v>733</v>
      </c>
      <c r="Z27" t="s">
        <v>510</v>
      </c>
      <c r="AA27" t="s">
        <v>510</v>
      </c>
      <c r="AB27" t="s">
        <v>734</v>
      </c>
      <c r="AC27" t="s">
        <v>510</v>
      </c>
      <c r="AD27" t="s">
        <v>510</v>
      </c>
      <c r="AE27" t="s">
        <v>510</v>
      </c>
      <c r="AF27" t="s">
        <v>510</v>
      </c>
      <c r="AG27" t="s">
        <v>510</v>
      </c>
      <c r="AH27" t="s">
        <v>510</v>
      </c>
      <c r="AI27" t="s">
        <v>510</v>
      </c>
      <c r="AJ27" t="s">
        <v>735</v>
      </c>
      <c r="AK27" t="s">
        <v>736</v>
      </c>
      <c r="AL27" t="s">
        <v>510</v>
      </c>
      <c r="AM27" t="s">
        <v>737</v>
      </c>
      <c r="AN27" t="s">
        <v>738</v>
      </c>
      <c r="AO27" t="s">
        <v>739</v>
      </c>
    </row>
    <row r="28" spans="1:41">
      <c r="A28" t="s">
        <v>740</v>
      </c>
      <c r="B28" t="s">
        <v>741</v>
      </c>
      <c r="C28" t="s">
        <v>742</v>
      </c>
      <c r="D28" t="s">
        <v>743</v>
      </c>
      <c r="E28" t="s">
        <v>740</v>
      </c>
      <c r="F28" t="s">
        <v>744</v>
      </c>
      <c r="G28" t="s">
        <v>745</v>
      </c>
      <c r="H28" s="2" t="s">
        <v>746</v>
      </c>
      <c r="I28" t="s">
        <v>740</v>
      </c>
      <c r="J28" t="s">
        <v>747</v>
      </c>
      <c r="K28" t="s">
        <v>740</v>
      </c>
      <c r="L28" t="s">
        <v>740</v>
      </c>
      <c r="M28" t="s">
        <v>740</v>
      </c>
      <c r="N28" t="s">
        <v>748</v>
      </c>
      <c r="O28" t="s">
        <v>749</v>
      </c>
      <c r="P28" t="s">
        <v>740</v>
      </c>
      <c r="Q28" t="s">
        <v>750</v>
      </c>
      <c r="R28" t="s">
        <v>751</v>
      </c>
      <c r="S28" t="s">
        <v>752</v>
      </c>
      <c r="T28" t="s">
        <v>740</v>
      </c>
      <c r="U28" t="s">
        <v>740</v>
      </c>
      <c r="V28" t="s">
        <v>740</v>
      </c>
      <c r="W28" t="s">
        <v>753</v>
      </c>
      <c r="X28" t="s">
        <v>754</v>
      </c>
      <c r="Y28" t="s">
        <v>755</v>
      </c>
      <c r="Z28" t="s">
        <v>740</v>
      </c>
      <c r="AA28" t="s">
        <v>740</v>
      </c>
      <c r="AB28" t="s">
        <v>756</v>
      </c>
      <c r="AC28" t="s">
        <v>757</v>
      </c>
      <c r="AD28" t="s">
        <v>745</v>
      </c>
      <c r="AE28" t="s">
        <v>740</v>
      </c>
      <c r="AF28" t="s">
        <v>740</v>
      </c>
      <c r="AG28" t="s">
        <v>740</v>
      </c>
      <c r="AH28" t="s">
        <v>740</v>
      </c>
      <c r="AI28" t="s">
        <v>745</v>
      </c>
      <c r="AJ28" t="s">
        <v>758</v>
      </c>
      <c r="AK28" t="s">
        <v>759</v>
      </c>
      <c r="AL28" t="s">
        <v>760</v>
      </c>
      <c r="AM28" t="s">
        <v>761</v>
      </c>
      <c r="AN28" t="s">
        <v>762</v>
      </c>
      <c r="AO28" t="s">
        <v>763</v>
      </c>
    </row>
    <row r="29" spans="1:41">
      <c r="A29" t="s">
        <v>764</v>
      </c>
      <c r="B29" t="s">
        <v>765</v>
      </c>
      <c r="C29" t="s">
        <v>766</v>
      </c>
      <c r="D29" t="s">
        <v>767</v>
      </c>
      <c r="E29" t="s">
        <v>764</v>
      </c>
      <c r="F29" t="s">
        <v>768</v>
      </c>
      <c r="G29" t="s">
        <v>769</v>
      </c>
      <c r="H29" s="2" t="s">
        <v>770</v>
      </c>
      <c r="I29" t="s">
        <v>764</v>
      </c>
      <c r="J29" t="s">
        <v>771</v>
      </c>
      <c r="K29" t="s">
        <v>764</v>
      </c>
      <c r="L29" t="s">
        <v>765</v>
      </c>
      <c r="M29" t="s">
        <v>772</v>
      </c>
      <c r="N29" t="s">
        <v>769</v>
      </c>
      <c r="O29" t="s">
        <v>773</v>
      </c>
      <c r="P29" t="s">
        <v>769</v>
      </c>
      <c r="Q29" t="s">
        <v>774</v>
      </c>
      <c r="R29" t="s">
        <v>775</v>
      </c>
      <c r="S29" t="s">
        <v>776</v>
      </c>
      <c r="T29" t="s">
        <v>772</v>
      </c>
      <c r="U29" t="s">
        <v>777</v>
      </c>
      <c r="V29" t="s">
        <v>778</v>
      </c>
      <c r="W29" t="s">
        <v>779</v>
      </c>
      <c r="X29" t="s">
        <v>780</v>
      </c>
      <c r="Y29" t="s">
        <v>781</v>
      </c>
      <c r="Z29" t="s">
        <v>782</v>
      </c>
      <c r="AA29" t="s">
        <v>769</v>
      </c>
      <c r="AB29" t="s">
        <v>783</v>
      </c>
      <c r="AC29" t="s">
        <v>765</v>
      </c>
      <c r="AD29" t="s">
        <v>769</v>
      </c>
      <c r="AE29" t="s">
        <v>769</v>
      </c>
      <c r="AF29" t="s">
        <v>765</v>
      </c>
      <c r="AG29" t="s">
        <v>776</v>
      </c>
      <c r="AH29" t="s">
        <v>765</v>
      </c>
      <c r="AI29" t="s">
        <v>764</v>
      </c>
      <c r="AJ29" t="s">
        <v>784</v>
      </c>
      <c r="AK29" t="s">
        <v>785</v>
      </c>
      <c r="AL29" t="s">
        <v>764</v>
      </c>
      <c r="AM29" t="s">
        <v>786</v>
      </c>
      <c r="AN29" t="s">
        <v>787</v>
      </c>
      <c r="AO29" t="s">
        <v>788</v>
      </c>
    </row>
    <row r="30" spans="1:41">
      <c r="A30" t="s">
        <v>789</v>
      </c>
      <c r="B30" t="s">
        <v>790</v>
      </c>
      <c r="C30" t="s">
        <v>791</v>
      </c>
      <c r="D30" t="s">
        <v>792</v>
      </c>
      <c r="E30" t="s">
        <v>793</v>
      </c>
      <c r="F30" t="s">
        <v>794</v>
      </c>
      <c r="G30" t="s">
        <v>789</v>
      </c>
      <c r="H30" s="2" t="s">
        <v>795</v>
      </c>
      <c r="I30" t="s">
        <v>789</v>
      </c>
      <c r="J30" t="s">
        <v>796</v>
      </c>
      <c r="K30" t="s">
        <v>797</v>
      </c>
      <c r="L30" t="s">
        <v>789</v>
      </c>
      <c r="M30" t="s">
        <v>789</v>
      </c>
      <c r="N30" t="s">
        <v>798</v>
      </c>
      <c r="O30" t="s">
        <v>799</v>
      </c>
      <c r="P30" t="s">
        <v>789</v>
      </c>
      <c r="Q30" t="s">
        <v>800</v>
      </c>
      <c r="R30" t="s">
        <v>801</v>
      </c>
      <c r="S30" t="s">
        <v>802</v>
      </c>
      <c r="T30" t="s">
        <v>789</v>
      </c>
      <c r="U30" t="s">
        <v>802</v>
      </c>
      <c r="V30" t="s">
        <v>803</v>
      </c>
      <c r="W30" t="s">
        <v>804</v>
      </c>
      <c r="X30" t="s">
        <v>805</v>
      </c>
      <c r="Y30" t="s">
        <v>806</v>
      </c>
      <c r="Z30" t="s">
        <v>807</v>
      </c>
      <c r="AA30" t="s">
        <v>789</v>
      </c>
      <c r="AB30" t="s">
        <v>808</v>
      </c>
      <c r="AC30" t="s">
        <v>809</v>
      </c>
      <c r="AD30" t="s">
        <v>789</v>
      </c>
      <c r="AE30" t="s">
        <v>810</v>
      </c>
      <c r="AF30" t="s">
        <v>789</v>
      </c>
      <c r="AG30" t="s">
        <v>802</v>
      </c>
      <c r="AH30" t="s">
        <v>789</v>
      </c>
      <c r="AI30" t="s">
        <v>789</v>
      </c>
      <c r="AJ30" t="s">
        <v>811</v>
      </c>
      <c r="AK30" t="s">
        <v>812</v>
      </c>
      <c r="AL30" t="s">
        <v>813</v>
      </c>
      <c r="AM30" t="s">
        <v>814</v>
      </c>
      <c r="AN30" t="s">
        <v>815</v>
      </c>
      <c r="AO30" t="s">
        <v>816</v>
      </c>
    </row>
    <row r="31" spans="1:41">
      <c r="A31" t="s">
        <v>817</v>
      </c>
      <c r="B31" t="s">
        <v>818</v>
      </c>
      <c r="C31" t="s">
        <v>819</v>
      </c>
      <c r="D31" t="s">
        <v>820</v>
      </c>
      <c r="E31" t="s">
        <v>821</v>
      </c>
      <c r="F31" t="s">
        <v>822</v>
      </c>
      <c r="G31" t="s">
        <v>817</v>
      </c>
      <c r="H31" s="2" t="s">
        <v>823</v>
      </c>
      <c r="I31" t="s">
        <v>817</v>
      </c>
      <c r="J31" t="s">
        <v>824</v>
      </c>
      <c r="K31" t="s">
        <v>825</v>
      </c>
      <c r="L31" t="s">
        <v>817</v>
      </c>
      <c r="M31" t="s">
        <v>817</v>
      </c>
      <c r="N31" t="s">
        <v>826</v>
      </c>
      <c r="O31" t="s">
        <v>827</v>
      </c>
      <c r="P31" t="s">
        <v>817</v>
      </c>
      <c r="Q31" t="s">
        <v>828</v>
      </c>
      <c r="R31" t="s">
        <v>829</v>
      </c>
      <c r="S31" t="s">
        <v>830</v>
      </c>
      <c r="T31" t="s">
        <v>817</v>
      </c>
      <c r="U31" t="s">
        <v>830</v>
      </c>
      <c r="V31" t="s">
        <v>831</v>
      </c>
      <c r="W31" t="s">
        <v>832</v>
      </c>
      <c r="X31" t="s">
        <v>833</v>
      </c>
      <c r="Y31" t="s">
        <v>834</v>
      </c>
      <c r="Z31" t="s">
        <v>835</v>
      </c>
      <c r="AA31" t="s">
        <v>817</v>
      </c>
      <c r="AB31" t="s">
        <v>836</v>
      </c>
      <c r="AC31" t="s">
        <v>796</v>
      </c>
      <c r="AD31" t="s">
        <v>817</v>
      </c>
      <c r="AE31" t="s">
        <v>837</v>
      </c>
      <c r="AF31" t="s">
        <v>817</v>
      </c>
      <c r="AG31" t="s">
        <v>830</v>
      </c>
      <c r="AH31" t="s">
        <v>817</v>
      </c>
      <c r="AI31" t="s">
        <v>817</v>
      </c>
      <c r="AJ31" t="s">
        <v>838</v>
      </c>
      <c r="AK31" t="s">
        <v>839</v>
      </c>
      <c r="AL31" t="s">
        <v>840</v>
      </c>
      <c r="AM31" t="s">
        <v>841</v>
      </c>
      <c r="AN31" t="s">
        <v>842</v>
      </c>
      <c r="AO31" t="s">
        <v>843</v>
      </c>
    </row>
    <row r="32" spans="1:41">
      <c r="A32" t="s">
        <v>844</v>
      </c>
      <c r="B32" t="s">
        <v>845</v>
      </c>
      <c r="C32" t="s">
        <v>846</v>
      </c>
      <c r="D32" t="s">
        <v>847</v>
      </c>
      <c r="E32" t="s">
        <v>848</v>
      </c>
      <c r="F32" t="s">
        <v>849</v>
      </c>
      <c r="G32" t="s">
        <v>850</v>
      </c>
      <c r="H32" s="2" t="s">
        <v>851</v>
      </c>
      <c r="I32" t="s">
        <v>844</v>
      </c>
      <c r="J32" t="s">
        <v>852</v>
      </c>
      <c r="K32" t="s">
        <v>844</v>
      </c>
      <c r="L32" t="s">
        <v>844</v>
      </c>
      <c r="M32" t="s">
        <v>844</v>
      </c>
      <c r="N32" t="s">
        <v>853</v>
      </c>
      <c r="O32" t="s">
        <v>854</v>
      </c>
      <c r="P32" t="s">
        <v>844</v>
      </c>
      <c r="Q32" t="s">
        <v>855</v>
      </c>
      <c r="R32" t="s">
        <v>856</v>
      </c>
      <c r="S32" t="s">
        <v>844</v>
      </c>
      <c r="T32" t="s">
        <v>857</v>
      </c>
      <c r="U32" t="s">
        <v>858</v>
      </c>
      <c r="V32" t="s">
        <v>850</v>
      </c>
      <c r="W32" t="s">
        <v>859</v>
      </c>
      <c r="X32" t="s">
        <v>860</v>
      </c>
      <c r="Y32" t="s">
        <v>861</v>
      </c>
      <c r="Z32" t="s">
        <v>862</v>
      </c>
      <c r="AA32" t="s">
        <v>844</v>
      </c>
      <c r="AB32" t="s">
        <v>863</v>
      </c>
      <c r="AC32" t="s">
        <v>864</v>
      </c>
      <c r="AD32" t="s">
        <v>850</v>
      </c>
      <c r="AE32" t="s">
        <v>844</v>
      </c>
      <c r="AF32" t="s">
        <v>865</v>
      </c>
      <c r="AG32" t="s">
        <v>844</v>
      </c>
      <c r="AH32" t="s">
        <v>865</v>
      </c>
      <c r="AI32" t="s">
        <v>850</v>
      </c>
      <c r="AJ32" t="s">
        <v>844</v>
      </c>
      <c r="AK32" t="s">
        <v>866</v>
      </c>
      <c r="AL32" t="s">
        <v>867</v>
      </c>
      <c r="AM32" t="s">
        <v>868</v>
      </c>
      <c r="AN32" t="s">
        <v>869</v>
      </c>
      <c r="AO32" t="s">
        <v>870</v>
      </c>
    </row>
    <row r="33" spans="1:41">
      <c r="A33" t="s">
        <v>871</v>
      </c>
      <c r="B33" t="s">
        <v>872</v>
      </c>
      <c r="C33" t="s">
        <v>873</v>
      </c>
      <c r="D33" t="s">
        <v>874</v>
      </c>
      <c r="E33" t="s">
        <v>495</v>
      </c>
      <c r="F33" t="s">
        <v>875</v>
      </c>
      <c r="G33" t="s">
        <v>876</v>
      </c>
      <c r="H33" s="2" t="s">
        <v>877</v>
      </c>
      <c r="I33" t="s">
        <v>871</v>
      </c>
      <c r="J33" t="s">
        <v>878</v>
      </c>
      <c r="K33" t="s">
        <v>871</v>
      </c>
      <c r="L33" t="s">
        <v>871</v>
      </c>
      <c r="M33" t="s">
        <v>871</v>
      </c>
      <c r="N33" t="s">
        <v>879</v>
      </c>
      <c r="O33" t="s">
        <v>880</v>
      </c>
      <c r="P33" t="s">
        <v>871</v>
      </c>
      <c r="Q33" t="s">
        <v>881</v>
      </c>
      <c r="R33" t="s">
        <v>882</v>
      </c>
      <c r="S33" t="s">
        <v>883</v>
      </c>
      <c r="T33" t="s">
        <v>871</v>
      </c>
      <c r="U33" t="s">
        <v>871</v>
      </c>
      <c r="V33" t="s">
        <v>876</v>
      </c>
      <c r="W33" t="s">
        <v>884</v>
      </c>
      <c r="X33" t="s">
        <v>885</v>
      </c>
      <c r="Y33" t="s">
        <v>886</v>
      </c>
      <c r="Z33" t="s">
        <v>876</v>
      </c>
      <c r="AA33" t="s">
        <v>871</v>
      </c>
      <c r="AB33" t="s">
        <v>887</v>
      </c>
      <c r="AC33" t="s">
        <v>888</v>
      </c>
      <c r="AD33" t="s">
        <v>876</v>
      </c>
      <c r="AE33" t="s">
        <v>871</v>
      </c>
      <c r="AF33" t="s">
        <v>871</v>
      </c>
      <c r="AG33" t="s">
        <v>871</v>
      </c>
      <c r="AH33" t="s">
        <v>871</v>
      </c>
      <c r="AI33" t="s">
        <v>871</v>
      </c>
      <c r="AJ33" t="s">
        <v>889</v>
      </c>
      <c r="AK33" t="s">
        <v>890</v>
      </c>
      <c r="AL33" t="s">
        <v>891</v>
      </c>
      <c r="AM33" t="s">
        <v>892</v>
      </c>
      <c r="AN33" t="s">
        <v>893</v>
      </c>
      <c r="AO33" t="s">
        <v>894</v>
      </c>
    </row>
    <row r="34" spans="1:41">
      <c r="A34" t="s">
        <v>895</v>
      </c>
      <c r="B34" t="s">
        <v>896</v>
      </c>
      <c r="C34" t="s">
        <v>897</v>
      </c>
      <c r="D34" t="s">
        <v>898</v>
      </c>
      <c r="E34" t="s">
        <v>899</v>
      </c>
      <c r="F34" t="s">
        <v>900</v>
      </c>
      <c r="G34" t="s">
        <v>895</v>
      </c>
      <c r="H34" s="2" t="s">
        <v>901</v>
      </c>
      <c r="I34" t="s">
        <v>895</v>
      </c>
      <c r="J34" t="s">
        <v>902</v>
      </c>
      <c r="K34" t="s">
        <v>895</v>
      </c>
      <c r="L34" t="s">
        <v>899</v>
      </c>
      <c r="M34" t="s">
        <v>899</v>
      </c>
      <c r="N34" t="s">
        <v>895</v>
      </c>
      <c r="O34" t="s">
        <v>903</v>
      </c>
      <c r="P34" t="s">
        <v>899</v>
      </c>
      <c r="Q34" t="s">
        <v>904</v>
      </c>
      <c r="R34" t="s">
        <v>905</v>
      </c>
      <c r="S34" t="s">
        <v>899</v>
      </c>
      <c r="T34" t="s">
        <v>899</v>
      </c>
      <c r="U34" t="s">
        <v>899</v>
      </c>
      <c r="V34" t="s">
        <v>906</v>
      </c>
      <c r="W34" t="s">
        <v>907</v>
      </c>
      <c r="X34" t="s">
        <v>908</v>
      </c>
      <c r="Y34" t="s">
        <v>909</v>
      </c>
      <c r="Z34" t="s">
        <v>906</v>
      </c>
      <c r="AA34" t="s">
        <v>899</v>
      </c>
      <c r="AB34" t="s">
        <v>910</v>
      </c>
      <c r="AC34" t="s">
        <v>911</v>
      </c>
      <c r="AD34" t="s">
        <v>912</v>
      </c>
      <c r="AE34" t="s">
        <v>895</v>
      </c>
      <c r="AF34" t="s">
        <v>899</v>
      </c>
      <c r="AG34" t="s">
        <v>899</v>
      </c>
      <c r="AH34" t="s">
        <v>895</v>
      </c>
      <c r="AI34" t="s">
        <v>895</v>
      </c>
      <c r="AJ34" t="s">
        <v>913</v>
      </c>
      <c r="AK34" t="s">
        <v>914</v>
      </c>
      <c r="AL34" t="s">
        <v>915</v>
      </c>
      <c r="AM34" t="s">
        <v>916</v>
      </c>
      <c r="AN34" t="s">
        <v>917</v>
      </c>
      <c r="AO34" t="s">
        <v>918</v>
      </c>
    </row>
    <row r="35" spans="1:41">
      <c r="A35" t="s">
        <v>919</v>
      </c>
      <c r="B35" t="s">
        <v>920</v>
      </c>
      <c r="C35" t="s">
        <v>921</v>
      </c>
      <c r="D35" t="s">
        <v>922</v>
      </c>
      <c r="E35" t="s">
        <v>923</v>
      </c>
      <c r="F35" t="s">
        <v>924</v>
      </c>
      <c r="G35" t="s">
        <v>919</v>
      </c>
      <c r="H35" s="2" t="s">
        <v>925</v>
      </c>
      <c r="I35" t="s">
        <v>919</v>
      </c>
      <c r="J35" t="s">
        <v>926</v>
      </c>
      <c r="K35" t="s">
        <v>919</v>
      </c>
      <c r="L35" t="s">
        <v>919</v>
      </c>
      <c r="M35" t="s">
        <v>919</v>
      </c>
      <c r="N35" t="s">
        <v>919</v>
      </c>
      <c r="O35" t="s">
        <v>927</v>
      </c>
      <c r="P35" t="s">
        <v>919</v>
      </c>
      <c r="Q35" t="s">
        <v>928</v>
      </c>
      <c r="R35" t="s">
        <v>929</v>
      </c>
      <c r="S35" t="s">
        <v>919</v>
      </c>
      <c r="T35" t="s">
        <v>930</v>
      </c>
      <c r="U35" t="s">
        <v>931</v>
      </c>
      <c r="V35" t="s">
        <v>919</v>
      </c>
      <c r="W35" t="s">
        <v>932</v>
      </c>
      <c r="X35" t="s">
        <v>933</v>
      </c>
      <c r="Y35" t="s">
        <v>934</v>
      </c>
      <c r="Z35" t="s">
        <v>919</v>
      </c>
      <c r="AA35" t="s">
        <v>919</v>
      </c>
      <c r="AB35" t="s">
        <v>935</v>
      </c>
      <c r="AC35" t="s">
        <v>902</v>
      </c>
      <c r="AD35" t="s">
        <v>919</v>
      </c>
      <c r="AE35" t="s">
        <v>936</v>
      </c>
      <c r="AF35" t="s">
        <v>919</v>
      </c>
      <c r="AG35" t="s">
        <v>919</v>
      </c>
      <c r="AH35" t="s">
        <v>919</v>
      </c>
      <c r="AI35" t="s">
        <v>919</v>
      </c>
      <c r="AJ35" t="s">
        <v>937</v>
      </c>
      <c r="AK35" t="s">
        <v>938</v>
      </c>
      <c r="AL35" t="s">
        <v>939</v>
      </c>
      <c r="AM35" t="s">
        <v>940</v>
      </c>
      <c r="AN35" t="s">
        <v>941</v>
      </c>
      <c r="AO35" t="s">
        <v>942</v>
      </c>
    </row>
    <row r="36" spans="1:41">
      <c r="A36" t="s">
        <v>943</v>
      </c>
      <c r="B36" t="s">
        <v>944</v>
      </c>
      <c r="C36" t="s">
        <v>945</v>
      </c>
      <c r="D36" t="s">
        <v>946</v>
      </c>
      <c r="E36" t="s">
        <v>947</v>
      </c>
      <c r="F36" t="s">
        <v>948</v>
      </c>
      <c r="G36" t="s">
        <v>949</v>
      </c>
      <c r="H36" s="2" t="s">
        <v>950</v>
      </c>
      <c r="I36" t="s">
        <v>943</v>
      </c>
      <c r="J36" t="s">
        <v>951</v>
      </c>
      <c r="K36" t="s">
        <v>943</v>
      </c>
      <c r="L36" t="s">
        <v>943</v>
      </c>
      <c r="M36" t="s">
        <v>943</v>
      </c>
      <c r="N36" t="s">
        <v>952</v>
      </c>
      <c r="O36" t="s">
        <v>953</v>
      </c>
      <c r="P36" t="s">
        <v>954</v>
      </c>
      <c r="Q36" t="s">
        <v>955</v>
      </c>
      <c r="R36" t="s">
        <v>956</v>
      </c>
      <c r="S36" t="s">
        <v>943</v>
      </c>
      <c r="T36" t="s">
        <v>949</v>
      </c>
      <c r="U36" t="s">
        <v>949</v>
      </c>
      <c r="V36" t="s">
        <v>957</v>
      </c>
      <c r="W36" t="s">
        <v>958</v>
      </c>
      <c r="X36" t="s">
        <v>959</v>
      </c>
      <c r="Y36" t="s">
        <v>960</v>
      </c>
      <c r="Z36" t="s">
        <v>961</v>
      </c>
      <c r="AA36" t="s">
        <v>949</v>
      </c>
      <c r="AB36" t="s">
        <v>962</v>
      </c>
      <c r="AC36" t="s">
        <v>963</v>
      </c>
      <c r="AD36" t="s">
        <v>954</v>
      </c>
      <c r="AE36" t="s">
        <v>943</v>
      </c>
      <c r="AF36" t="s">
        <v>943</v>
      </c>
      <c r="AG36" t="s">
        <v>943</v>
      </c>
      <c r="AH36" t="s">
        <v>943</v>
      </c>
      <c r="AI36" t="s">
        <v>957</v>
      </c>
      <c r="AJ36" t="s">
        <v>964</v>
      </c>
      <c r="AK36" t="s">
        <v>965</v>
      </c>
      <c r="AL36" t="s">
        <v>966</v>
      </c>
      <c r="AM36" t="s">
        <v>967</v>
      </c>
      <c r="AN36" t="s">
        <v>968</v>
      </c>
      <c r="AO36" t="s">
        <v>969</v>
      </c>
    </row>
    <row r="37" spans="1:41">
      <c r="A37" t="s">
        <v>970</v>
      </c>
      <c r="B37" t="s">
        <v>971</v>
      </c>
      <c r="C37" t="s">
        <v>972</v>
      </c>
      <c r="D37" t="s">
        <v>973</v>
      </c>
      <c r="E37" t="s">
        <v>974</v>
      </c>
      <c r="F37" t="s">
        <v>975</v>
      </c>
      <c r="G37" t="s">
        <v>976</v>
      </c>
      <c r="H37" s="2" t="s">
        <v>977</v>
      </c>
      <c r="I37" s="2" t="s">
        <v>978</v>
      </c>
      <c r="J37" t="s">
        <v>970</v>
      </c>
      <c r="K37" t="s">
        <v>970</v>
      </c>
      <c r="L37" t="s">
        <v>979</v>
      </c>
      <c r="M37" t="s">
        <v>970</v>
      </c>
      <c r="N37" t="s">
        <v>980</v>
      </c>
      <c r="O37" t="s">
        <v>981</v>
      </c>
      <c r="P37" t="s">
        <v>970</v>
      </c>
      <c r="Q37" t="s">
        <v>982</v>
      </c>
      <c r="R37" t="s">
        <v>983</v>
      </c>
      <c r="S37" t="s">
        <v>984</v>
      </c>
      <c r="T37" t="s">
        <v>985</v>
      </c>
      <c r="U37" t="s">
        <v>986</v>
      </c>
      <c r="V37" t="s">
        <v>987</v>
      </c>
      <c r="W37" s="2" t="s">
        <v>988</v>
      </c>
      <c r="X37" t="s">
        <v>974</v>
      </c>
      <c r="Y37" t="s">
        <v>989</v>
      </c>
      <c r="Z37" t="s">
        <v>985</v>
      </c>
      <c r="AA37" t="s">
        <v>990</v>
      </c>
      <c r="AB37" t="s">
        <v>991</v>
      </c>
      <c r="AC37" t="s">
        <v>992</v>
      </c>
      <c r="AD37" t="s">
        <v>993</v>
      </c>
      <c r="AE37" t="s">
        <v>994</v>
      </c>
      <c r="AF37" t="s">
        <v>995</v>
      </c>
      <c r="AG37" t="s">
        <v>996</v>
      </c>
      <c r="AH37" t="s">
        <v>997</v>
      </c>
      <c r="AI37" t="s">
        <v>998</v>
      </c>
      <c r="AJ37" t="s">
        <v>990</v>
      </c>
      <c r="AK37" t="s">
        <v>999</v>
      </c>
      <c r="AL37" t="s">
        <v>1000</v>
      </c>
      <c r="AM37" t="s">
        <v>1001</v>
      </c>
      <c r="AN37" t="s">
        <v>1002</v>
      </c>
      <c r="AO37" t="s">
        <v>1003</v>
      </c>
    </row>
    <row r="38" spans="1:41">
      <c r="A38" s="1" t="s">
        <v>1004</v>
      </c>
      <c r="B38" t="s">
        <v>1005</v>
      </c>
      <c r="C38" t="s">
        <v>1006</v>
      </c>
      <c r="D38" t="s">
        <v>1007</v>
      </c>
      <c r="E38" t="s">
        <v>1008</v>
      </c>
      <c r="F38" t="s">
        <v>1009</v>
      </c>
      <c r="G38" t="s">
        <v>1010</v>
      </c>
      <c r="H38" s="2" t="s">
        <v>1011</v>
      </c>
      <c r="I38" s="2" t="s">
        <v>1012</v>
      </c>
      <c r="J38" t="s">
        <v>1013</v>
      </c>
      <c r="K38" t="s">
        <v>1014</v>
      </c>
      <c r="L38" t="s">
        <v>1015</v>
      </c>
      <c r="M38" t="s">
        <v>1016</v>
      </c>
      <c r="N38" t="s">
        <v>1017</v>
      </c>
      <c r="O38" t="s">
        <v>1004</v>
      </c>
      <c r="P38" t="s">
        <v>1015</v>
      </c>
      <c r="Q38" t="s">
        <v>1018</v>
      </c>
      <c r="R38" t="s">
        <v>1019</v>
      </c>
      <c r="S38" t="s">
        <v>1020</v>
      </c>
      <c r="T38" t="s">
        <v>1004</v>
      </c>
      <c r="U38" t="s">
        <v>1021</v>
      </c>
      <c r="V38" t="s">
        <v>1004</v>
      </c>
      <c r="W38" s="2" t="s">
        <v>1022</v>
      </c>
      <c r="X38" t="s">
        <v>1013</v>
      </c>
      <c r="Y38" t="s">
        <v>1023</v>
      </c>
      <c r="Z38" t="s">
        <v>1013</v>
      </c>
      <c r="AA38" t="s">
        <v>1004</v>
      </c>
      <c r="AB38" t="s">
        <v>1024</v>
      </c>
      <c r="AC38" t="s">
        <v>1004</v>
      </c>
      <c r="AD38" t="s">
        <v>1025</v>
      </c>
      <c r="AE38" t="s">
        <v>1004</v>
      </c>
      <c r="AF38" t="s">
        <v>1023</v>
      </c>
      <c r="AG38" t="s">
        <v>1026</v>
      </c>
      <c r="AH38" t="s">
        <v>1013</v>
      </c>
      <c r="AI38" t="s">
        <v>1004</v>
      </c>
      <c r="AJ38" t="s">
        <v>1027</v>
      </c>
      <c r="AK38" t="s">
        <v>1028</v>
      </c>
      <c r="AL38" t="s">
        <v>1029</v>
      </c>
      <c r="AM38" t="s">
        <v>1004</v>
      </c>
      <c r="AN38" t="s">
        <v>1030</v>
      </c>
      <c r="AO38" t="s">
        <v>1031</v>
      </c>
    </row>
    <row r="39" spans="1:41">
      <c r="A39" s="1" t="s">
        <v>1032</v>
      </c>
      <c r="B39" t="s">
        <v>1033</v>
      </c>
      <c r="C39" t="s">
        <v>1034</v>
      </c>
      <c r="D39" t="s">
        <v>1035</v>
      </c>
      <c r="E39" t="s">
        <v>1036</v>
      </c>
      <c r="F39" t="s">
        <v>1037</v>
      </c>
      <c r="G39" t="s">
        <v>1032</v>
      </c>
      <c r="H39" s="2" t="s">
        <v>1038</v>
      </c>
      <c r="I39" s="2" t="s">
        <v>1039</v>
      </c>
      <c r="J39" t="s">
        <v>1040</v>
      </c>
      <c r="K39" t="s">
        <v>1041</v>
      </c>
      <c r="L39" t="s">
        <v>1042</v>
      </c>
      <c r="M39" t="s">
        <v>1043</v>
      </c>
      <c r="N39" t="s">
        <v>1044</v>
      </c>
      <c r="O39" t="s">
        <v>1045</v>
      </c>
      <c r="P39" t="s">
        <v>1046</v>
      </c>
      <c r="Q39" t="s">
        <v>1047</v>
      </c>
      <c r="R39" t="s">
        <v>1048</v>
      </c>
      <c r="S39" t="s">
        <v>1049</v>
      </c>
      <c r="T39" t="s">
        <v>1050</v>
      </c>
      <c r="U39" t="s">
        <v>1051</v>
      </c>
      <c r="V39" t="s">
        <v>1032</v>
      </c>
      <c r="W39" s="2" t="s">
        <v>1052</v>
      </c>
      <c r="X39" t="s">
        <v>1040</v>
      </c>
      <c r="Y39" t="s">
        <v>1053</v>
      </c>
      <c r="Z39" t="s">
        <v>1054</v>
      </c>
      <c r="AA39" t="s">
        <v>1032</v>
      </c>
      <c r="AB39" t="s">
        <v>1055</v>
      </c>
      <c r="AC39" t="s">
        <v>1056</v>
      </c>
      <c r="AD39" t="s">
        <v>1057</v>
      </c>
      <c r="AE39" t="s">
        <v>1058</v>
      </c>
      <c r="AF39" t="s">
        <v>1059</v>
      </c>
      <c r="AG39" t="s">
        <v>1041</v>
      </c>
      <c r="AH39" t="s">
        <v>1060</v>
      </c>
      <c r="AI39" t="s">
        <v>1050</v>
      </c>
      <c r="AJ39" t="s">
        <v>1061</v>
      </c>
      <c r="AK39" t="s">
        <v>1062</v>
      </c>
      <c r="AL39" t="s">
        <v>1063</v>
      </c>
      <c r="AM39" t="s">
        <v>1032</v>
      </c>
      <c r="AN39" t="s">
        <v>1064</v>
      </c>
      <c r="AO39" t="s">
        <v>1065</v>
      </c>
    </row>
    <row r="40" spans="1:41">
      <c r="A40" t="s">
        <v>1066</v>
      </c>
      <c r="B40" t="s">
        <v>1067</v>
      </c>
      <c r="C40" t="s">
        <v>1068</v>
      </c>
      <c r="D40" t="s">
        <v>1069</v>
      </c>
      <c r="E40" t="s">
        <v>1070</v>
      </c>
      <c r="F40" t="s">
        <v>1071</v>
      </c>
      <c r="G40" t="s">
        <v>1072</v>
      </c>
      <c r="H40" s="2" t="s">
        <v>1073</v>
      </c>
      <c r="I40" s="2" t="s">
        <v>1073</v>
      </c>
      <c r="J40" t="s">
        <v>1074</v>
      </c>
      <c r="K40" t="s">
        <v>1075</v>
      </c>
      <c r="L40" t="s">
        <v>1076</v>
      </c>
      <c r="M40" t="s">
        <v>1077</v>
      </c>
      <c r="N40" t="s">
        <v>1078</v>
      </c>
      <c r="O40" t="s">
        <v>1079</v>
      </c>
      <c r="P40" t="s">
        <v>1076</v>
      </c>
      <c r="Q40" t="s">
        <v>1080</v>
      </c>
      <c r="R40" t="s">
        <v>1081</v>
      </c>
      <c r="S40" t="s">
        <v>1082</v>
      </c>
      <c r="T40" t="s">
        <v>1083</v>
      </c>
      <c r="U40" t="s">
        <v>1084</v>
      </c>
      <c r="V40" t="s">
        <v>1085</v>
      </c>
      <c r="W40" s="2" t="s">
        <v>1086</v>
      </c>
      <c r="X40" t="s">
        <v>1087</v>
      </c>
      <c r="Y40" t="s">
        <v>1088</v>
      </c>
      <c r="Z40" t="s">
        <v>1089</v>
      </c>
      <c r="AA40" t="s">
        <v>1090</v>
      </c>
      <c r="AB40" t="s">
        <v>1091</v>
      </c>
      <c r="AC40" t="s">
        <v>1092</v>
      </c>
      <c r="AD40" t="s">
        <v>1093</v>
      </c>
      <c r="AE40" t="s">
        <v>1090</v>
      </c>
      <c r="AF40" t="s">
        <v>1088</v>
      </c>
      <c r="AG40" t="s">
        <v>1094</v>
      </c>
      <c r="AH40" t="s">
        <v>1095</v>
      </c>
      <c r="AI40" t="s">
        <v>1096</v>
      </c>
      <c r="AJ40" t="s">
        <v>1076</v>
      </c>
      <c r="AK40" t="s">
        <v>1097</v>
      </c>
      <c r="AL40" t="s">
        <v>1098</v>
      </c>
      <c r="AM40" t="s">
        <v>1099</v>
      </c>
      <c r="AN40" t="s">
        <v>1100</v>
      </c>
      <c r="AO40" t="s">
        <v>1101</v>
      </c>
    </row>
    <row r="41" spans="1:41">
      <c r="A41" t="s">
        <v>1102</v>
      </c>
      <c r="B41" t="s">
        <v>1103</v>
      </c>
      <c r="C41" t="s">
        <v>1104</v>
      </c>
      <c r="D41" t="s">
        <v>1105</v>
      </c>
      <c r="E41" t="s">
        <v>1106</v>
      </c>
      <c r="F41" t="s">
        <v>1107</v>
      </c>
      <c r="G41" t="s">
        <v>1108</v>
      </c>
      <c r="H41" s="2" t="s">
        <v>1109</v>
      </c>
      <c r="I41" s="2" t="s">
        <v>1109</v>
      </c>
      <c r="J41" t="s">
        <v>1110</v>
      </c>
      <c r="K41" t="s">
        <v>1111</v>
      </c>
      <c r="L41" t="s">
        <v>1112</v>
      </c>
      <c r="M41" t="s">
        <v>1113</v>
      </c>
      <c r="N41" t="s">
        <v>1114</v>
      </c>
      <c r="O41" t="s">
        <v>1115</v>
      </c>
      <c r="P41" t="s">
        <v>1112</v>
      </c>
      <c r="Q41" t="s">
        <v>1116</v>
      </c>
      <c r="R41" t="s">
        <v>1117</v>
      </c>
      <c r="S41" t="s">
        <v>1118</v>
      </c>
      <c r="T41" t="s">
        <v>1119</v>
      </c>
      <c r="U41" t="s">
        <v>1102</v>
      </c>
      <c r="V41" t="s">
        <v>1119</v>
      </c>
      <c r="W41" s="2" t="s">
        <v>1120</v>
      </c>
      <c r="X41" t="s">
        <v>1110</v>
      </c>
      <c r="Y41" t="s">
        <v>1121</v>
      </c>
      <c r="Z41" t="s">
        <v>1122</v>
      </c>
      <c r="AA41" t="s">
        <v>1119</v>
      </c>
      <c r="AB41" t="s">
        <v>1123</v>
      </c>
      <c r="AC41" t="s">
        <v>1124</v>
      </c>
      <c r="AD41" t="s">
        <v>1125</v>
      </c>
      <c r="AE41" t="s">
        <v>1119</v>
      </c>
      <c r="AF41" t="s">
        <v>1121</v>
      </c>
      <c r="AG41" t="s">
        <v>1126</v>
      </c>
      <c r="AH41" t="s">
        <v>1110</v>
      </c>
      <c r="AI41" t="s">
        <v>1119</v>
      </c>
      <c r="AJ41" t="s">
        <v>1112</v>
      </c>
      <c r="AK41" t="s">
        <v>1127</v>
      </c>
      <c r="AL41" t="s">
        <v>1128</v>
      </c>
      <c r="AM41" t="s">
        <v>1129</v>
      </c>
      <c r="AN41" t="s">
        <v>1130</v>
      </c>
      <c r="AO41" t="s">
        <v>1131</v>
      </c>
    </row>
    <row r="42" spans="1:41">
      <c r="A42" t="s">
        <v>1132</v>
      </c>
      <c r="B42" t="s">
        <v>1133</v>
      </c>
      <c r="C42" t="s">
        <v>1134</v>
      </c>
      <c r="D42" t="s">
        <v>1135</v>
      </c>
      <c r="E42" t="s">
        <v>1136</v>
      </c>
      <c r="F42" t="s">
        <v>1137</v>
      </c>
      <c r="G42" t="s">
        <v>1132</v>
      </c>
      <c r="H42" s="2" t="s">
        <v>1138</v>
      </c>
      <c r="I42" s="2" t="s">
        <v>1138</v>
      </c>
      <c r="J42" t="s">
        <v>1139</v>
      </c>
      <c r="K42" t="s">
        <v>1140</v>
      </c>
      <c r="L42" t="s">
        <v>1132</v>
      </c>
      <c r="M42" t="s">
        <v>1132</v>
      </c>
      <c r="N42" t="s">
        <v>1132</v>
      </c>
      <c r="O42" t="s">
        <v>1141</v>
      </c>
      <c r="P42" t="s">
        <v>1132</v>
      </c>
      <c r="Q42" t="s">
        <v>1142</v>
      </c>
      <c r="R42" t="s">
        <v>1143</v>
      </c>
      <c r="S42" t="s">
        <v>1144</v>
      </c>
      <c r="T42" t="s">
        <v>1132</v>
      </c>
      <c r="U42" t="s">
        <v>1132</v>
      </c>
      <c r="V42" t="s">
        <v>1145</v>
      </c>
      <c r="W42" s="2" t="s">
        <v>1146</v>
      </c>
      <c r="X42" t="s">
        <v>1139</v>
      </c>
      <c r="Y42" t="s">
        <v>1147</v>
      </c>
      <c r="Z42" t="s">
        <v>1148</v>
      </c>
      <c r="AA42" t="s">
        <v>1132</v>
      </c>
      <c r="AB42" t="s">
        <v>1149</v>
      </c>
      <c r="AC42" t="s">
        <v>1150</v>
      </c>
      <c r="AD42" t="s">
        <v>1132</v>
      </c>
      <c r="AE42" t="s">
        <v>1150</v>
      </c>
      <c r="AF42" t="s">
        <v>1147</v>
      </c>
      <c r="AG42" t="s">
        <v>1140</v>
      </c>
      <c r="AH42" t="s">
        <v>1151</v>
      </c>
      <c r="AI42" t="s">
        <v>1132</v>
      </c>
      <c r="AJ42" t="s">
        <v>1132</v>
      </c>
      <c r="AK42" t="s">
        <v>1152</v>
      </c>
      <c r="AL42" t="s">
        <v>1153</v>
      </c>
      <c r="AM42" t="s">
        <v>1154</v>
      </c>
      <c r="AN42" t="s">
        <v>1155</v>
      </c>
      <c r="AO42" t="s">
        <v>1156</v>
      </c>
    </row>
    <row r="43" spans="1:41">
      <c r="A43" s="1" t="s">
        <v>1157</v>
      </c>
      <c r="B43" t="s">
        <v>1158</v>
      </c>
      <c r="C43" t="s">
        <v>1159</v>
      </c>
      <c r="D43" t="s">
        <v>1160</v>
      </c>
      <c r="E43" t="s">
        <v>1161</v>
      </c>
      <c r="F43" t="s">
        <v>1162</v>
      </c>
      <c r="G43" t="s">
        <v>1163</v>
      </c>
      <c r="H43" s="2" t="s">
        <v>1164</v>
      </c>
      <c r="I43" s="2" t="s">
        <v>1164</v>
      </c>
      <c r="J43" t="s">
        <v>1165</v>
      </c>
      <c r="K43" t="s">
        <v>1166</v>
      </c>
      <c r="L43" t="s">
        <v>1167</v>
      </c>
      <c r="M43" t="s">
        <v>1168</v>
      </c>
      <c r="N43" t="s">
        <v>1169</v>
      </c>
      <c r="O43" t="s">
        <v>1170</v>
      </c>
      <c r="P43" t="s">
        <v>1167</v>
      </c>
      <c r="Q43" t="s">
        <v>1171</v>
      </c>
      <c r="R43" t="s">
        <v>1172</v>
      </c>
      <c r="S43" t="s">
        <v>1173</v>
      </c>
      <c r="T43" t="s">
        <v>1174</v>
      </c>
      <c r="U43" t="s">
        <v>1175</v>
      </c>
      <c r="V43" t="s">
        <v>1176</v>
      </c>
      <c r="W43" s="2" t="s">
        <v>1177</v>
      </c>
      <c r="X43" t="s">
        <v>1178</v>
      </c>
      <c r="Y43" t="s">
        <v>1179</v>
      </c>
      <c r="Z43" t="s">
        <v>1180</v>
      </c>
      <c r="AA43" t="s">
        <v>1167</v>
      </c>
      <c r="AB43" t="s">
        <v>1181</v>
      </c>
      <c r="AC43" t="s">
        <v>1182</v>
      </c>
      <c r="AD43" t="s">
        <v>1183</v>
      </c>
      <c r="AE43" t="s">
        <v>1184</v>
      </c>
      <c r="AF43" t="s">
        <v>1185</v>
      </c>
      <c r="AG43" t="s">
        <v>1186</v>
      </c>
      <c r="AH43" t="s">
        <v>1187</v>
      </c>
      <c r="AI43" t="s">
        <v>1188</v>
      </c>
      <c r="AJ43" t="s">
        <v>1189</v>
      </c>
      <c r="AK43" t="s">
        <v>1190</v>
      </c>
      <c r="AL43" t="s">
        <v>1191</v>
      </c>
      <c r="AM43" t="s">
        <v>1157</v>
      </c>
      <c r="AN43" t="s">
        <v>1192</v>
      </c>
      <c r="AO43" t="s">
        <v>1193</v>
      </c>
    </row>
    <row r="44" spans="1:41">
      <c r="A44" t="s">
        <v>1194</v>
      </c>
      <c r="B44" t="s">
        <v>1195</v>
      </c>
      <c r="C44" t="s">
        <v>1196</v>
      </c>
      <c r="D44" t="s">
        <v>1197</v>
      </c>
      <c r="E44" t="s">
        <v>1198</v>
      </c>
      <c r="F44" t="s">
        <v>1199</v>
      </c>
      <c r="G44" t="s">
        <v>1200</v>
      </c>
      <c r="H44" s="2" t="s">
        <v>1201</v>
      </c>
      <c r="I44" s="2" t="s">
        <v>1202</v>
      </c>
      <c r="J44" t="s">
        <v>1203</v>
      </c>
      <c r="K44" t="s">
        <v>1204</v>
      </c>
      <c r="L44" t="s">
        <v>1205</v>
      </c>
      <c r="M44" t="s">
        <v>1206</v>
      </c>
      <c r="N44" t="s">
        <v>1207</v>
      </c>
      <c r="O44" t="s">
        <v>1208</v>
      </c>
      <c r="P44" t="s">
        <v>1209</v>
      </c>
      <c r="Q44" t="s">
        <v>1210</v>
      </c>
      <c r="R44" t="s">
        <v>1211</v>
      </c>
      <c r="S44" t="s">
        <v>1212</v>
      </c>
      <c r="T44" t="s">
        <v>1194</v>
      </c>
      <c r="U44" t="s">
        <v>1194</v>
      </c>
      <c r="V44" t="s">
        <v>1213</v>
      </c>
      <c r="W44" s="2" t="s">
        <v>1214</v>
      </c>
      <c r="X44" t="s">
        <v>1215</v>
      </c>
      <c r="Y44" t="s">
        <v>1216</v>
      </c>
      <c r="Z44" t="s">
        <v>1217</v>
      </c>
      <c r="AA44" t="s">
        <v>1205</v>
      </c>
      <c r="AB44" t="s">
        <v>1218</v>
      </c>
      <c r="AC44" t="s">
        <v>1219</v>
      </c>
      <c r="AD44" t="s">
        <v>1200</v>
      </c>
      <c r="AE44" t="s">
        <v>1220</v>
      </c>
      <c r="AF44" t="s">
        <v>1216</v>
      </c>
      <c r="AG44" t="s">
        <v>1204</v>
      </c>
      <c r="AH44" t="s">
        <v>1203</v>
      </c>
      <c r="AI44" t="s">
        <v>1200</v>
      </c>
      <c r="AJ44" t="s">
        <v>1205</v>
      </c>
      <c r="AK44" t="s">
        <v>1221</v>
      </c>
      <c r="AL44" t="s">
        <v>1198</v>
      </c>
      <c r="AM44" t="s">
        <v>1222</v>
      </c>
      <c r="AN44" t="s">
        <v>1223</v>
      </c>
      <c r="AO44" t="s">
        <v>1224</v>
      </c>
    </row>
    <row r="45" spans="1:41">
      <c r="A45" s="1" t="s">
        <v>1225</v>
      </c>
      <c r="B45" t="s">
        <v>1226</v>
      </c>
      <c r="C45" t="s">
        <v>1227</v>
      </c>
      <c r="D45" t="s">
        <v>1228</v>
      </c>
      <c r="E45" t="s">
        <v>1229</v>
      </c>
      <c r="F45" t="s">
        <v>1230</v>
      </c>
      <c r="G45" t="s">
        <v>1231</v>
      </c>
      <c r="H45" s="2" t="s">
        <v>1232</v>
      </c>
      <c r="I45" s="2" t="s">
        <v>1233</v>
      </c>
      <c r="J45" t="s">
        <v>1234</v>
      </c>
      <c r="K45" t="s">
        <v>1234</v>
      </c>
      <c r="L45" t="s">
        <v>1225</v>
      </c>
      <c r="M45" t="s">
        <v>1235</v>
      </c>
      <c r="N45" t="s">
        <v>1225</v>
      </c>
      <c r="O45" t="s">
        <v>1236</v>
      </c>
      <c r="P45" t="s">
        <v>1225</v>
      </c>
      <c r="Q45" t="s">
        <v>1237</v>
      </c>
      <c r="R45" t="s">
        <v>1238</v>
      </c>
      <c r="S45" t="s">
        <v>1239</v>
      </c>
      <c r="T45" t="s">
        <v>1240</v>
      </c>
      <c r="U45" t="s">
        <v>1241</v>
      </c>
      <c r="V45" t="s">
        <v>1242</v>
      </c>
      <c r="W45" s="2" t="s">
        <v>1243</v>
      </c>
      <c r="X45" t="s">
        <v>1240</v>
      </c>
      <c r="Y45" t="s">
        <v>1244</v>
      </c>
      <c r="Z45" t="s">
        <v>1240</v>
      </c>
      <c r="AA45" t="s">
        <v>1240</v>
      </c>
      <c r="AB45" t="s">
        <v>1245</v>
      </c>
      <c r="AC45" t="s">
        <v>1240</v>
      </c>
      <c r="AD45" t="s">
        <v>1246</v>
      </c>
      <c r="AE45" t="s">
        <v>1242</v>
      </c>
      <c r="AF45" t="s">
        <v>1247</v>
      </c>
      <c r="AG45" t="s">
        <v>1234</v>
      </c>
      <c r="AH45" t="s">
        <v>1234</v>
      </c>
      <c r="AI45" t="s">
        <v>1248</v>
      </c>
      <c r="AJ45" t="s">
        <v>1240</v>
      </c>
      <c r="AK45" t="s">
        <v>1249</v>
      </c>
      <c r="AL45" t="s">
        <v>1229</v>
      </c>
      <c r="AM45" t="s">
        <v>1240</v>
      </c>
      <c r="AN45" t="s">
        <v>1250</v>
      </c>
      <c r="AO45" t="s">
        <v>1251</v>
      </c>
    </row>
    <row r="46" spans="1:41">
      <c r="A46" s="1" t="s">
        <v>1252</v>
      </c>
      <c r="B46" t="s">
        <v>1253</v>
      </c>
      <c r="C46" t="s">
        <v>1254</v>
      </c>
      <c r="D46" t="s">
        <v>1252</v>
      </c>
      <c r="E46" t="s">
        <v>1252</v>
      </c>
      <c r="F46" t="s">
        <v>1255</v>
      </c>
      <c r="G46" t="s">
        <v>1256</v>
      </c>
      <c r="H46" s="2" t="s">
        <v>1257</v>
      </c>
      <c r="I46" s="2" t="s">
        <v>1258</v>
      </c>
      <c r="J46" t="s">
        <v>1259</v>
      </c>
      <c r="K46" s="1" t="s">
        <v>1260</v>
      </c>
      <c r="L46" s="1" t="s">
        <v>1261</v>
      </c>
      <c r="M46" t="s">
        <v>1262</v>
      </c>
      <c r="N46" t="s">
        <v>1263</v>
      </c>
      <c r="O46" t="s">
        <v>1264</v>
      </c>
      <c r="P46" s="1" t="s">
        <v>1265</v>
      </c>
      <c r="Q46" t="s">
        <v>1252</v>
      </c>
      <c r="R46" t="s">
        <v>1266</v>
      </c>
      <c r="S46" t="s">
        <v>1267</v>
      </c>
      <c r="T46" t="s">
        <v>1268</v>
      </c>
      <c r="U46" t="s">
        <v>1269</v>
      </c>
      <c r="V46" s="1" t="s">
        <v>2886</v>
      </c>
      <c r="W46" s="2" t="s">
        <v>1270</v>
      </c>
      <c r="X46" t="s">
        <v>1271</v>
      </c>
      <c r="Y46" t="s">
        <v>1272</v>
      </c>
      <c r="Z46" t="s">
        <v>1271</v>
      </c>
      <c r="AA46" s="1" t="s">
        <v>1261</v>
      </c>
      <c r="AB46" t="s">
        <v>1273</v>
      </c>
      <c r="AC46" s="1" t="s">
        <v>1274</v>
      </c>
      <c r="AD46" s="1" t="s">
        <v>1256</v>
      </c>
      <c r="AE46" t="s">
        <v>1275</v>
      </c>
      <c r="AF46" t="s">
        <v>1276</v>
      </c>
      <c r="AG46" t="s">
        <v>1260</v>
      </c>
      <c r="AH46" t="s">
        <v>1252</v>
      </c>
      <c r="AI46" t="s">
        <v>1277</v>
      </c>
      <c r="AJ46" t="s">
        <v>1252</v>
      </c>
      <c r="AK46" t="s">
        <v>1278</v>
      </c>
      <c r="AL46" t="s">
        <v>1279</v>
      </c>
      <c r="AM46" s="1" t="s">
        <v>1280</v>
      </c>
      <c r="AN46" t="s">
        <v>1281</v>
      </c>
      <c r="AO46" t="s">
        <v>1282</v>
      </c>
    </row>
    <row r="47" spans="1:41">
      <c r="A47" t="s">
        <v>1283</v>
      </c>
      <c r="B47" t="s">
        <v>1284</v>
      </c>
      <c r="C47" t="s">
        <v>1285</v>
      </c>
      <c r="D47" t="s">
        <v>1286</v>
      </c>
      <c r="E47" t="s">
        <v>1287</v>
      </c>
      <c r="F47" t="s">
        <v>1288</v>
      </c>
      <c r="G47" t="s">
        <v>1289</v>
      </c>
      <c r="H47" s="2" t="s">
        <v>1290</v>
      </c>
      <c r="I47" s="2" t="s">
        <v>1291</v>
      </c>
      <c r="J47" t="s">
        <v>1292</v>
      </c>
      <c r="K47" t="s">
        <v>1293</v>
      </c>
      <c r="L47" t="s">
        <v>1283</v>
      </c>
      <c r="M47" t="s">
        <v>1283</v>
      </c>
      <c r="N47" t="s">
        <v>1294</v>
      </c>
      <c r="O47" t="s">
        <v>1295</v>
      </c>
      <c r="P47" t="s">
        <v>1296</v>
      </c>
      <c r="Q47" t="s">
        <v>1297</v>
      </c>
      <c r="R47" t="s">
        <v>1298</v>
      </c>
      <c r="S47" t="s">
        <v>1299</v>
      </c>
      <c r="T47" t="s">
        <v>1300</v>
      </c>
      <c r="U47" t="s">
        <v>1296</v>
      </c>
      <c r="V47" t="s">
        <v>1300</v>
      </c>
      <c r="W47" s="2" t="s">
        <v>1301</v>
      </c>
      <c r="X47" t="s">
        <v>1302</v>
      </c>
      <c r="Y47" t="s">
        <v>1303</v>
      </c>
      <c r="Z47" t="s">
        <v>1304</v>
      </c>
      <c r="AA47" t="s">
        <v>1283</v>
      </c>
      <c r="AB47" t="s">
        <v>1305</v>
      </c>
      <c r="AC47" t="s">
        <v>1300</v>
      </c>
      <c r="AD47" t="s">
        <v>1306</v>
      </c>
      <c r="AE47" t="s">
        <v>1307</v>
      </c>
      <c r="AF47" t="s">
        <v>1303</v>
      </c>
      <c r="AG47" t="s">
        <v>1308</v>
      </c>
      <c r="AH47" t="s">
        <v>1292</v>
      </c>
      <c r="AI47" t="s">
        <v>1300</v>
      </c>
      <c r="AJ47" t="s">
        <v>1283</v>
      </c>
      <c r="AK47" t="s">
        <v>1309</v>
      </c>
      <c r="AL47" t="s">
        <v>1287</v>
      </c>
      <c r="AM47" t="s">
        <v>1310</v>
      </c>
      <c r="AN47" t="s">
        <v>1311</v>
      </c>
      <c r="AO47" t="s">
        <v>1312</v>
      </c>
    </row>
    <row r="48" spans="1:41">
      <c r="A48" t="s">
        <v>1313</v>
      </c>
      <c r="B48" t="s">
        <v>1314</v>
      </c>
      <c r="C48" t="s">
        <v>1315</v>
      </c>
      <c r="D48" t="s">
        <v>1313</v>
      </c>
      <c r="E48" t="s">
        <v>1316</v>
      </c>
      <c r="F48" t="s">
        <v>1317</v>
      </c>
      <c r="G48" t="s">
        <v>1318</v>
      </c>
      <c r="H48" s="2" t="s">
        <v>1319</v>
      </c>
      <c r="I48" s="2" t="s">
        <v>1320</v>
      </c>
      <c r="J48" t="s">
        <v>1321</v>
      </c>
      <c r="K48" t="s">
        <v>1322</v>
      </c>
      <c r="L48" t="s">
        <v>1323</v>
      </c>
      <c r="M48" t="s">
        <v>1324</v>
      </c>
      <c r="N48" t="s">
        <v>1325</v>
      </c>
      <c r="O48" t="s">
        <v>1326</v>
      </c>
      <c r="P48" t="s">
        <v>1327</v>
      </c>
      <c r="Q48" t="s">
        <v>1328</v>
      </c>
      <c r="R48" t="s">
        <v>1329</v>
      </c>
      <c r="S48" t="s">
        <v>1330</v>
      </c>
      <c r="T48" t="s">
        <v>1331</v>
      </c>
      <c r="U48" t="s">
        <v>1323</v>
      </c>
      <c r="V48" t="s">
        <v>1332</v>
      </c>
      <c r="W48" s="2" t="s">
        <v>1333</v>
      </c>
      <c r="X48" t="s">
        <v>1334</v>
      </c>
      <c r="Y48" t="s">
        <v>1335</v>
      </c>
      <c r="Z48" t="s">
        <v>1336</v>
      </c>
      <c r="AA48" t="s">
        <v>1324</v>
      </c>
      <c r="AB48" t="s">
        <v>1337</v>
      </c>
      <c r="AC48" t="s">
        <v>1338</v>
      </c>
      <c r="AD48" t="s">
        <v>1339</v>
      </c>
      <c r="AE48" t="s">
        <v>1332</v>
      </c>
      <c r="AF48" t="s">
        <v>1340</v>
      </c>
      <c r="AG48" t="s">
        <v>1322</v>
      </c>
      <c r="AH48" t="s">
        <v>1321</v>
      </c>
      <c r="AI48" t="s">
        <v>1341</v>
      </c>
      <c r="AJ48" t="s">
        <v>1342</v>
      </c>
      <c r="AK48" t="s">
        <v>1343</v>
      </c>
      <c r="AL48" t="s">
        <v>1344</v>
      </c>
      <c r="AM48" t="s">
        <v>1345</v>
      </c>
      <c r="AN48" t="s">
        <v>1346</v>
      </c>
      <c r="AO48" t="s">
        <v>1347</v>
      </c>
    </row>
    <row r="49" spans="1:41">
      <c r="A49" t="s">
        <v>1348</v>
      </c>
      <c r="B49" t="s">
        <v>1349</v>
      </c>
      <c r="C49" t="s">
        <v>1350</v>
      </c>
      <c r="D49" t="s">
        <v>1351</v>
      </c>
      <c r="E49" t="s">
        <v>1352</v>
      </c>
      <c r="F49" t="s">
        <v>1353</v>
      </c>
      <c r="G49" t="s">
        <v>1354</v>
      </c>
      <c r="H49" s="2" t="s">
        <v>1355</v>
      </c>
      <c r="I49" s="2" t="s">
        <v>1356</v>
      </c>
      <c r="J49" t="s">
        <v>1357</v>
      </c>
      <c r="K49" t="s">
        <v>1358</v>
      </c>
      <c r="L49" t="s">
        <v>1359</v>
      </c>
      <c r="M49" t="s">
        <v>1360</v>
      </c>
      <c r="N49" t="s">
        <v>1361</v>
      </c>
      <c r="O49" t="s">
        <v>1362</v>
      </c>
      <c r="P49" t="s">
        <v>1363</v>
      </c>
      <c r="Q49" t="s">
        <v>1364</v>
      </c>
      <c r="R49" t="s">
        <v>1365</v>
      </c>
      <c r="S49" t="s">
        <v>1366</v>
      </c>
      <c r="T49" t="s">
        <v>1367</v>
      </c>
      <c r="U49" t="s">
        <v>1368</v>
      </c>
      <c r="V49" t="s">
        <v>1369</v>
      </c>
      <c r="W49" s="2" t="s">
        <v>1370</v>
      </c>
      <c r="X49" t="s">
        <v>1371</v>
      </c>
      <c r="Y49" t="s">
        <v>1372</v>
      </c>
      <c r="Z49" t="s">
        <v>1373</v>
      </c>
      <c r="AA49" t="s">
        <v>1374</v>
      </c>
      <c r="AB49" t="s">
        <v>1375</v>
      </c>
      <c r="AC49" t="s">
        <v>1376</v>
      </c>
      <c r="AD49" t="s">
        <v>1377</v>
      </c>
      <c r="AE49" t="s">
        <v>1378</v>
      </c>
      <c r="AF49" t="s">
        <v>1372</v>
      </c>
      <c r="AG49" t="s">
        <v>1379</v>
      </c>
      <c r="AH49" t="s">
        <v>1380</v>
      </c>
      <c r="AI49" t="s">
        <v>1381</v>
      </c>
      <c r="AJ49" t="s">
        <v>1359</v>
      </c>
      <c r="AK49" t="s">
        <v>1382</v>
      </c>
      <c r="AL49" t="s">
        <v>1383</v>
      </c>
      <c r="AM49" t="s">
        <v>1384</v>
      </c>
      <c r="AN49" t="s">
        <v>1385</v>
      </c>
      <c r="AO49" t="s">
        <v>1386</v>
      </c>
    </row>
    <row r="50" spans="1:41">
      <c r="A50" s="1" t="s">
        <v>1387</v>
      </c>
      <c r="B50" t="s">
        <v>1388</v>
      </c>
      <c r="C50" t="s">
        <v>1389</v>
      </c>
      <c r="D50" t="s">
        <v>1390</v>
      </c>
      <c r="E50" t="s">
        <v>1391</v>
      </c>
      <c r="F50" t="s">
        <v>1392</v>
      </c>
      <c r="G50" t="s">
        <v>1393</v>
      </c>
      <c r="H50" s="2" t="s">
        <v>1394</v>
      </c>
      <c r="I50" s="2" t="s">
        <v>1395</v>
      </c>
      <c r="J50" t="s">
        <v>1396</v>
      </c>
      <c r="K50" t="s">
        <v>1397</v>
      </c>
      <c r="L50" t="s">
        <v>1398</v>
      </c>
      <c r="M50" t="s">
        <v>1399</v>
      </c>
      <c r="N50" t="s">
        <v>1400</v>
      </c>
      <c r="O50" t="s">
        <v>1401</v>
      </c>
      <c r="P50" t="s">
        <v>1402</v>
      </c>
      <c r="Q50" t="s">
        <v>1403</v>
      </c>
      <c r="R50" t="s">
        <v>1404</v>
      </c>
      <c r="S50" t="s">
        <v>1405</v>
      </c>
      <c r="T50" t="s">
        <v>1406</v>
      </c>
      <c r="U50" t="s">
        <v>1387</v>
      </c>
      <c r="V50" t="s">
        <v>1407</v>
      </c>
      <c r="W50" s="2" t="s">
        <v>1408</v>
      </c>
      <c r="X50" t="s">
        <v>1409</v>
      </c>
      <c r="Y50" t="s">
        <v>1410</v>
      </c>
      <c r="Z50" t="s">
        <v>1411</v>
      </c>
      <c r="AA50" t="s">
        <v>1412</v>
      </c>
      <c r="AB50" t="s">
        <v>1413</v>
      </c>
      <c r="AC50" t="s">
        <v>1414</v>
      </c>
      <c r="AD50" t="s">
        <v>1415</v>
      </c>
      <c r="AE50" t="s">
        <v>1416</v>
      </c>
      <c r="AF50" t="s">
        <v>1410</v>
      </c>
      <c r="AG50" t="s">
        <v>1417</v>
      </c>
      <c r="AH50" t="s">
        <v>1396</v>
      </c>
      <c r="AI50" t="s">
        <v>1418</v>
      </c>
      <c r="AJ50" t="s">
        <v>1412</v>
      </c>
      <c r="AK50" t="s">
        <v>1419</v>
      </c>
      <c r="AL50" t="s">
        <v>1420</v>
      </c>
      <c r="AM50" t="s">
        <v>1387</v>
      </c>
      <c r="AN50" t="s">
        <v>1421</v>
      </c>
      <c r="AO50" t="s">
        <v>1422</v>
      </c>
    </row>
    <row r="51" spans="1:41">
      <c r="A51" s="1" t="s">
        <v>1423</v>
      </c>
      <c r="B51" t="s">
        <v>1423</v>
      </c>
      <c r="C51" t="s">
        <v>1424</v>
      </c>
      <c r="D51" t="s">
        <v>1425</v>
      </c>
      <c r="E51" t="s">
        <v>1426</v>
      </c>
      <c r="F51" t="s">
        <v>1427</v>
      </c>
      <c r="G51" t="s">
        <v>1428</v>
      </c>
      <c r="H51" s="2" t="s">
        <v>1429</v>
      </c>
      <c r="I51" s="2" t="s">
        <v>1429</v>
      </c>
      <c r="J51" t="s">
        <v>1430</v>
      </c>
      <c r="K51" t="s">
        <v>1431</v>
      </c>
      <c r="L51" t="s">
        <v>1432</v>
      </c>
      <c r="M51" t="s">
        <v>1433</v>
      </c>
      <c r="N51" t="s">
        <v>1434</v>
      </c>
      <c r="O51" t="s">
        <v>1435</v>
      </c>
      <c r="P51" t="s">
        <v>1436</v>
      </c>
      <c r="Q51" t="s">
        <v>1437</v>
      </c>
      <c r="R51" t="s">
        <v>1438</v>
      </c>
      <c r="S51" t="s">
        <v>1439</v>
      </c>
      <c r="T51" t="s">
        <v>1423</v>
      </c>
      <c r="U51" t="s">
        <v>1423</v>
      </c>
      <c r="V51" t="s">
        <v>1440</v>
      </c>
      <c r="W51" s="2" t="s">
        <v>1441</v>
      </c>
      <c r="X51" t="s">
        <v>1442</v>
      </c>
      <c r="Y51" t="s">
        <v>1443</v>
      </c>
      <c r="Z51" t="s">
        <v>1444</v>
      </c>
      <c r="AA51" t="s">
        <v>1423</v>
      </c>
      <c r="AB51" t="s">
        <v>1445</v>
      </c>
      <c r="AC51" t="s">
        <v>1446</v>
      </c>
      <c r="AD51" t="s">
        <v>1447</v>
      </c>
      <c r="AE51" t="s">
        <v>1448</v>
      </c>
      <c r="AF51" t="s">
        <v>1443</v>
      </c>
      <c r="AG51" t="s">
        <v>1431</v>
      </c>
      <c r="AH51" t="s">
        <v>1449</v>
      </c>
      <c r="AI51" t="s">
        <v>1450</v>
      </c>
      <c r="AJ51" t="s">
        <v>1451</v>
      </c>
      <c r="AK51" t="s">
        <v>1452</v>
      </c>
      <c r="AL51" t="s">
        <v>1453</v>
      </c>
      <c r="AM51" t="s">
        <v>1423</v>
      </c>
      <c r="AN51" t="s">
        <v>1454</v>
      </c>
      <c r="AO51" t="s">
        <v>1455</v>
      </c>
    </row>
    <row r="52" spans="1:41">
      <c r="A52" t="s">
        <v>1456</v>
      </c>
      <c r="B52" t="s">
        <v>1457</v>
      </c>
      <c r="C52" t="s">
        <v>1458</v>
      </c>
      <c r="D52" t="s">
        <v>1459</v>
      </c>
      <c r="E52" t="s">
        <v>1460</v>
      </c>
      <c r="F52" t="s">
        <v>1461</v>
      </c>
      <c r="G52" t="s">
        <v>1462</v>
      </c>
      <c r="H52" s="2" t="s">
        <v>1463</v>
      </c>
      <c r="I52" s="2" t="s">
        <v>1464</v>
      </c>
      <c r="J52" t="s">
        <v>1465</v>
      </c>
      <c r="K52" t="s">
        <v>1466</v>
      </c>
      <c r="L52" t="s">
        <v>1467</v>
      </c>
      <c r="M52" t="s">
        <v>1468</v>
      </c>
      <c r="N52" t="s">
        <v>1469</v>
      </c>
      <c r="O52" t="s">
        <v>1470</v>
      </c>
      <c r="P52" t="s">
        <v>1471</v>
      </c>
      <c r="Q52" t="s">
        <v>1472</v>
      </c>
      <c r="R52" t="s">
        <v>1473</v>
      </c>
      <c r="S52" t="s">
        <v>1474</v>
      </c>
      <c r="T52" t="s">
        <v>1475</v>
      </c>
      <c r="U52" t="s">
        <v>1476</v>
      </c>
      <c r="V52" t="s">
        <v>1477</v>
      </c>
      <c r="W52" s="2" t="s">
        <v>1478</v>
      </c>
      <c r="X52" t="s">
        <v>1479</v>
      </c>
      <c r="Y52" t="s">
        <v>1480</v>
      </c>
      <c r="Z52" t="s">
        <v>1481</v>
      </c>
      <c r="AA52" t="s">
        <v>1467</v>
      </c>
      <c r="AB52" t="s">
        <v>1482</v>
      </c>
      <c r="AC52" t="s">
        <v>1483</v>
      </c>
      <c r="AD52" t="s">
        <v>1484</v>
      </c>
      <c r="AE52" t="s">
        <v>1477</v>
      </c>
      <c r="AF52" t="s">
        <v>1485</v>
      </c>
      <c r="AG52" t="s">
        <v>1486</v>
      </c>
      <c r="AH52" t="s">
        <v>1487</v>
      </c>
      <c r="AI52" t="s">
        <v>1488</v>
      </c>
      <c r="AJ52" t="s">
        <v>1467</v>
      </c>
      <c r="AK52" t="s">
        <v>1489</v>
      </c>
      <c r="AL52" t="s">
        <v>1490</v>
      </c>
      <c r="AM52" t="s">
        <v>1491</v>
      </c>
      <c r="AN52" t="s">
        <v>1492</v>
      </c>
      <c r="AO52" t="s">
        <v>1493</v>
      </c>
    </row>
    <row r="53" spans="1:41">
      <c r="A53" s="1" t="s">
        <v>2617</v>
      </c>
      <c r="B53" t="s">
        <v>2619</v>
      </c>
      <c r="C53" t="s">
        <v>2620</v>
      </c>
      <c r="D53" t="s">
        <v>2621</v>
      </c>
      <c r="E53" t="s">
        <v>2622</v>
      </c>
      <c r="F53" t="s">
        <v>2623</v>
      </c>
      <c r="G53" t="s">
        <v>2624</v>
      </c>
      <c r="H53" t="s">
        <v>2625</v>
      </c>
      <c r="I53" t="s">
        <v>2626</v>
      </c>
      <c r="J53" t="s">
        <v>2627</v>
      </c>
      <c r="K53" t="s">
        <v>2628</v>
      </c>
      <c r="L53" t="s">
        <v>2629</v>
      </c>
      <c r="M53" t="s">
        <v>2630</v>
      </c>
      <c r="N53" t="s">
        <v>2631</v>
      </c>
      <c r="O53" t="s">
        <v>2632</v>
      </c>
      <c r="P53" t="s">
        <v>2633</v>
      </c>
      <c r="Q53" t="s">
        <v>2634</v>
      </c>
      <c r="R53" t="s">
        <v>2635</v>
      </c>
      <c r="S53" t="s">
        <v>2636</v>
      </c>
      <c r="T53" t="s">
        <v>2617</v>
      </c>
      <c r="U53" t="s">
        <v>2637</v>
      </c>
      <c r="V53" t="s">
        <v>2617</v>
      </c>
      <c r="W53" t="s">
        <v>2638</v>
      </c>
      <c r="X53" t="s">
        <v>2639</v>
      </c>
      <c r="Y53" t="s">
        <v>2640</v>
      </c>
      <c r="Z53" s="1" t="s">
        <v>2649</v>
      </c>
      <c r="AA53" t="s">
        <v>2617</v>
      </c>
      <c r="AB53" t="s">
        <v>2641</v>
      </c>
      <c r="AC53" t="s">
        <v>2642</v>
      </c>
      <c r="AD53" t="s">
        <v>2643</v>
      </c>
      <c r="AE53" t="s">
        <v>2617</v>
      </c>
      <c r="AF53" t="s">
        <v>2640</v>
      </c>
      <c r="AG53" t="s">
        <v>2628</v>
      </c>
      <c r="AH53" t="s">
        <v>2627</v>
      </c>
      <c r="AI53" t="s">
        <v>2644</v>
      </c>
      <c r="AJ53" t="s">
        <v>2629</v>
      </c>
      <c r="AK53" t="s">
        <v>2645</v>
      </c>
      <c r="AL53" t="s">
        <v>2646</v>
      </c>
      <c r="AM53" t="s">
        <v>2617</v>
      </c>
      <c r="AN53" t="s">
        <v>2647</v>
      </c>
      <c r="AO53" t="s">
        <v>2648</v>
      </c>
    </row>
    <row r="54" spans="1:41">
      <c r="A54" s="1" t="s">
        <v>1494</v>
      </c>
      <c r="B54" t="s">
        <v>1495</v>
      </c>
      <c r="C54" t="s">
        <v>1496</v>
      </c>
      <c r="D54" t="s">
        <v>1494</v>
      </c>
      <c r="E54" t="s">
        <v>1494</v>
      </c>
      <c r="F54" t="s">
        <v>1497</v>
      </c>
      <c r="G54" t="s">
        <v>1498</v>
      </c>
      <c r="H54" s="2" t="s">
        <v>1499</v>
      </c>
      <c r="I54" s="2" t="s">
        <v>1500</v>
      </c>
      <c r="J54" t="s">
        <v>1501</v>
      </c>
      <c r="K54" t="s">
        <v>1494</v>
      </c>
      <c r="L54" t="s">
        <v>1494</v>
      </c>
      <c r="M54" t="s">
        <v>1494</v>
      </c>
      <c r="N54" t="s">
        <v>1502</v>
      </c>
      <c r="O54" t="s">
        <v>1503</v>
      </c>
      <c r="P54" t="s">
        <v>1494</v>
      </c>
      <c r="Q54" t="s">
        <v>1504</v>
      </c>
      <c r="R54" t="s">
        <v>1505</v>
      </c>
      <c r="S54" t="s">
        <v>1494</v>
      </c>
      <c r="T54" t="s">
        <v>1494</v>
      </c>
      <c r="U54" t="s">
        <v>1494</v>
      </c>
      <c r="V54" t="s">
        <v>1506</v>
      </c>
      <c r="W54" s="2" t="s">
        <v>1507</v>
      </c>
      <c r="X54" t="s">
        <v>1508</v>
      </c>
      <c r="Y54" t="s">
        <v>1509</v>
      </c>
      <c r="Z54" t="s">
        <v>1510</v>
      </c>
      <c r="AA54" t="s">
        <v>1494</v>
      </c>
      <c r="AB54" t="s">
        <v>1511</v>
      </c>
      <c r="AC54" t="s">
        <v>1512</v>
      </c>
      <c r="AD54" t="s">
        <v>1513</v>
      </c>
      <c r="AE54" t="s">
        <v>1514</v>
      </c>
      <c r="AF54" t="s">
        <v>1509</v>
      </c>
      <c r="AG54" t="s">
        <v>1494</v>
      </c>
      <c r="AH54" t="s">
        <v>1494</v>
      </c>
      <c r="AI54" t="s">
        <v>1515</v>
      </c>
      <c r="AJ54" t="s">
        <v>1510</v>
      </c>
      <c r="AK54" t="s">
        <v>1516</v>
      </c>
      <c r="AL54" t="s">
        <v>1517</v>
      </c>
      <c r="AM54" t="s">
        <v>1518</v>
      </c>
      <c r="AN54" t="s">
        <v>1519</v>
      </c>
      <c r="AO54" t="s">
        <v>1520</v>
      </c>
    </row>
    <row r="55" spans="1:41">
      <c r="A55" t="s">
        <v>1521</v>
      </c>
      <c r="B55" t="s">
        <v>1522</v>
      </c>
      <c r="C55" t="s">
        <v>1523</v>
      </c>
      <c r="D55" t="s">
        <v>1524</v>
      </c>
      <c r="E55" t="s">
        <v>1525</v>
      </c>
      <c r="F55" t="s">
        <v>1526</v>
      </c>
      <c r="G55" t="s">
        <v>1527</v>
      </c>
      <c r="H55" s="2" t="s">
        <v>1528</v>
      </c>
      <c r="I55" s="2" t="s">
        <v>1529</v>
      </c>
      <c r="J55" t="s">
        <v>1530</v>
      </c>
      <c r="K55" t="s">
        <v>1531</v>
      </c>
      <c r="L55" t="s">
        <v>1532</v>
      </c>
      <c r="M55" t="s">
        <v>1533</v>
      </c>
      <c r="N55" t="s">
        <v>1534</v>
      </c>
      <c r="O55" t="s">
        <v>1535</v>
      </c>
      <c r="P55" t="s">
        <v>1532</v>
      </c>
      <c r="Q55" t="s">
        <v>1536</v>
      </c>
      <c r="R55" t="s">
        <v>1537</v>
      </c>
      <c r="S55" t="s">
        <v>1538</v>
      </c>
      <c r="T55" t="s">
        <v>1539</v>
      </c>
      <c r="U55" t="s">
        <v>1521</v>
      </c>
      <c r="V55" t="s">
        <v>1540</v>
      </c>
      <c r="W55" s="2" t="s">
        <v>1541</v>
      </c>
      <c r="X55" t="s">
        <v>1542</v>
      </c>
      <c r="Y55" t="s">
        <v>1543</v>
      </c>
      <c r="Z55" t="s">
        <v>1544</v>
      </c>
      <c r="AA55" t="s">
        <v>1545</v>
      </c>
      <c r="AB55" t="s">
        <v>1546</v>
      </c>
      <c r="AC55" t="s">
        <v>1547</v>
      </c>
      <c r="AD55" t="s">
        <v>1548</v>
      </c>
      <c r="AE55" t="s">
        <v>1549</v>
      </c>
      <c r="AF55" t="s">
        <v>1550</v>
      </c>
      <c r="AG55" t="s">
        <v>1551</v>
      </c>
      <c r="AH55" t="s">
        <v>1552</v>
      </c>
      <c r="AI55" t="s">
        <v>1553</v>
      </c>
      <c r="AJ55" t="s">
        <v>1532</v>
      </c>
      <c r="AK55" t="s">
        <v>1554</v>
      </c>
      <c r="AL55" t="s">
        <v>1555</v>
      </c>
      <c r="AM55" t="s">
        <v>1521</v>
      </c>
      <c r="AN55" t="s">
        <v>1556</v>
      </c>
      <c r="AO55" t="s">
        <v>1557</v>
      </c>
    </row>
    <row r="56" spans="1:41">
      <c r="A56" s="1" t="s">
        <v>1558</v>
      </c>
      <c r="B56" t="s">
        <v>1559</v>
      </c>
      <c r="C56" t="s">
        <v>1560</v>
      </c>
      <c r="D56" t="s">
        <v>1561</v>
      </c>
      <c r="E56" t="s">
        <v>1562</v>
      </c>
      <c r="F56" t="s">
        <v>1563</v>
      </c>
      <c r="G56" t="s">
        <v>1564</v>
      </c>
      <c r="H56" s="2" t="s">
        <v>1565</v>
      </c>
      <c r="I56" s="2" t="s">
        <v>1566</v>
      </c>
      <c r="J56" t="s">
        <v>1567</v>
      </c>
      <c r="K56" t="s">
        <v>1568</v>
      </c>
      <c r="L56" t="s">
        <v>1569</v>
      </c>
      <c r="M56" t="s">
        <v>1570</v>
      </c>
      <c r="N56" t="s">
        <v>1571</v>
      </c>
      <c r="O56" t="s">
        <v>1572</v>
      </c>
      <c r="P56" t="s">
        <v>1569</v>
      </c>
      <c r="Q56" t="s">
        <v>1573</v>
      </c>
      <c r="R56" t="s">
        <v>1574</v>
      </c>
      <c r="S56" t="s">
        <v>1575</v>
      </c>
      <c r="T56" t="s">
        <v>1576</v>
      </c>
      <c r="U56" t="s">
        <v>1577</v>
      </c>
      <c r="V56" t="s">
        <v>1578</v>
      </c>
      <c r="W56" s="2" t="s">
        <v>1579</v>
      </c>
      <c r="X56" t="s">
        <v>1580</v>
      </c>
      <c r="Y56" t="s">
        <v>1581</v>
      </c>
      <c r="Z56" t="s">
        <v>1582</v>
      </c>
      <c r="AA56" t="s">
        <v>1583</v>
      </c>
      <c r="AB56" t="s">
        <v>1584</v>
      </c>
      <c r="AC56" t="s">
        <v>1585</v>
      </c>
      <c r="AD56" t="s">
        <v>1586</v>
      </c>
      <c r="AE56" t="s">
        <v>1587</v>
      </c>
      <c r="AF56" t="s">
        <v>1581</v>
      </c>
      <c r="AG56" t="s">
        <v>1588</v>
      </c>
      <c r="AH56" t="s">
        <v>1589</v>
      </c>
      <c r="AI56" t="s">
        <v>1590</v>
      </c>
      <c r="AJ56" t="s">
        <v>1591</v>
      </c>
      <c r="AK56" t="s">
        <v>1592</v>
      </c>
      <c r="AL56" t="s">
        <v>1593</v>
      </c>
      <c r="AM56" t="s">
        <v>1594</v>
      </c>
      <c r="AN56" t="s">
        <v>1595</v>
      </c>
      <c r="AO56" t="s">
        <v>1596</v>
      </c>
    </row>
    <row r="57" spans="1:41">
      <c r="A57" t="s">
        <v>1597</v>
      </c>
      <c r="B57" t="s">
        <v>1598</v>
      </c>
      <c r="C57" t="s">
        <v>1599</v>
      </c>
      <c r="D57" t="s">
        <v>1600</v>
      </c>
      <c r="E57" t="s">
        <v>1601</v>
      </c>
      <c r="F57" t="s">
        <v>1602</v>
      </c>
      <c r="G57" t="s">
        <v>1603</v>
      </c>
      <c r="H57" s="2" t="s">
        <v>1604</v>
      </c>
      <c r="I57" s="2" t="s">
        <v>1604</v>
      </c>
      <c r="J57" t="s">
        <v>1605</v>
      </c>
      <c r="K57" t="s">
        <v>1606</v>
      </c>
      <c r="L57" t="s">
        <v>1607</v>
      </c>
      <c r="M57" t="s">
        <v>1608</v>
      </c>
      <c r="N57" t="s">
        <v>1609</v>
      </c>
      <c r="O57" t="s">
        <v>1610</v>
      </c>
      <c r="P57" t="s">
        <v>1607</v>
      </c>
      <c r="Q57" t="s">
        <v>1611</v>
      </c>
      <c r="R57" t="s">
        <v>1612</v>
      </c>
      <c r="S57" t="s">
        <v>1613</v>
      </c>
      <c r="T57" t="s">
        <v>1614</v>
      </c>
      <c r="U57" t="s">
        <v>1615</v>
      </c>
      <c r="V57" t="s">
        <v>1616</v>
      </c>
      <c r="W57" s="2" t="s">
        <v>1617</v>
      </c>
      <c r="X57" t="s">
        <v>1618</v>
      </c>
      <c r="Y57" t="s">
        <v>1619</v>
      </c>
      <c r="Z57" t="s">
        <v>1620</v>
      </c>
      <c r="AA57" t="s">
        <v>1621</v>
      </c>
      <c r="AB57" t="s">
        <v>1622</v>
      </c>
      <c r="AC57" t="s">
        <v>1623</v>
      </c>
      <c r="AD57" t="s">
        <v>1624</v>
      </c>
      <c r="AE57" t="s">
        <v>1625</v>
      </c>
      <c r="AF57" t="s">
        <v>1626</v>
      </c>
      <c r="AG57" t="s">
        <v>1627</v>
      </c>
      <c r="AH57" t="s">
        <v>1628</v>
      </c>
      <c r="AI57" t="s">
        <v>1629</v>
      </c>
      <c r="AJ57" t="s">
        <v>1607</v>
      </c>
      <c r="AK57" t="s">
        <v>1630</v>
      </c>
      <c r="AL57" t="s">
        <v>1631</v>
      </c>
      <c r="AM57" t="s">
        <v>1632</v>
      </c>
      <c r="AN57" t="s">
        <v>1633</v>
      </c>
      <c r="AO57" t="s">
        <v>1634</v>
      </c>
    </row>
    <row r="58" spans="1:41">
      <c r="A58" s="1" t="s">
        <v>1635</v>
      </c>
      <c r="B58" t="s">
        <v>1636</v>
      </c>
      <c r="C58" t="s">
        <v>1637</v>
      </c>
      <c r="D58" t="s">
        <v>1638</v>
      </c>
      <c r="E58" t="s">
        <v>1639</v>
      </c>
      <c r="F58" t="s">
        <v>1640</v>
      </c>
      <c r="G58" t="s">
        <v>1641</v>
      </c>
      <c r="H58" s="2" t="s">
        <v>1642</v>
      </c>
      <c r="I58" s="2" t="s">
        <v>1643</v>
      </c>
      <c r="J58" t="s">
        <v>1644</v>
      </c>
      <c r="K58" s="1" t="s">
        <v>1645</v>
      </c>
      <c r="L58" t="s">
        <v>1646</v>
      </c>
      <c r="M58" t="s">
        <v>1647</v>
      </c>
      <c r="N58" t="s">
        <v>1648</v>
      </c>
      <c r="O58" t="s">
        <v>1649</v>
      </c>
      <c r="P58" t="s">
        <v>1650</v>
      </c>
      <c r="Q58" t="s">
        <v>1651</v>
      </c>
      <c r="R58" t="s">
        <v>1652</v>
      </c>
      <c r="S58" t="s">
        <v>1653</v>
      </c>
      <c r="T58" t="s">
        <v>1654</v>
      </c>
      <c r="U58" t="s">
        <v>1655</v>
      </c>
      <c r="V58" t="s">
        <v>1656</v>
      </c>
      <c r="W58" s="2" t="s">
        <v>1657</v>
      </c>
      <c r="X58" t="s">
        <v>1658</v>
      </c>
      <c r="Y58" t="s">
        <v>1659</v>
      </c>
      <c r="Z58" t="s">
        <v>1660</v>
      </c>
      <c r="AA58" t="s">
        <v>1661</v>
      </c>
      <c r="AB58" t="s">
        <v>1662</v>
      </c>
      <c r="AC58" s="1" t="s">
        <v>1663</v>
      </c>
      <c r="AD58" t="s">
        <v>1664</v>
      </c>
      <c r="AE58" t="s">
        <v>1665</v>
      </c>
      <c r="AF58" t="s">
        <v>1666</v>
      </c>
      <c r="AG58" t="s">
        <v>1667</v>
      </c>
      <c r="AH58" t="s">
        <v>1668</v>
      </c>
      <c r="AI58" t="s">
        <v>1664</v>
      </c>
      <c r="AJ58" t="s">
        <v>1669</v>
      </c>
      <c r="AK58" t="s">
        <v>1670</v>
      </c>
      <c r="AL58" t="s">
        <v>1671</v>
      </c>
      <c r="AM58" t="s">
        <v>1672</v>
      </c>
      <c r="AN58" t="s">
        <v>1673</v>
      </c>
      <c r="AO58" t="s">
        <v>1674</v>
      </c>
    </row>
    <row r="59" spans="1:41">
      <c r="A59" s="1" t="s">
        <v>1675</v>
      </c>
      <c r="B59" t="s">
        <v>1676</v>
      </c>
      <c r="C59" t="s">
        <v>1677</v>
      </c>
      <c r="D59" t="s">
        <v>1678</v>
      </c>
      <c r="E59" t="s">
        <v>1679</v>
      </c>
      <c r="F59" t="s">
        <v>1680</v>
      </c>
      <c r="G59" t="s">
        <v>1681</v>
      </c>
      <c r="H59" s="2" t="s">
        <v>1682</v>
      </c>
      <c r="I59" s="2" t="s">
        <v>1683</v>
      </c>
      <c r="J59" t="s">
        <v>1684</v>
      </c>
      <c r="K59" s="1" t="s">
        <v>1685</v>
      </c>
      <c r="L59" t="s">
        <v>1686</v>
      </c>
      <c r="M59" t="s">
        <v>1687</v>
      </c>
      <c r="N59" t="s">
        <v>1688</v>
      </c>
      <c r="O59" t="s">
        <v>1689</v>
      </c>
      <c r="P59" t="s">
        <v>1690</v>
      </c>
      <c r="Q59" t="s">
        <v>1691</v>
      </c>
      <c r="R59" t="s">
        <v>1692</v>
      </c>
      <c r="S59" t="s">
        <v>1693</v>
      </c>
      <c r="T59" t="s">
        <v>1694</v>
      </c>
      <c r="U59" t="s">
        <v>1695</v>
      </c>
      <c r="V59" t="s">
        <v>1696</v>
      </c>
      <c r="W59" s="2" t="s">
        <v>1697</v>
      </c>
      <c r="X59" t="s">
        <v>1698</v>
      </c>
      <c r="Y59" t="s">
        <v>1699</v>
      </c>
      <c r="Z59" t="s">
        <v>1700</v>
      </c>
      <c r="AA59" t="s">
        <v>1701</v>
      </c>
      <c r="AB59" t="s">
        <v>1702</v>
      </c>
      <c r="AC59" s="1" t="s">
        <v>1703</v>
      </c>
      <c r="AD59" t="s">
        <v>1704</v>
      </c>
      <c r="AE59" t="s">
        <v>1705</v>
      </c>
      <c r="AF59" t="s">
        <v>1699</v>
      </c>
      <c r="AG59" t="s">
        <v>1706</v>
      </c>
      <c r="AH59" t="s">
        <v>1684</v>
      </c>
      <c r="AI59" t="s">
        <v>1707</v>
      </c>
      <c r="AJ59" t="s">
        <v>1708</v>
      </c>
      <c r="AK59" t="s">
        <v>1709</v>
      </c>
      <c r="AL59" t="s">
        <v>1710</v>
      </c>
      <c r="AM59" t="s">
        <v>1711</v>
      </c>
      <c r="AN59" t="s">
        <v>1712</v>
      </c>
      <c r="AO59" t="s">
        <v>1713</v>
      </c>
    </row>
    <row r="60" spans="1:41">
      <c r="A60" s="1" t="s">
        <v>1714</v>
      </c>
      <c r="B60" t="s">
        <v>1715</v>
      </c>
      <c r="C60" t="s">
        <v>1716</v>
      </c>
      <c r="D60" t="s">
        <v>1717</v>
      </c>
      <c r="E60" t="s">
        <v>1718</v>
      </c>
      <c r="F60" t="s">
        <v>1719</v>
      </c>
      <c r="G60" t="s">
        <v>1720</v>
      </c>
      <c r="H60" s="2" t="s">
        <v>1721</v>
      </c>
      <c r="I60" s="2" t="s">
        <v>1722</v>
      </c>
      <c r="J60" t="s">
        <v>1723</v>
      </c>
      <c r="K60" t="s">
        <v>1723</v>
      </c>
      <c r="L60" t="s">
        <v>1723</v>
      </c>
      <c r="M60" t="s">
        <v>1724</v>
      </c>
      <c r="N60" t="s">
        <v>1725</v>
      </c>
      <c r="O60" t="s">
        <v>1726</v>
      </c>
      <c r="P60" t="s">
        <v>1723</v>
      </c>
      <c r="Q60" t="s">
        <v>1727</v>
      </c>
      <c r="R60" t="s">
        <v>1728</v>
      </c>
      <c r="S60" t="s">
        <v>1729</v>
      </c>
      <c r="T60" t="s">
        <v>1730</v>
      </c>
      <c r="U60" t="s">
        <v>1731</v>
      </c>
      <c r="V60" t="s">
        <v>1732</v>
      </c>
      <c r="W60" s="2" t="s">
        <v>1733</v>
      </c>
      <c r="X60" t="s">
        <v>1734</v>
      </c>
      <c r="Y60" t="s">
        <v>1735</v>
      </c>
      <c r="Z60" t="s">
        <v>1732</v>
      </c>
      <c r="AA60" t="s">
        <v>1723</v>
      </c>
      <c r="AB60" t="s">
        <v>1736</v>
      </c>
      <c r="AC60" t="s">
        <v>1730</v>
      </c>
      <c r="AD60" t="s">
        <v>1737</v>
      </c>
      <c r="AE60" t="s">
        <v>1732</v>
      </c>
      <c r="AF60" t="s">
        <v>1735</v>
      </c>
      <c r="AG60" t="s">
        <v>1723</v>
      </c>
      <c r="AH60" t="s">
        <v>1734</v>
      </c>
      <c r="AI60" t="s">
        <v>1730</v>
      </c>
      <c r="AJ60" t="s">
        <v>1738</v>
      </c>
      <c r="AK60" t="s">
        <v>1739</v>
      </c>
      <c r="AL60" t="s">
        <v>1740</v>
      </c>
      <c r="AM60" t="s">
        <v>1714</v>
      </c>
      <c r="AN60" t="s">
        <v>1741</v>
      </c>
      <c r="AO60" t="s">
        <v>1742</v>
      </c>
    </row>
    <row r="61" spans="1:41">
      <c r="A61" s="1" t="s">
        <v>1743</v>
      </c>
      <c r="B61" t="s">
        <v>1744</v>
      </c>
      <c r="C61" t="s">
        <v>1745</v>
      </c>
      <c r="D61" t="s">
        <v>1746</v>
      </c>
      <c r="E61" t="s">
        <v>1747</v>
      </c>
      <c r="F61" t="s">
        <v>1748</v>
      </c>
      <c r="G61" t="s">
        <v>1749</v>
      </c>
      <c r="H61" s="2" t="s">
        <v>1750</v>
      </c>
      <c r="I61" s="2" t="s">
        <v>1751</v>
      </c>
      <c r="J61" t="s">
        <v>1752</v>
      </c>
      <c r="K61" t="s">
        <v>1753</v>
      </c>
      <c r="L61" t="s">
        <v>1754</v>
      </c>
      <c r="M61" t="s">
        <v>1755</v>
      </c>
      <c r="N61" t="s">
        <v>1756</v>
      </c>
      <c r="O61" t="s">
        <v>1757</v>
      </c>
      <c r="P61" t="s">
        <v>1758</v>
      </c>
      <c r="Q61" t="s">
        <v>1759</v>
      </c>
      <c r="R61" t="s">
        <v>1760</v>
      </c>
      <c r="S61" t="s">
        <v>1761</v>
      </c>
      <c r="T61" t="s">
        <v>1743</v>
      </c>
      <c r="U61" t="s">
        <v>1762</v>
      </c>
      <c r="V61" t="s">
        <v>1743</v>
      </c>
      <c r="W61" s="2" t="s">
        <v>1763</v>
      </c>
      <c r="X61" t="s">
        <v>1752</v>
      </c>
      <c r="Y61" t="s">
        <v>1764</v>
      </c>
      <c r="Z61" t="s">
        <v>1765</v>
      </c>
      <c r="AA61" t="s">
        <v>1766</v>
      </c>
      <c r="AB61" t="s">
        <v>1767</v>
      </c>
      <c r="AC61" t="s">
        <v>1743</v>
      </c>
      <c r="AD61" t="s">
        <v>1768</v>
      </c>
      <c r="AE61" t="s">
        <v>1743</v>
      </c>
      <c r="AF61" t="s">
        <v>1769</v>
      </c>
      <c r="AG61" t="s">
        <v>1770</v>
      </c>
      <c r="AH61" t="s">
        <v>1771</v>
      </c>
      <c r="AI61" t="s">
        <v>1743</v>
      </c>
      <c r="AJ61" t="s">
        <v>1772</v>
      </c>
      <c r="AK61" t="s">
        <v>1773</v>
      </c>
      <c r="AL61" t="s">
        <v>1774</v>
      </c>
      <c r="AM61" t="s">
        <v>1775</v>
      </c>
      <c r="AN61" t="s">
        <v>1776</v>
      </c>
      <c r="AO61" t="s">
        <v>1777</v>
      </c>
    </row>
    <row r="62" spans="1:41">
      <c r="A62" t="s">
        <v>1778</v>
      </c>
      <c r="B62" t="s">
        <v>1779</v>
      </c>
      <c r="C62" t="s">
        <v>1780</v>
      </c>
      <c r="D62" t="s">
        <v>1778</v>
      </c>
      <c r="E62" t="s">
        <v>1781</v>
      </c>
      <c r="F62" t="s">
        <v>1782</v>
      </c>
      <c r="G62" t="s">
        <v>1783</v>
      </c>
      <c r="H62" s="2" t="s">
        <v>1784</v>
      </c>
      <c r="I62" s="2" t="s">
        <v>1785</v>
      </c>
      <c r="J62" t="s">
        <v>1786</v>
      </c>
      <c r="K62" t="s">
        <v>1787</v>
      </c>
      <c r="L62" t="s">
        <v>1788</v>
      </c>
      <c r="M62" t="s">
        <v>1789</v>
      </c>
      <c r="N62" t="s">
        <v>1778</v>
      </c>
      <c r="O62" t="s">
        <v>1790</v>
      </c>
      <c r="P62" t="s">
        <v>1791</v>
      </c>
      <c r="Q62" t="s">
        <v>1792</v>
      </c>
      <c r="R62" t="s">
        <v>1793</v>
      </c>
      <c r="S62" t="s">
        <v>1794</v>
      </c>
      <c r="T62" t="s">
        <v>1795</v>
      </c>
      <c r="U62" t="s">
        <v>1778</v>
      </c>
      <c r="V62" t="s">
        <v>1796</v>
      </c>
      <c r="W62" s="2" t="s">
        <v>1797</v>
      </c>
      <c r="X62" t="s">
        <v>1798</v>
      </c>
      <c r="Y62" t="s">
        <v>1799</v>
      </c>
      <c r="Z62" t="s">
        <v>1800</v>
      </c>
      <c r="AA62" t="s">
        <v>1801</v>
      </c>
      <c r="AB62" t="s">
        <v>1802</v>
      </c>
      <c r="AC62" t="s">
        <v>1803</v>
      </c>
      <c r="AD62" t="s">
        <v>1783</v>
      </c>
      <c r="AE62" t="s">
        <v>1804</v>
      </c>
      <c r="AF62" t="s">
        <v>1805</v>
      </c>
      <c r="AG62" t="s">
        <v>1806</v>
      </c>
      <c r="AH62" t="s">
        <v>1778</v>
      </c>
      <c r="AI62" t="s">
        <v>1796</v>
      </c>
      <c r="AJ62" t="s">
        <v>1801</v>
      </c>
      <c r="AK62" t="s">
        <v>1807</v>
      </c>
      <c r="AL62" t="s">
        <v>1781</v>
      </c>
      <c r="AM62" t="s">
        <v>1808</v>
      </c>
      <c r="AN62" t="s">
        <v>1809</v>
      </c>
      <c r="AO62" t="s">
        <v>1810</v>
      </c>
    </row>
    <row r="63" spans="1:41">
      <c r="A63" s="1" t="s">
        <v>2616</v>
      </c>
      <c r="B63" t="s">
        <v>2650</v>
      </c>
      <c r="C63" t="s">
        <v>2651</v>
      </c>
      <c r="D63" t="s">
        <v>2652</v>
      </c>
      <c r="E63" t="s">
        <v>2653</v>
      </c>
      <c r="F63" t="s">
        <v>2654</v>
      </c>
      <c r="G63" t="s">
        <v>2655</v>
      </c>
      <c r="H63" t="s">
        <v>2656</v>
      </c>
      <c r="I63" t="s">
        <v>2657</v>
      </c>
      <c r="J63" t="s">
        <v>2658</v>
      </c>
      <c r="K63" t="s">
        <v>2659</v>
      </c>
      <c r="L63" t="s">
        <v>2660</v>
      </c>
      <c r="M63" t="s">
        <v>2661</v>
      </c>
      <c r="N63" t="s">
        <v>2662</v>
      </c>
      <c r="O63" t="s">
        <v>2663</v>
      </c>
      <c r="P63" t="s">
        <v>2660</v>
      </c>
      <c r="Q63" t="s">
        <v>2664</v>
      </c>
      <c r="R63" t="s">
        <v>2665</v>
      </c>
      <c r="S63" t="s">
        <v>2666</v>
      </c>
      <c r="T63" t="s">
        <v>2616</v>
      </c>
      <c r="U63" t="s">
        <v>2667</v>
      </c>
      <c r="V63" t="s">
        <v>2616</v>
      </c>
      <c r="W63" t="s">
        <v>2668</v>
      </c>
      <c r="X63" t="s">
        <v>2669</v>
      </c>
      <c r="Y63" t="s">
        <v>2670</v>
      </c>
      <c r="Z63" t="s">
        <v>2671</v>
      </c>
      <c r="AA63" t="s">
        <v>2616</v>
      </c>
      <c r="AB63" t="s">
        <v>2672</v>
      </c>
      <c r="AC63" t="s">
        <v>2616</v>
      </c>
      <c r="AD63" t="s">
        <v>2673</v>
      </c>
      <c r="AE63" t="s">
        <v>2616</v>
      </c>
      <c r="AF63" t="s">
        <v>2670</v>
      </c>
      <c r="AG63" t="s">
        <v>2659</v>
      </c>
      <c r="AH63" t="s">
        <v>2658</v>
      </c>
      <c r="AI63" t="s">
        <v>2616</v>
      </c>
      <c r="AJ63" t="s">
        <v>2660</v>
      </c>
      <c r="AK63" t="s">
        <v>2674</v>
      </c>
      <c r="AL63" t="s">
        <v>2675</v>
      </c>
      <c r="AM63" t="s">
        <v>2616</v>
      </c>
      <c r="AN63" t="s">
        <v>2676</v>
      </c>
      <c r="AO63" t="s">
        <v>2677</v>
      </c>
    </row>
    <row r="64" spans="1:41">
      <c r="A64" s="1" t="s">
        <v>1811</v>
      </c>
      <c r="B64" t="s">
        <v>1812</v>
      </c>
      <c r="C64" t="s">
        <v>1813</v>
      </c>
      <c r="D64" t="s">
        <v>1814</v>
      </c>
      <c r="E64" t="s">
        <v>1815</v>
      </c>
      <c r="F64" t="s">
        <v>1816</v>
      </c>
      <c r="G64" t="s">
        <v>1817</v>
      </c>
      <c r="H64" s="2" t="s">
        <v>1818</v>
      </c>
      <c r="I64" s="2" t="s">
        <v>1819</v>
      </c>
      <c r="J64" t="s">
        <v>1820</v>
      </c>
      <c r="K64" t="s">
        <v>1821</v>
      </c>
      <c r="L64" t="s">
        <v>1822</v>
      </c>
      <c r="M64" t="s">
        <v>1822</v>
      </c>
      <c r="N64" t="s">
        <v>1823</v>
      </c>
      <c r="O64" t="s">
        <v>1824</v>
      </c>
      <c r="P64" t="s">
        <v>1822</v>
      </c>
      <c r="Q64" t="s">
        <v>1825</v>
      </c>
      <c r="R64" t="s">
        <v>1826</v>
      </c>
      <c r="S64" t="s">
        <v>1827</v>
      </c>
      <c r="T64" t="s">
        <v>1828</v>
      </c>
      <c r="U64" t="s">
        <v>1814</v>
      </c>
      <c r="V64" t="s">
        <v>1829</v>
      </c>
      <c r="W64" s="2" t="s">
        <v>1830</v>
      </c>
      <c r="X64" t="s">
        <v>1831</v>
      </c>
      <c r="Y64" t="s">
        <v>1832</v>
      </c>
      <c r="Z64" t="s">
        <v>1833</v>
      </c>
      <c r="AA64" t="s">
        <v>1822</v>
      </c>
      <c r="AB64" t="s">
        <v>1834</v>
      </c>
      <c r="AC64" t="s">
        <v>1835</v>
      </c>
      <c r="AD64" t="s">
        <v>1836</v>
      </c>
      <c r="AE64" t="s">
        <v>1829</v>
      </c>
      <c r="AF64" t="s">
        <v>1837</v>
      </c>
      <c r="AG64" t="s">
        <v>1838</v>
      </c>
      <c r="AH64" t="s">
        <v>1820</v>
      </c>
      <c r="AI64" t="s">
        <v>1829</v>
      </c>
      <c r="AJ64" t="s">
        <v>1839</v>
      </c>
      <c r="AK64" t="s">
        <v>1840</v>
      </c>
      <c r="AL64" t="s">
        <v>1841</v>
      </c>
      <c r="AM64" t="s">
        <v>1842</v>
      </c>
      <c r="AN64" t="s">
        <v>1843</v>
      </c>
      <c r="AO64" t="s">
        <v>1844</v>
      </c>
    </row>
    <row r="65" spans="1:41">
      <c r="A65" s="1" t="s">
        <v>2618</v>
      </c>
      <c r="B65" t="s">
        <v>2678</v>
      </c>
      <c r="C65" t="s">
        <v>2679</v>
      </c>
      <c r="D65" t="s">
        <v>2680</v>
      </c>
      <c r="E65" t="s">
        <v>2681</v>
      </c>
      <c r="F65" t="s">
        <v>2682</v>
      </c>
      <c r="G65" t="s">
        <v>2683</v>
      </c>
      <c r="H65" t="s">
        <v>2684</v>
      </c>
      <c r="I65" t="s">
        <v>2685</v>
      </c>
      <c r="J65" t="s">
        <v>2686</v>
      </c>
      <c r="K65" t="s">
        <v>2687</v>
      </c>
      <c r="L65" t="s">
        <v>2688</v>
      </c>
      <c r="M65" t="s">
        <v>2689</v>
      </c>
      <c r="N65" t="s">
        <v>2690</v>
      </c>
      <c r="O65" t="s">
        <v>2691</v>
      </c>
      <c r="P65" t="s">
        <v>2618</v>
      </c>
      <c r="Q65" t="s">
        <v>2692</v>
      </c>
      <c r="R65" t="s">
        <v>2693</v>
      </c>
      <c r="S65" t="s">
        <v>2694</v>
      </c>
      <c r="T65" t="s">
        <v>2618</v>
      </c>
      <c r="U65" t="s">
        <v>2695</v>
      </c>
      <c r="V65" t="s">
        <v>2618</v>
      </c>
      <c r="W65" t="s">
        <v>2696</v>
      </c>
      <c r="X65" t="s">
        <v>2686</v>
      </c>
      <c r="Y65" t="s">
        <v>2697</v>
      </c>
      <c r="Z65" t="s">
        <v>2698</v>
      </c>
      <c r="AA65" t="s">
        <v>2618</v>
      </c>
      <c r="AB65" t="s">
        <v>2699</v>
      </c>
      <c r="AC65" t="s">
        <v>2700</v>
      </c>
      <c r="AD65" t="s">
        <v>2701</v>
      </c>
      <c r="AE65" t="s">
        <v>2618</v>
      </c>
      <c r="AF65" t="s">
        <v>2702</v>
      </c>
      <c r="AG65" t="s">
        <v>2703</v>
      </c>
      <c r="AH65" t="s">
        <v>2618</v>
      </c>
      <c r="AI65" t="s">
        <v>2618</v>
      </c>
      <c r="AJ65" t="s">
        <v>2688</v>
      </c>
      <c r="AK65" t="s">
        <v>2704</v>
      </c>
      <c r="AL65" t="s">
        <v>2705</v>
      </c>
      <c r="AM65" t="s">
        <v>2706</v>
      </c>
      <c r="AN65" t="s">
        <v>2707</v>
      </c>
      <c r="AO65" t="s">
        <v>2708</v>
      </c>
    </row>
    <row r="66" spans="1:41">
      <c r="A66" t="s">
        <v>1845</v>
      </c>
      <c r="B66" t="s">
        <v>1846</v>
      </c>
      <c r="C66" t="s">
        <v>1847</v>
      </c>
      <c r="D66" t="s">
        <v>1848</v>
      </c>
      <c r="E66" t="s">
        <v>1849</v>
      </c>
      <c r="F66" t="s">
        <v>1850</v>
      </c>
      <c r="G66" t="s">
        <v>1851</v>
      </c>
      <c r="H66" s="2" t="s">
        <v>1852</v>
      </c>
      <c r="I66" s="2" t="s">
        <v>1853</v>
      </c>
      <c r="J66" t="s">
        <v>1854</v>
      </c>
      <c r="K66" t="s">
        <v>1855</v>
      </c>
      <c r="L66" t="s">
        <v>1845</v>
      </c>
      <c r="M66" t="s">
        <v>1856</v>
      </c>
      <c r="N66" t="s">
        <v>1857</v>
      </c>
      <c r="O66" t="s">
        <v>1858</v>
      </c>
      <c r="P66" t="s">
        <v>1845</v>
      </c>
      <c r="Q66" t="s">
        <v>1859</v>
      </c>
      <c r="R66" t="s">
        <v>1860</v>
      </c>
      <c r="S66" t="s">
        <v>1861</v>
      </c>
      <c r="T66" t="s">
        <v>1862</v>
      </c>
      <c r="U66" t="s">
        <v>1845</v>
      </c>
      <c r="V66" t="s">
        <v>1863</v>
      </c>
      <c r="W66" s="2" t="s">
        <v>1864</v>
      </c>
      <c r="X66" t="s">
        <v>1865</v>
      </c>
      <c r="Y66" t="s">
        <v>1866</v>
      </c>
      <c r="Z66" t="s">
        <v>1867</v>
      </c>
      <c r="AA66" t="s">
        <v>1845</v>
      </c>
      <c r="AB66" t="s">
        <v>1868</v>
      </c>
      <c r="AC66" t="s">
        <v>1861</v>
      </c>
      <c r="AD66" t="s">
        <v>1869</v>
      </c>
      <c r="AE66" t="s">
        <v>1861</v>
      </c>
      <c r="AF66" t="s">
        <v>1870</v>
      </c>
      <c r="AG66" t="s">
        <v>1871</v>
      </c>
      <c r="AH66" t="s">
        <v>1865</v>
      </c>
      <c r="AI66" t="s">
        <v>1869</v>
      </c>
      <c r="AJ66" t="s">
        <v>1845</v>
      </c>
      <c r="AK66" t="s">
        <v>1872</v>
      </c>
      <c r="AL66" t="s">
        <v>1873</v>
      </c>
      <c r="AM66" t="s">
        <v>1874</v>
      </c>
      <c r="AN66" t="s">
        <v>1875</v>
      </c>
      <c r="AO66" t="s">
        <v>1876</v>
      </c>
    </row>
    <row r="67" spans="1:41">
      <c r="A67" t="s">
        <v>1877</v>
      </c>
      <c r="B67" t="s">
        <v>1878</v>
      </c>
      <c r="C67" t="s">
        <v>1879</v>
      </c>
      <c r="D67" t="s">
        <v>1880</v>
      </c>
      <c r="E67" t="s">
        <v>1881</v>
      </c>
      <c r="F67" t="s">
        <v>1882</v>
      </c>
      <c r="G67" t="s">
        <v>1883</v>
      </c>
      <c r="H67" s="2" t="s">
        <v>1884</v>
      </c>
      <c r="I67" s="2" t="s">
        <v>1885</v>
      </c>
      <c r="J67" t="s">
        <v>1886</v>
      </c>
      <c r="K67" t="s">
        <v>1887</v>
      </c>
      <c r="L67" t="s">
        <v>1888</v>
      </c>
      <c r="M67" t="s">
        <v>1889</v>
      </c>
      <c r="N67" t="s">
        <v>1890</v>
      </c>
      <c r="O67" t="s">
        <v>1891</v>
      </c>
      <c r="P67" t="s">
        <v>1888</v>
      </c>
      <c r="Q67" t="s">
        <v>1892</v>
      </c>
      <c r="R67" t="s">
        <v>1893</v>
      </c>
      <c r="S67" t="s">
        <v>1877</v>
      </c>
      <c r="T67" t="s">
        <v>1894</v>
      </c>
      <c r="U67" t="s">
        <v>1877</v>
      </c>
      <c r="V67" t="s">
        <v>1895</v>
      </c>
      <c r="W67" s="2" t="s">
        <v>1896</v>
      </c>
      <c r="X67" t="s">
        <v>1886</v>
      </c>
      <c r="Y67" t="s">
        <v>1897</v>
      </c>
      <c r="Z67" t="s">
        <v>1898</v>
      </c>
      <c r="AA67" t="s">
        <v>1894</v>
      </c>
      <c r="AB67" t="s">
        <v>1899</v>
      </c>
      <c r="AC67" t="s">
        <v>1894</v>
      </c>
      <c r="AD67" t="s">
        <v>1900</v>
      </c>
      <c r="AE67" t="s">
        <v>1894</v>
      </c>
      <c r="AF67" t="s">
        <v>1901</v>
      </c>
      <c r="AG67" t="s">
        <v>1902</v>
      </c>
      <c r="AH67" t="s">
        <v>1886</v>
      </c>
      <c r="AI67" t="s">
        <v>1900</v>
      </c>
      <c r="AJ67" t="s">
        <v>1888</v>
      </c>
      <c r="AK67" t="s">
        <v>1903</v>
      </c>
      <c r="AL67" t="s">
        <v>1881</v>
      </c>
      <c r="AM67" t="s">
        <v>1904</v>
      </c>
      <c r="AN67" t="s">
        <v>1905</v>
      </c>
      <c r="AO67" t="s">
        <v>1906</v>
      </c>
    </row>
    <row r="68" spans="1:41">
      <c r="A68" s="1" t="s">
        <v>1907</v>
      </c>
      <c r="B68" t="s">
        <v>1908</v>
      </c>
      <c r="C68" t="s">
        <v>1909</v>
      </c>
      <c r="D68" t="s">
        <v>1910</v>
      </c>
      <c r="E68" t="s">
        <v>1911</v>
      </c>
      <c r="F68" t="s">
        <v>1912</v>
      </c>
      <c r="G68" t="s">
        <v>1913</v>
      </c>
      <c r="H68" s="2" t="s">
        <v>1914</v>
      </c>
      <c r="I68" s="2" t="s">
        <v>1914</v>
      </c>
      <c r="J68" t="s">
        <v>1915</v>
      </c>
      <c r="K68" t="s">
        <v>1916</v>
      </c>
      <c r="L68" t="s">
        <v>1917</v>
      </c>
      <c r="M68" t="s">
        <v>1918</v>
      </c>
      <c r="N68" t="s">
        <v>1919</v>
      </c>
      <c r="O68" t="s">
        <v>1920</v>
      </c>
      <c r="P68" t="s">
        <v>1921</v>
      </c>
      <c r="Q68" t="s">
        <v>1922</v>
      </c>
      <c r="R68" t="s">
        <v>1923</v>
      </c>
      <c r="S68" t="s">
        <v>1924</v>
      </c>
      <c r="T68" t="s">
        <v>1925</v>
      </c>
      <c r="U68" t="s">
        <v>1926</v>
      </c>
      <c r="V68" t="s">
        <v>1927</v>
      </c>
      <c r="W68" s="2" t="s">
        <v>1928</v>
      </c>
      <c r="X68" t="s">
        <v>1929</v>
      </c>
      <c r="Y68" t="s">
        <v>1930</v>
      </c>
      <c r="Z68" t="s">
        <v>1931</v>
      </c>
      <c r="AA68" t="s">
        <v>1917</v>
      </c>
      <c r="AB68" t="s">
        <v>1932</v>
      </c>
      <c r="AC68" t="s">
        <v>1933</v>
      </c>
      <c r="AD68" t="s">
        <v>1934</v>
      </c>
      <c r="AE68" t="s">
        <v>1935</v>
      </c>
      <c r="AF68" t="s">
        <v>1930</v>
      </c>
      <c r="AG68" t="s">
        <v>1916</v>
      </c>
      <c r="AH68" t="s">
        <v>1915</v>
      </c>
      <c r="AI68" t="s">
        <v>1936</v>
      </c>
      <c r="AJ68" t="s">
        <v>1937</v>
      </c>
      <c r="AK68" t="s">
        <v>1938</v>
      </c>
      <c r="AL68" t="s">
        <v>1911</v>
      </c>
      <c r="AM68" t="s">
        <v>1939</v>
      </c>
      <c r="AN68" t="s">
        <v>1940</v>
      </c>
      <c r="AO68" t="s">
        <v>1941</v>
      </c>
    </row>
    <row r="69" spans="1:41">
      <c r="A69" t="s">
        <v>1942</v>
      </c>
      <c r="B69" t="s">
        <v>1943</v>
      </c>
      <c r="C69" t="s">
        <v>1944</v>
      </c>
      <c r="D69" t="s">
        <v>1945</v>
      </c>
      <c r="E69" t="s">
        <v>1946</v>
      </c>
      <c r="F69" t="s">
        <v>1947</v>
      </c>
      <c r="G69" t="s">
        <v>1948</v>
      </c>
      <c r="H69" s="2" t="s">
        <v>1949</v>
      </c>
      <c r="I69" s="2" t="s">
        <v>1950</v>
      </c>
      <c r="J69" t="s">
        <v>1951</v>
      </c>
      <c r="K69" t="s">
        <v>1952</v>
      </c>
      <c r="L69" t="s">
        <v>1953</v>
      </c>
      <c r="M69" t="s">
        <v>1953</v>
      </c>
      <c r="N69" t="s">
        <v>1954</v>
      </c>
      <c r="O69" t="s">
        <v>1955</v>
      </c>
      <c r="P69" t="s">
        <v>1956</v>
      </c>
      <c r="Q69" t="s">
        <v>1957</v>
      </c>
      <c r="R69" t="s">
        <v>1958</v>
      </c>
      <c r="S69" t="s">
        <v>1959</v>
      </c>
      <c r="T69" t="s">
        <v>1960</v>
      </c>
      <c r="U69" t="s">
        <v>1961</v>
      </c>
      <c r="V69" t="s">
        <v>1942</v>
      </c>
      <c r="W69" s="2" t="s">
        <v>1962</v>
      </c>
      <c r="X69" t="s">
        <v>1951</v>
      </c>
      <c r="Y69" t="s">
        <v>1963</v>
      </c>
      <c r="Z69" t="s">
        <v>1964</v>
      </c>
      <c r="AA69" t="s">
        <v>1956</v>
      </c>
      <c r="AB69" t="s">
        <v>1965</v>
      </c>
      <c r="AC69" t="s">
        <v>1966</v>
      </c>
      <c r="AD69" t="s">
        <v>1948</v>
      </c>
      <c r="AE69" t="s">
        <v>1960</v>
      </c>
      <c r="AF69" t="s">
        <v>1963</v>
      </c>
      <c r="AG69" t="s">
        <v>1967</v>
      </c>
      <c r="AH69" t="s">
        <v>1951</v>
      </c>
      <c r="AI69" t="s">
        <v>1960</v>
      </c>
      <c r="AJ69" t="s">
        <v>1968</v>
      </c>
      <c r="AK69" t="s">
        <v>1969</v>
      </c>
      <c r="AL69" t="s">
        <v>1970</v>
      </c>
      <c r="AM69" t="s">
        <v>1971</v>
      </c>
      <c r="AN69" t="s">
        <v>1972</v>
      </c>
      <c r="AO69" t="s">
        <v>1973</v>
      </c>
    </row>
    <row r="70" spans="1:41">
      <c r="A70" t="s">
        <v>1974</v>
      </c>
      <c r="B70" t="s">
        <v>1974</v>
      </c>
      <c r="C70" t="s">
        <v>1974</v>
      </c>
      <c r="D70" t="s">
        <v>1974</v>
      </c>
      <c r="E70" t="s">
        <v>1974</v>
      </c>
      <c r="F70" t="s">
        <v>1974</v>
      </c>
      <c r="G70" t="s">
        <v>1974</v>
      </c>
      <c r="H70" t="s">
        <v>1974</v>
      </c>
      <c r="I70" t="s">
        <v>1974</v>
      </c>
      <c r="J70" t="s">
        <v>1974</v>
      </c>
      <c r="K70" t="s">
        <v>1974</v>
      </c>
      <c r="L70" t="s">
        <v>1974</v>
      </c>
      <c r="M70" t="s">
        <v>1975</v>
      </c>
      <c r="N70" t="s">
        <v>1974</v>
      </c>
      <c r="O70" t="s">
        <v>1974</v>
      </c>
      <c r="P70" t="s">
        <v>1974</v>
      </c>
      <c r="Q70" t="s">
        <v>1974</v>
      </c>
      <c r="R70" t="s">
        <v>1974</v>
      </c>
      <c r="S70" t="s">
        <v>1974</v>
      </c>
      <c r="T70" t="s">
        <v>1974</v>
      </c>
      <c r="U70" t="s">
        <v>1974</v>
      </c>
      <c r="V70" t="s">
        <v>1974</v>
      </c>
      <c r="W70" t="s">
        <v>1976</v>
      </c>
      <c r="X70" t="s">
        <v>1974</v>
      </c>
      <c r="Y70" t="s">
        <v>1974</v>
      </c>
      <c r="Z70" t="s">
        <v>1974</v>
      </c>
      <c r="AA70" t="s">
        <v>1974</v>
      </c>
      <c r="AB70" t="s">
        <v>1977</v>
      </c>
      <c r="AC70" t="s">
        <v>1974</v>
      </c>
      <c r="AD70" t="s">
        <v>1974</v>
      </c>
      <c r="AE70" t="s">
        <v>1974</v>
      </c>
      <c r="AF70" t="s">
        <v>1974</v>
      </c>
      <c r="AG70" t="s">
        <v>1974</v>
      </c>
      <c r="AH70" t="s">
        <v>1974</v>
      </c>
      <c r="AI70" t="s">
        <v>1974</v>
      </c>
      <c r="AJ70" t="s">
        <v>1974</v>
      </c>
      <c r="AK70" t="s">
        <v>1978</v>
      </c>
      <c r="AL70" t="s">
        <v>1975</v>
      </c>
      <c r="AM70" t="s">
        <v>1974</v>
      </c>
      <c r="AN70" t="s">
        <v>1974</v>
      </c>
      <c r="AO70" t="s">
        <v>1979</v>
      </c>
    </row>
    <row r="71" spans="1:41">
      <c r="A71" t="s">
        <v>1980</v>
      </c>
      <c r="B71" t="s">
        <v>1980</v>
      </c>
      <c r="C71" t="s">
        <v>1980</v>
      </c>
      <c r="D71" t="s">
        <v>1980</v>
      </c>
      <c r="E71" t="s">
        <v>1980</v>
      </c>
      <c r="F71" t="s">
        <v>1980</v>
      </c>
      <c r="G71" t="s">
        <v>1980</v>
      </c>
      <c r="H71" t="s">
        <v>1980</v>
      </c>
      <c r="I71" t="s">
        <v>1980</v>
      </c>
      <c r="J71" t="s">
        <v>1980</v>
      </c>
      <c r="K71" t="s">
        <v>1980</v>
      </c>
      <c r="L71" t="s">
        <v>1980</v>
      </c>
      <c r="M71" t="s">
        <v>1981</v>
      </c>
      <c r="N71" t="s">
        <v>1980</v>
      </c>
      <c r="O71" t="s">
        <v>1980</v>
      </c>
      <c r="P71" t="s">
        <v>1980</v>
      </c>
      <c r="Q71" t="s">
        <v>1980</v>
      </c>
      <c r="R71" t="s">
        <v>1980</v>
      </c>
      <c r="S71" t="s">
        <v>1980</v>
      </c>
      <c r="T71" t="s">
        <v>1980</v>
      </c>
      <c r="U71" t="s">
        <v>1980</v>
      </c>
      <c r="V71" t="s">
        <v>1980</v>
      </c>
      <c r="W71" t="s">
        <v>1982</v>
      </c>
      <c r="X71" t="s">
        <v>1980</v>
      </c>
      <c r="Y71" t="s">
        <v>1980</v>
      </c>
      <c r="Z71" t="s">
        <v>1980</v>
      </c>
      <c r="AA71" t="s">
        <v>1980</v>
      </c>
      <c r="AB71" t="s">
        <v>1983</v>
      </c>
      <c r="AC71" t="s">
        <v>1980</v>
      </c>
      <c r="AD71" t="s">
        <v>1980</v>
      </c>
      <c r="AE71" t="s">
        <v>1980</v>
      </c>
      <c r="AF71" t="s">
        <v>1980</v>
      </c>
      <c r="AG71" t="s">
        <v>1980</v>
      </c>
      <c r="AH71" t="s">
        <v>1980</v>
      </c>
      <c r="AI71" t="s">
        <v>1980</v>
      </c>
      <c r="AJ71" t="s">
        <v>1980</v>
      </c>
      <c r="AK71" t="s">
        <v>1984</v>
      </c>
      <c r="AL71" t="s">
        <v>1981</v>
      </c>
      <c r="AM71" t="s">
        <v>1980</v>
      </c>
      <c r="AN71" t="s">
        <v>1980</v>
      </c>
      <c r="AO71" t="s">
        <v>1985</v>
      </c>
    </row>
    <row r="72" spans="1:41">
      <c r="A72" t="s">
        <v>1986</v>
      </c>
      <c r="B72" t="s">
        <v>1986</v>
      </c>
      <c r="C72" t="s">
        <v>1986</v>
      </c>
      <c r="D72" t="s">
        <v>1986</v>
      </c>
      <c r="E72" t="s">
        <v>1986</v>
      </c>
      <c r="F72" t="s">
        <v>1986</v>
      </c>
      <c r="G72" t="s">
        <v>1986</v>
      </c>
      <c r="H72" t="s">
        <v>1986</v>
      </c>
      <c r="I72" t="s">
        <v>1986</v>
      </c>
      <c r="J72" t="s">
        <v>1986</v>
      </c>
      <c r="K72" t="s">
        <v>1986</v>
      </c>
      <c r="L72" t="s">
        <v>1986</v>
      </c>
      <c r="M72" t="s">
        <v>1987</v>
      </c>
      <c r="N72" t="s">
        <v>1986</v>
      </c>
      <c r="O72" t="s">
        <v>1986</v>
      </c>
      <c r="P72" t="s">
        <v>1986</v>
      </c>
      <c r="Q72" t="s">
        <v>1986</v>
      </c>
      <c r="R72" t="s">
        <v>1986</v>
      </c>
      <c r="S72" t="s">
        <v>1986</v>
      </c>
      <c r="T72" t="s">
        <v>1986</v>
      </c>
      <c r="U72" t="s">
        <v>1986</v>
      </c>
      <c r="V72" t="s">
        <v>1986</v>
      </c>
      <c r="W72" t="s">
        <v>1988</v>
      </c>
      <c r="X72" t="s">
        <v>1986</v>
      </c>
      <c r="Y72" t="s">
        <v>1986</v>
      </c>
      <c r="Z72" t="s">
        <v>1986</v>
      </c>
      <c r="AA72" t="s">
        <v>1986</v>
      </c>
      <c r="AB72" t="s">
        <v>1989</v>
      </c>
      <c r="AC72" t="s">
        <v>1986</v>
      </c>
      <c r="AD72" t="s">
        <v>1986</v>
      </c>
      <c r="AE72" t="s">
        <v>1986</v>
      </c>
      <c r="AF72" t="s">
        <v>1986</v>
      </c>
      <c r="AG72" t="s">
        <v>1986</v>
      </c>
      <c r="AH72" t="s">
        <v>1986</v>
      </c>
      <c r="AI72" t="s">
        <v>1986</v>
      </c>
      <c r="AJ72" t="s">
        <v>1986</v>
      </c>
      <c r="AK72" t="s">
        <v>1990</v>
      </c>
      <c r="AL72" t="s">
        <v>1987</v>
      </c>
      <c r="AM72" t="s">
        <v>1986</v>
      </c>
      <c r="AN72" t="s">
        <v>1986</v>
      </c>
      <c r="AO72" t="s">
        <v>1991</v>
      </c>
    </row>
    <row r="73" spans="1:41">
      <c r="A73" t="s">
        <v>1992</v>
      </c>
      <c r="B73" t="s">
        <v>1992</v>
      </c>
      <c r="C73" t="s">
        <v>1992</v>
      </c>
      <c r="D73" t="s">
        <v>1992</v>
      </c>
      <c r="E73" t="s">
        <v>1992</v>
      </c>
      <c r="F73" t="s">
        <v>1992</v>
      </c>
      <c r="G73" t="s">
        <v>1992</v>
      </c>
      <c r="H73" t="s">
        <v>1992</v>
      </c>
      <c r="I73" t="s">
        <v>1992</v>
      </c>
      <c r="J73" t="s">
        <v>1992</v>
      </c>
      <c r="K73" t="s">
        <v>1992</v>
      </c>
      <c r="L73" t="s">
        <v>1992</v>
      </c>
      <c r="M73" t="s">
        <v>1993</v>
      </c>
      <c r="N73" t="s">
        <v>1992</v>
      </c>
      <c r="O73" t="s">
        <v>1992</v>
      </c>
      <c r="P73" t="s">
        <v>1992</v>
      </c>
      <c r="Q73" t="s">
        <v>1992</v>
      </c>
      <c r="R73" t="s">
        <v>1992</v>
      </c>
      <c r="S73" t="s">
        <v>1992</v>
      </c>
      <c r="T73" t="s">
        <v>1992</v>
      </c>
      <c r="U73" t="s">
        <v>1992</v>
      </c>
      <c r="V73" t="s">
        <v>1992</v>
      </c>
      <c r="W73" t="s">
        <v>1994</v>
      </c>
      <c r="X73" t="s">
        <v>1992</v>
      </c>
      <c r="Y73" t="s">
        <v>1992</v>
      </c>
      <c r="Z73" t="s">
        <v>1992</v>
      </c>
      <c r="AA73" t="s">
        <v>1992</v>
      </c>
      <c r="AB73" t="s">
        <v>1995</v>
      </c>
      <c r="AC73" t="s">
        <v>1992</v>
      </c>
      <c r="AD73" t="s">
        <v>1992</v>
      </c>
      <c r="AE73" t="s">
        <v>1992</v>
      </c>
      <c r="AF73" t="s">
        <v>1992</v>
      </c>
      <c r="AG73" t="s">
        <v>1992</v>
      </c>
      <c r="AH73" t="s">
        <v>1992</v>
      </c>
      <c r="AI73" t="s">
        <v>1992</v>
      </c>
      <c r="AJ73" t="s">
        <v>1992</v>
      </c>
      <c r="AK73" t="s">
        <v>1996</v>
      </c>
      <c r="AL73" t="s">
        <v>1993</v>
      </c>
      <c r="AM73" t="s">
        <v>1992</v>
      </c>
      <c r="AN73" t="s">
        <v>1992</v>
      </c>
      <c r="AO73" t="s">
        <v>1997</v>
      </c>
    </row>
    <row r="74" spans="1:41">
      <c r="A74" t="s">
        <v>1998</v>
      </c>
      <c r="B74" t="s">
        <v>1998</v>
      </c>
      <c r="C74" t="s">
        <v>1998</v>
      </c>
      <c r="D74" t="s">
        <v>1998</v>
      </c>
      <c r="E74" t="s">
        <v>1998</v>
      </c>
      <c r="F74" t="s">
        <v>1998</v>
      </c>
      <c r="G74" t="s">
        <v>1998</v>
      </c>
      <c r="H74" t="s">
        <v>1998</v>
      </c>
      <c r="I74" t="s">
        <v>1998</v>
      </c>
      <c r="J74" t="s">
        <v>1998</v>
      </c>
      <c r="K74" t="s">
        <v>1998</v>
      </c>
      <c r="L74" t="s">
        <v>1998</v>
      </c>
      <c r="M74" t="s">
        <v>1999</v>
      </c>
      <c r="N74" t="s">
        <v>1998</v>
      </c>
      <c r="O74" t="s">
        <v>1998</v>
      </c>
      <c r="P74" t="s">
        <v>1998</v>
      </c>
      <c r="Q74" t="s">
        <v>2000</v>
      </c>
      <c r="R74" t="s">
        <v>1998</v>
      </c>
      <c r="S74" t="s">
        <v>1998</v>
      </c>
      <c r="T74" t="s">
        <v>1998</v>
      </c>
      <c r="U74" t="s">
        <v>1998</v>
      </c>
      <c r="V74" t="s">
        <v>1998</v>
      </c>
      <c r="W74" t="s">
        <v>2001</v>
      </c>
      <c r="X74" t="s">
        <v>1998</v>
      </c>
      <c r="Y74" t="s">
        <v>1998</v>
      </c>
      <c r="Z74" t="s">
        <v>2002</v>
      </c>
      <c r="AA74" t="s">
        <v>1998</v>
      </c>
      <c r="AB74" t="s">
        <v>2003</v>
      </c>
      <c r="AC74" t="s">
        <v>1998</v>
      </c>
      <c r="AD74" t="s">
        <v>1998</v>
      </c>
      <c r="AE74" t="s">
        <v>1998</v>
      </c>
      <c r="AF74" t="s">
        <v>1998</v>
      </c>
      <c r="AG74" t="s">
        <v>1998</v>
      </c>
      <c r="AH74" t="s">
        <v>1998</v>
      </c>
      <c r="AI74" t="s">
        <v>1998</v>
      </c>
      <c r="AJ74" t="s">
        <v>1998</v>
      </c>
      <c r="AK74" t="s">
        <v>2004</v>
      </c>
      <c r="AL74" t="s">
        <v>1999</v>
      </c>
      <c r="AM74" t="s">
        <v>1998</v>
      </c>
      <c r="AN74" t="s">
        <v>1998</v>
      </c>
      <c r="AO74" t="s">
        <v>2005</v>
      </c>
    </row>
    <row r="75" spans="1:41">
      <c r="A75" t="s">
        <v>2006</v>
      </c>
      <c r="B75" t="s">
        <v>2006</v>
      </c>
      <c r="C75" t="s">
        <v>2006</v>
      </c>
      <c r="D75" t="s">
        <v>2006</v>
      </c>
      <c r="E75" t="s">
        <v>2006</v>
      </c>
      <c r="F75" t="s">
        <v>2006</v>
      </c>
      <c r="G75" t="s">
        <v>2006</v>
      </c>
      <c r="H75" t="s">
        <v>2006</v>
      </c>
      <c r="I75" t="s">
        <v>2006</v>
      </c>
      <c r="J75" t="s">
        <v>2006</v>
      </c>
      <c r="K75" t="s">
        <v>2006</v>
      </c>
      <c r="L75" t="s">
        <v>2006</v>
      </c>
      <c r="M75" t="s">
        <v>2007</v>
      </c>
      <c r="N75" t="s">
        <v>2006</v>
      </c>
      <c r="O75" t="s">
        <v>2006</v>
      </c>
      <c r="P75" t="s">
        <v>2006</v>
      </c>
      <c r="Q75" t="s">
        <v>2008</v>
      </c>
      <c r="R75" t="s">
        <v>2006</v>
      </c>
      <c r="S75" t="s">
        <v>2006</v>
      </c>
      <c r="T75" t="s">
        <v>2006</v>
      </c>
      <c r="U75" t="s">
        <v>2006</v>
      </c>
      <c r="V75" t="s">
        <v>2006</v>
      </c>
      <c r="W75" t="s">
        <v>2009</v>
      </c>
      <c r="X75" t="s">
        <v>2006</v>
      </c>
      <c r="Y75" t="s">
        <v>2006</v>
      </c>
      <c r="Z75" t="s">
        <v>2010</v>
      </c>
      <c r="AA75" t="s">
        <v>2006</v>
      </c>
      <c r="AB75" t="s">
        <v>2011</v>
      </c>
      <c r="AC75" t="s">
        <v>2006</v>
      </c>
      <c r="AD75" t="s">
        <v>2006</v>
      </c>
      <c r="AE75" t="s">
        <v>2006</v>
      </c>
      <c r="AF75" t="s">
        <v>2006</v>
      </c>
      <c r="AG75" t="s">
        <v>2006</v>
      </c>
      <c r="AH75" t="s">
        <v>2006</v>
      </c>
      <c r="AI75" t="s">
        <v>2006</v>
      </c>
      <c r="AJ75" t="s">
        <v>2006</v>
      </c>
      <c r="AK75" t="s">
        <v>2012</v>
      </c>
      <c r="AL75" t="s">
        <v>2007</v>
      </c>
      <c r="AM75" t="s">
        <v>2006</v>
      </c>
      <c r="AN75" t="s">
        <v>2006</v>
      </c>
      <c r="AO75" t="s">
        <v>2013</v>
      </c>
    </row>
    <row r="76" spans="1:41">
      <c r="A76" t="s">
        <v>2014</v>
      </c>
      <c r="B76" t="s">
        <v>2014</v>
      </c>
      <c r="C76" t="s">
        <v>2014</v>
      </c>
      <c r="D76" t="s">
        <v>2014</v>
      </c>
      <c r="E76" t="s">
        <v>2014</v>
      </c>
      <c r="F76" t="s">
        <v>2014</v>
      </c>
      <c r="G76" t="s">
        <v>2014</v>
      </c>
      <c r="H76" t="s">
        <v>2014</v>
      </c>
      <c r="I76" t="s">
        <v>2014</v>
      </c>
      <c r="J76" t="s">
        <v>2014</v>
      </c>
      <c r="K76" t="s">
        <v>2014</v>
      </c>
      <c r="L76" t="s">
        <v>2014</v>
      </c>
      <c r="M76" t="s">
        <v>2015</v>
      </c>
      <c r="N76" t="s">
        <v>2014</v>
      </c>
      <c r="O76" t="s">
        <v>2014</v>
      </c>
      <c r="P76" t="s">
        <v>2014</v>
      </c>
      <c r="Q76" t="s">
        <v>2016</v>
      </c>
      <c r="R76" t="s">
        <v>2014</v>
      </c>
      <c r="S76" t="s">
        <v>2014</v>
      </c>
      <c r="T76" t="s">
        <v>2014</v>
      </c>
      <c r="U76" t="s">
        <v>2014</v>
      </c>
      <c r="V76" t="s">
        <v>2014</v>
      </c>
      <c r="W76" t="s">
        <v>2017</v>
      </c>
      <c r="X76" t="s">
        <v>2014</v>
      </c>
      <c r="Y76" t="s">
        <v>2014</v>
      </c>
      <c r="Z76" t="s">
        <v>2014</v>
      </c>
      <c r="AA76" t="s">
        <v>2014</v>
      </c>
      <c r="AB76" t="s">
        <v>2018</v>
      </c>
      <c r="AC76" t="s">
        <v>2014</v>
      </c>
      <c r="AD76" t="s">
        <v>2014</v>
      </c>
      <c r="AE76" t="s">
        <v>2014</v>
      </c>
      <c r="AF76" t="s">
        <v>2014</v>
      </c>
      <c r="AG76" t="s">
        <v>2014</v>
      </c>
      <c r="AH76" t="s">
        <v>2014</v>
      </c>
      <c r="AI76" t="s">
        <v>2014</v>
      </c>
      <c r="AJ76" t="s">
        <v>2014</v>
      </c>
      <c r="AK76" t="s">
        <v>2019</v>
      </c>
      <c r="AL76" t="s">
        <v>2015</v>
      </c>
      <c r="AM76" t="s">
        <v>2014</v>
      </c>
      <c r="AN76" t="s">
        <v>2014</v>
      </c>
      <c r="AO76" t="s">
        <v>2020</v>
      </c>
    </row>
    <row r="77" spans="1:41">
      <c r="A77" t="s">
        <v>2021</v>
      </c>
      <c r="B77" t="s">
        <v>2021</v>
      </c>
      <c r="C77" t="s">
        <v>2021</v>
      </c>
      <c r="D77" t="s">
        <v>2021</v>
      </c>
      <c r="E77" t="s">
        <v>2021</v>
      </c>
      <c r="F77" t="s">
        <v>2021</v>
      </c>
      <c r="G77" t="s">
        <v>2021</v>
      </c>
      <c r="H77" t="s">
        <v>2021</v>
      </c>
      <c r="I77" t="s">
        <v>2021</v>
      </c>
      <c r="J77" t="s">
        <v>2021</v>
      </c>
      <c r="K77" t="s">
        <v>2021</v>
      </c>
      <c r="L77" t="s">
        <v>2021</v>
      </c>
      <c r="M77" t="s">
        <v>2022</v>
      </c>
      <c r="N77" t="s">
        <v>2021</v>
      </c>
      <c r="O77" t="s">
        <v>2021</v>
      </c>
      <c r="P77" t="s">
        <v>2021</v>
      </c>
      <c r="Q77" t="s">
        <v>2023</v>
      </c>
      <c r="R77" t="s">
        <v>2021</v>
      </c>
      <c r="S77" t="s">
        <v>2021</v>
      </c>
      <c r="T77" t="s">
        <v>2021</v>
      </c>
      <c r="U77" t="s">
        <v>2021</v>
      </c>
      <c r="V77" t="s">
        <v>2021</v>
      </c>
      <c r="W77" t="s">
        <v>2024</v>
      </c>
      <c r="X77" t="s">
        <v>2021</v>
      </c>
      <c r="Y77" t="s">
        <v>2021</v>
      </c>
      <c r="Z77" t="s">
        <v>2021</v>
      </c>
      <c r="AA77" t="s">
        <v>2021</v>
      </c>
      <c r="AB77" t="s">
        <v>2025</v>
      </c>
      <c r="AC77" t="s">
        <v>2021</v>
      </c>
      <c r="AD77" t="s">
        <v>2021</v>
      </c>
      <c r="AE77" t="s">
        <v>2021</v>
      </c>
      <c r="AF77" t="s">
        <v>2021</v>
      </c>
      <c r="AG77" t="s">
        <v>2021</v>
      </c>
      <c r="AH77" t="s">
        <v>2021</v>
      </c>
      <c r="AI77" t="s">
        <v>2021</v>
      </c>
      <c r="AJ77" t="s">
        <v>2021</v>
      </c>
      <c r="AK77" t="s">
        <v>2026</v>
      </c>
      <c r="AL77" t="s">
        <v>2022</v>
      </c>
      <c r="AM77" t="s">
        <v>2021</v>
      </c>
      <c r="AN77" t="s">
        <v>2021</v>
      </c>
      <c r="AO77" t="s">
        <v>2027</v>
      </c>
    </row>
    <row r="78" spans="1:41">
      <c r="A78" t="s">
        <v>2028</v>
      </c>
      <c r="B78" t="s">
        <v>2028</v>
      </c>
      <c r="C78" t="s">
        <v>2028</v>
      </c>
      <c r="D78" t="s">
        <v>2028</v>
      </c>
      <c r="E78" t="s">
        <v>2028</v>
      </c>
      <c r="F78" t="s">
        <v>2028</v>
      </c>
      <c r="G78" t="s">
        <v>2028</v>
      </c>
      <c r="H78" t="s">
        <v>2028</v>
      </c>
      <c r="I78" t="s">
        <v>2028</v>
      </c>
      <c r="J78" t="s">
        <v>2028</v>
      </c>
      <c r="K78" t="s">
        <v>2028</v>
      </c>
      <c r="L78" t="s">
        <v>2028</v>
      </c>
      <c r="M78" t="s">
        <v>2029</v>
      </c>
      <c r="N78" t="s">
        <v>2028</v>
      </c>
      <c r="O78" t="s">
        <v>2028</v>
      </c>
      <c r="P78" t="s">
        <v>2028</v>
      </c>
      <c r="Q78" t="s">
        <v>2030</v>
      </c>
      <c r="R78" t="s">
        <v>2028</v>
      </c>
      <c r="S78" t="s">
        <v>2028</v>
      </c>
      <c r="T78" t="s">
        <v>2028</v>
      </c>
      <c r="U78" t="s">
        <v>2028</v>
      </c>
      <c r="V78" t="s">
        <v>2028</v>
      </c>
      <c r="W78" t="s">
        <v>2031</v>
      </c>
      <c r="X78" t="s">
        <v>2028</v>
      </c>
      <c r="Y78" t="s">
        <v>2028</v>
      </c>
      <c r="Z78" t="s">
        <v>2028</v>
      </c>
      <c r="AA78" t="s">
        <v>2028</v>
      </c>
      <c r="AB78" t="s">
        <v>2032</v>
      </c>
      <c r="AC78" t="s">
        <v>2028</v>
      </c>
      <c r="AD78" t="s">
        <v>2028</v>
      </c>
      <c r="AE78" t="s">
        <v>2028</v>
      </c>
      <c r="AF78" t="s">
        <v>2028</v>
      </c>
      <c r="AG78" t="s">
        <v>2028</v>
      </c>
      <c r="AH78" t="s">
        <v>2028</v>
      </c>
      <c r="AI78" t="s">
        <v>2028</v>
      </c>
      <c r="AJ78" t="s">
        <v>2028</v>
      </c>
      <c r="AK78" t="s">
        <v>2033</v>
      </c>
      <c r="AL78" t="s">
        <v>2029</v>
      </c>
      <c r="AM78" t="s">
        <v>2028</v>
      </c>
      <c r="AN78" t="s">
        <v>2028</v>
      </c>
      <c r="AO78" t="s">
        <v>2034</v>
      </c>
    </row>
    <row r="79" spans="1:41">
      <c r="A79" t="s">
        <v>2035</v>
      </c>
      <c r="B79" t="s">
        <v>2035</v>
      </c>
      <c r="C79" t="s">
        <v>2035</v>
      </c>
      <c r="D79" t="s">
        <v>2035</v>
      </c>
      <c r="E79" t="s">
        <v>2035</v>
      </c>
      <c r="F79" t="s">
        <v>2035</v>
      </c>
      <c r="G79" t="s">
        <v>2035</v>
      </c>
      <c r="H79" t="s">
        <v>2035</v>
      </c>
      <c r="I79" t="s">
        <v>2035</v>
      </c>
      <c r="J79" t="s">
        <v>2035</v>
      </c>
      <c r="K79" t="s">
        <v>2035</v>
      </c>
      <c r="L79" t="s">
        <v>2035</v>
      </c>
      <c r="M79" t="s">
        <v>2036</v>
      </c>
      <c r="N79" t="s">
        <v>2035</v>
      </c>
      <c r="O79" t="s">
        <v>2035</v>
      </c>
      <c r="P79" t="s">
        <v>2035</v>
      </c>
      <c r="Q79" t="s">
        <v>2037</v>
      </c>
      <c r="R79" t="s">
        <v>2035</v>
      </c>
      <c r="S79" t="s">
        <v>2035</v>
      </c>
      <c r="T79" t="s">
        <v>2035</v>
      </c>
      <c r="U79" t="s">
        <v>2035</v>
      </c>
      <c r="V79" t="s">
        <v>2035</v>
      </c>
      <c r="W79" t="s">
        <v>2038</v>
      </c>
      <c r="X79" t="s">
        <v>2035</v>
      </c>
      <c r="Y79" t="s">
        <v>2035</v>
      </c>
      <c r="Z79" t="s">
        <v>2035</v>
      </c>
      <c r="AA79" t="s">
        <v>2035</v>
      </c>
      <c r="AB79" t="s">
        <v>2039</v>
      </c>
      <c r="AC79" t="s">
        <v>2035</v>
      </c>
      <c r="AD79" t="s">
        <v>2035</v>
      </c>
      <c r="AE79" t="s">
        <v>2035</v>
      </c>
      <c r="AF79" t="s">
        <v>2035</v>
      </c>
      <c r="AG79" t="s">
        <v>2035</v>
      </c>
      <c r="AH79" t="s">
        <v>2035</v>
      </c>
      <c r="AI79" t="s">
        <v>2035</v>
      </c>
      <c r="AJ79" t="s">
        <v>2035</v>
      </c>
      <c r="AK79" t="s">
        <v>2040</v>
      </c>
      <c r="AL79" t="s">
        <v>2036</v>
      </c>
      <c r="AM79" t="s">
        <v>2035</v>
      </c>
      <c r="AN79" t="s">
        <v>2035</v>
      </c>
      <c r="AO79" t="s">
        <v>2041</v>
      </c>
    </row>
    <row r="80" spans="1:41">
      <c r="A80" t="s">
        <v>2042</v>
      </c>
      <c r="B80" t="s">
        <v>2042</v>
      </c>
      <c r="C80" t="s">
        <v>2042</v>
      </c>
      <c r="D80" t="s">
        <v>2042</v>
      </c>
      <c r="E80" t="s">
        <v>2042</v>
      </c>
      <c r="F80" t="s">
        <v>2042</v>
      </c>
      <c r="G80" t="s">
        <v>2042</v>
      </c>
      <c r="H80" t="s">
        <v>2042</v>
      </c>
      <c r="I80" t="s">
        <v>2042</v>
      </c>
      <c r="J80" t="s">
        <v>2042</v>
      </c>
      <c r="K80" t="s">
        <v>2042</v>
      </c>
      <c r="L80" t="s">
        <v>2042</v>
      </c>
      <c r="M80" t="s">
        <v>2043</v>
      </c>
      <c r="N80" t="s">
        <v>2042</v>
      </c>
      <c r="O80" t="s">
        <v>2042</v>
      </c>
      <c r="P80" t="s">
        <v>2042</v>
      </c>
      <c r="Q80" t="s">
        <v>2044</v>
      </c>
      <c r="R80" t="s">
        <v>2042</v>
      </c>
      <c r="S80" t="s">
        <v>2042</v>
      </c>
      <c r="T80" t="s">
        <v>2042</v>
      </c>
      <c r="U80" t="s">
        <v>2042</v>
      </c>
      <c r="V80" t="s">
        <v>2042</v>
      </c>
      <c r="W80" t="s">
        <v>2045</v>
      </c>
      <c r="X80" t="s">
        <v>2042</v>
      </c>
      <c r="Y80" t="s">
        <v>2042</v>
      </c>
      <c r="Z80" t="s">
        <v>2042</v>
      </c>
      <c r="AA80" t="s">
        <v>2042</v>
      </c>
      <c r="AB80" t="s">
        <v>2046</v>
      </c>
      <c r="AC80" t="s">
        <v>2042</v>
      </c>
      <c r="AD80" t="s">
        <v>2042</v>
      </c>
      <c r="AE80" t="s">
        <v>2042</v>
      </c>
      <c r="AF80" t="s">
        <v>2042</v>
      </c>
      <c r="AG80" t="s">
        <v>2042</v>
      </c>
      <c r="AH80" t="s">
        <v>2042</v>
      </c>
      <c r="AI80" t="s">
        <v>2042</v>
      </c>
      <c r="AJ80" t="s">
        <v>2042</v>
      </c>
      <c r="AK80" t="s">
        <v>2047</v>
      </c>
      <c r="AL80" t="s">
        <v>2043</v>
      </c>
      <c r="AM80" t="s">
        <v>2042</v>
      </c>
      <c r="AN80" t="s">
        <v>2042</v>
      </c>
      <c r="AO80" t="s">
        <v>2048</v>
      </c>
    </row>
    <row r="81" spans="1:41">
      <c r="A81" t="s">
        <v>2049</v>
      </c>
      <c r="B81" t="s">
        <v>2049</v>
      </c>
      <c r="C81" t="s">
        <v>2049</v>
      </c>
      <c r="D81" t="s">
        <v>2049</v>
      </c>
      <c r="E81" t="s">
        <v>2049</v>
      </c>
      <c r="F81" t="s">
        <v>2049</v>
      </c>
      <c r="G81" t="s">
        <v>2049</v>
      </c>
      <c r="H81" t="s">
        <v>2049</v>
      </c>
      <c r="I81" t="s">
        <v>2049</v>
      </c>
      <c r="J81" t="s">
        <v>2049</v>
      </c>
      <c r="K81" t="s">
        <v>2049</v>
      </c>
      <c r="L81" t="s">
        <v>2049</v>
      </c>
      <c r="M81" t="s">
        <v>2050</v>
      </c>
      <c r="N81" t="s">
        <v>2049</v>
      </c>
      <c r="O81" t="s">
        <v>2049</v>
      </c>
      <c r="P81" t="s">
        <v>2049</v>
      </c>
      <c r="Q81" t="s">
        <v>2051</v>
      </c>
      <c r="R81" t="s">
        <v>2049</v>
      </c>
      <c r="S81" t="s">
        <v>2049</v>
      </c>
      <c r="T81" t="s">
        <v>2049</v>
      </c>
      <c r="U81" t="s">
        <v>2049</v>
      </c>
      <c r="V81" t="s">
        <v>2049</v>
      </c>
      <c r="W81" t="s">
        <v>2052</v>
      </c>
      <c r="X81" t="s">
        <v>2049</v>
      </c>
      <c r="Y81" t="s">
        <v>2049</v>
      </c>
      <c r="Z81" t="s">
        <v>2049</v>
      </c>
      <c r="AA81" t="s">
        <v>2049</v>
      </c>
      <c r="AB81" t="s">
        <v>2053</v>
      </c>
      <c r="AC81" t="s">
        <v>2049</v>
      </c>
      <c r="AD81" t="s">
        <v>2049</v>
      </c>
      <c r="AE81" t="s">
        <v>2049</v>
      </c>
      <c r="AF81" t="s">
        <v>2049</v>
      </c>
      <c r="AG81" t="s">
        <v>2049</v>
      </c>
      <c r="AH81" t="s">
        <v>2049</v>
      </c>
      <c r="AI81" t="s">
        <v>2049</v>
      </c>
      <c r="AJ81" t="s">
        <v>2049</v>
      </c>
      <c r="AK81" t="s">
        <v>2054</v>
      </c>
      <c r="AL81" t="s">
        <v>2050</v>
      </c>
      <c r="AM81" t="s">
        <v>2049</v>
      </c>
      <c r="AN81" t="s">
        <v>2049</v>
      </c>
      <c r="AO81" t="s">
        <v>2055</v>
      </c>
    </row>
    <row r="82" spans="1:41">
      <c r="A82" t="s">
        <v>2056</v>
      </c>
      <c r="B82" t="s">
        <v>2056</v>
      </c>
      <c r="C82" t="s">
        <v>2056</v>
      </c>
      <c r="D82" t="s">
        <v>2056</v>
      </c>
      <c r="E82" t="s">
        <v>2056</v>
      </c>
      <c r="F82" t="s">
        <v>2056</v>
      </c>
      <c r="G82" t="s">
        <v>2056</v>
      </c>
      <c r="H82" t="s">
        <v>2056</v>
      </c>
      <c r="I82" t="s">
        <v>2056</v>
      </c>
      <c r="J82" t="s">
        <v>2056</v>
      </c>
      <c r="K82" t="s">
        <v>2056</v>
      </c>
      <c r="L82" t="s">
        <v>2056</v>
      </c>
      <c r="M82" t="s">
        <v>2057</v>
      </c>
      <c r="N82" t="s">
        <v>2056</v>
      </c>
      <c r="O82" t="s">
        <v>2056</v>
      </c>
      <c r="P82" t="s">
        <v>2056</v>
      </c>
      <c r="Q82" t="s">
        <v>2058</v>
      </c>
      <c r="R82" t="s">
        <v>2056</v>
      </c>
      <c r="S82" t="s">
        <v>2056</v>
      </c>
      <c r="T82" t="s">
        <v>2056</v>
      </c>
      <c r="U82" t="s">
        <v>2056</v>
      </c>
      <c r="V82" t="s">
        <v>2056</v>
      </c>
      <c r="W82" t="s">
        <v>2059</v>
      </c>
      <c r="X82" t="s">
        <v>2056</v>
      </c>
      <c r="Y82" t="s">
        <v>2056</v>
      </c>
      <c r="Z82" t="s">
        <v>2060</v>
      </c>
      <c r="AA82" t="s">
        <v>2056</v>
      </c>
      <c r="AB82" t="s">
        <v>2061</v>
      </c>
      <c r="AC82" t="s">
        <v>2056</v>
      </c>
      <c r="AD82" t="s">
        <v>2056</v>
      </c>
      <c r="AE82" t="s">
        <v>2056</v>
      </c>
      <c r="AF82" t="s">
        <v>2056</v>
      </c>
      <c r="AG82" t="s">
        <v>2056</v>
      </c>
      <c r="AH82" t="s">
        <v>2056</v>
      </c>
      <c r="AI82" t="s">
        <v>2056</v>
      </c>
      <c r="AJ82" t="s">
        <v>2056</v>
      </c>
      <c r="AK82" t="s">
        <v>2062</v>
      </c>
      <c r="AL82" t="s">
        <v>2057</v>
      </c>
      <c r="AM82" t="s">
        <v>2056</v>
      </c>
      <c r="AN82" t="s">
        <v>2056</v>
      </c>
      <c r="AO82" t="s">
        <v>2063</v>
      </c>
    </row>
    <row r="83" spans="1:41">
      <c r="A83" t="s">
        <v>2064</v>
      </c>
      <c r="B83" t="s">
        <v>2064</v>
      </c>
      <c r="C83" t="s">
        <v>2064</v>
      </c>
      <c r="D83" t="s">
        <v>2064</v>
      </c>
      <c r="E83" t="s">
        <v>2064</v>
      </c>
      <c r="F83" t="s">
        <v>2064</v>
      </c>
      <c r="G83" t="s">
        <v>2064</v>
      </c>
      <c r="H83" t="s">
        <v>2064</v>
      </c>
      <c r="I83" t="s">
        <v>2064</v>
      </c>
      <c r="J83" t="s">
        <v>2064</v>
      </c>
      <c r="K83" t="s">
        <v>2064</v>
      </c>
      <c r="L83" t="s">
        <v>2064</v>
      </c>
      <c r="M83" t="s">
        <v>2065</v>
      </c>
      <c r="N83" t="s">
        <v>2064</v>
      </c>
      <c r="O83" t="s">
        <v>2064</v>
      </c>
      <c r="P83" t="s">
        <v>2064</v>
      </c>
      <c r="Q83" t="s">
        <v>2066</v>
      </c>
      <c r="R83" t="s">
        <v>2064</v>
      </c>
      <c r="S83" t="s">
        <v>2064</v>
      </c>
      <c r="T83" t="s">
        <v>2064</v>
      </c>
      <c r="U83" t="s">
        <v>2064</v>
      </c>
      <c r="V83" t="s">
        <v>2064</v>
      </c>
      <c r="W83" t="s">
        <v>2067</v>
      </c>
      <c r="X83" t="s">
        <v>2064</v>
      </c>
      <c r="Y83" t="s">
        <v>2064</v>
      </c>
      <c r="Z83" t="s">
        <v>2068</v>
      </c>
      <c r="AA83" t="s">
        <v>2064</v>
      </c>
      <c r="AB83" t="s">
        <v>2069</v>
      </c>
      <c r="AC83" t="s">
        <v>2064</v>
      </c>
      <c r="AD83" t="s">
        <v>2064</v>
      </c>
      <c r="AE83" t="s">
        <v>2064</v>
      </c>
      <c r="AF83" t="s">
        <v>2064</v>
      </c>
      <c r="AG83" t="s">
        <v>2064</v>
      </c>
      <c r="AH83" t="s">
        <v>2064</v>
      </c>
      <c r="AI83" t="s">
        <v>2064</v>
      </c>
      <c r="AJ83" t="s">
        <v>2064</v>
      </c>
      <c r="AK83" t="s">
        <v>2070</v>
      </c>
      <c r="AL83" t="s">
        <v>2065</v>
      </c>
      <c r="AM83" t="s">
        <v>2064</v>
      </c>
      <c r="AN83" t="s">
        <v>2064</v>
      </c>
      <c r="AO83" t="s">
        <v>2071</v>
      </c>
    </row>
    <row r="84" spans="1:41">
      <c r="A84" t="s">
        <v>2072</v>
      </c>
      <c r="B84" t="s">
        <v>2072</v>
      </c>
      <c r="C84" t="s">
        <v>2072</v>
      </c>
      <c r="D84" t="s">
        <v>2072</v>
      </c>
      <c r="E84" t="s">
        <v>2072</v>
      </c>
      <c r="F84" t="s">
        <v>2072</v>
      </c>
      <c r="G84" t="s">
        <v>2072</v>
      </c>
      <c r="H84" t="s">
        <v>2072</v>
      </c>
      <c r="I84" t="s">
        <v>2072</v>
      </c>
      <c r="J84" t="s">
        <v>2072</v>
      </c>
      <c r="K84" t="s">
        <v>2072</v>
      </c>
      <c r="L84" t="s">
        <v>2072</v>
      </c>
      <c r="M84" t="s">
        <v>2073</v>
      </c>
      <c r="N84" t="s">
        <v>2072</v>
      </c>
      <c r="O84" t="s">
        <v>2072</v>
      </c>
      <c r="P84" t="s">
        <v>2072</v>
      </c>
      <c r="Q84" t="s">
        <v>2072</v>
      </c>
      <c r="R84" t="s">
        <v>2072</v>
      </c>
      <c r="S84" t="s">
        <v>2072</v>
      </c>
      <c r="T84" t="s">
        <v>2072</v>
      </c>
      <c r="U84" t="s">
        <v>2072</v>
      </c>
      <c r="V84" t="s">
        <v>2072</v>
      </c>
      <c r="W84" t="s">
        <v>2074</v>
      </c>
      <c r="X84" t="s">
        <v>2072</v>
      </c>
      <c r="Y84" t="s">
        <v>2072</v>
      </c>
      <c r="Z84" t="s">
        <v>2075</v>
      </c>
      <c r="AA84" t="s">
        <v>2072</v>
      </c>
      <c r="AB84" t="s">
        <v>2076</v>
      </c>
      <c r="AC84" t="s">
        <v>2072</v>
      </c>
      <c r="AD84" t="s">
        <v>2072</v>
      </c>
      <c r="AE84" t="s">
        <v>2072</v>
      </c>
      <c r="AF84" t="s">
        <v>2072</v>
      </c>
      <c r="AG84" t="s">
        <v>2072</v>
      </c>
      <c r="AH84" t="s">
        <v>2072</v>
      </c>
      <c r="AI84" t="s">
        <v>2072</v>
      </c>
      <c r="AJ84" t="s">
        <v>2072</v>
      </c>
      <c r="AK84" t="s">
        <v>2077</v>
      </c>
      <c r="AL84" t="s">
        <v>2073</v>
      </c>
      <c r="AM84" t="s">
        <v>2072</v>
      </c>
      <c r="AN84" t="s">
        <v>2072</v>
      </c>
      <c r="AO84" t="s">
        <v>2078</v>
      </c>
    </row>
    <row r="85" spans="1:41">
      <c r="A85" t="s">
        <v>2079</v>
      </c>
      <c r="B85" t="s">
        <v>2079</v>
      </c>
      <c r="C85" t="s">
        <v>2079</v>
      </c>
      <c r="D85" t="s">
        <v>2079</v>
      </c>
      <c r="E85" t="s">
        <v>2079</v>
      </c>
      <c r="F85" t="s">
        <v>2079</v>
      </c>
      <c r="G85" t="s">
        <v>2079</v>
      </c>
      <c r="H85" t="s">
        <v>2079</v>
      </c>
      <c r="I85" t="s">
        <v>2079</v>
      </c>
      <c r="J85" t="s">
        <v>2079</v>
      </c>
      <c r="K85" t="s">
        <v>2079</v>
      </c>
      <c r="L85" t="s">
        <v>2079</v>
      </c>
      <c r="M85" t="s">
        <v>2080</v>
      </c>
      <c r="N85" t="s">
        <v>2079</v>
      </c>
      <c r="O85" t="s">
        <v>2079</v>
      </c>
      <c r="P85" t="s">
        <v>2079</v>
      </c>
      <c r="Q85" t="s">
        <v>2079</v>
      </c>
      <c r="R85" t="s">
        <v>2079</v>
      </c>
      <c r="S85" t="s">
        <v>2079</v>
      </c>
      <c r="T85" t="s">
        <v>2079</v>
      </c>
      <c r="U85" t="s">
        <v>2079</v>
      </c>
      <c r="V85" t="s">
        <v>2079</v>
      </c>
      <c r="W85" t="s">
        <v>2081</v>
      </c>
      <c r="X85" t="s">
        <v>2079</v>
      </c>
      <c r="Y85" t="s">
        <v>2079</v>
      </c>
      <c r="Z85" t="s">
        <v>2075</v>
      </c>
      <c r="AA85" t="s">
        <v>2079</v>
      </c>
      <c r="AB85" t="s">
        <v>2082</v>
      </c>
      <c r="AC85" t="s">
        <v>2079</v>
      </c>
      <c r="AD85" t="s">
        <v>2079</v>
      </c>
      <c r="AE85" t="s">
        <v>2079</v>
      </c>
      <c r="AF85" t="s">
        <v>2079</v>
      </c>
      <c r="AG85" t="s">
        <v>2079</v>
      </c>
      <c r="AH85" t="s">
        <v>2079</v>
      </c>
      <c r="AI85" t="s">
        <v>2079</v>
      </c>
      <c r="AJ85" t="s">
        <v>2079</v>
      </c>
      <c r="AK85" t="s">
        <v>2083</v>
      </c>
      <c r="AL85" t="s">
        <v>2080</v>
      </c>
      <c r="AM85" t="s">
        <v>2079</v>
      </c>
      <c r="AN85" t="s">
        <v>2079</v>
      </c>
      <c r="AO85" t="s">
        <v>2084</v>
      </c>
    </row>
    <row r="86" spans="1:41">
      <c r="A86" t="s">
        <v>2085</v>
      </c>
      <c r="B86" t="s">
        <v>2086</v>
      </c>
      <c r="C86" t="s">
        <v>2085</v>
      </c>
      <c r="D86" t="s">
        <v>2085</v>
      </c>
      <c r="E86" t="s">
        <v>2087</v>
      </c>
      <c r="F86" t="s">
        <v>2085</v>
      </c>
      <c r="G86" t="s">
        <v>2088</v>
      </c>
      <c r="H86" t="s">
        <v>2089</v>
      </c>
      <c r="I86" t="s">
        <v>2085</v>
      </c>
      <c r="J86" t="s">
        <v>2085</v>
      </c>
      <c r="K86" t="s">
        <v>2090</v>
      </c>
      <c r="L86" t="s">
        <v>2090</v>
      </c>
      <c r="M86" t="s">
        <v>2085</v>
      </c>
      <c r="N86" t="s">
        <v>2085</v>
      </c>
      <c r="O86" t="s">
        <v>2091</v>
      </c>
      <c r="P86" t="s">
        <v>2085</v>
      </c>
      <c r="Q86" t="s">
        <v>2092</v>
      </c>
      <c r="R86" t="s">
        <v>2085</v>
      </c>
      <c r="S86" t="s">
        <v>2093</v>
      </c>
      <c r="T86" t="s">
        <v>2085</v>
      </c>
      <c r="U86" t="s">
        <v>2085</v>
      </c>
      <c r="V86" t="s">
        <v>2085</v>
      </c>
      <c r="W86" t="s">
        <v>2094</v>
      </c>
      <c r="X86" t="s">
        <v>2095</v>
      </c>
      <c r="Y86" t="s">
        <v>2096</v>
      </c>
      <c r="Z86" t="s">
        <v>2097</v>
      </c>
      <c r="AA86" t="s">
        <v>2090</v>
      </c>
      <c r="AB86" t="s">
        <v>2098</v>
      </c>
      <c r="AC86" t="s">
        <v>2085</v>
      </c>
      <c r="AD86" t="s">
        <v>2085</v>
      </c>
      <c r="AE86" t="s">
        <v>2099</v>
      </c>
      <c r="AF86" t="s">
        <v>2100</v>
      </c>
      <c r="AG86" t="s">
        <v>2090</v>
      </c>
      <c r="AH86" t="s">
        <v>2085</v>
      </c>
      <c r="AI86" t="s">
        <v>2085</v>
      </c>
      <c r="AJ86" t="s">
        <v>2085</v>
      </c>
      <c r="AK86" t="s">
        <v>2101</v>
      </c>
      <c r="AL86" t="s">
        <v>2088</v>
      </c>
      <c r="AM86" t="s">
        <v>2102</v>
      </c>
      <c r="AN86" t="s">
        <v>2103</v>
      </c>
      <c r="AO86" t="s">
        <v>2104</v>
      </c>
    </row>
    <row r="87" spans="1:41">
      <c r="A87" t="s">
        <v>2105</v>
      </c>
      <c r="B87" t="s">
        <v>2106</v>
      </c>
      <c r="C87" t="s">
        <v>2105</v>
      </c>
      <c r="D87" t="s">
        <v>2105</v>
      </c>
      <c r="E87" t="s">
        <v>2107</v>
      </c>
      <c r="F87" t="s">
        <v>2105</v>
      </c>
      <c r="G87" t="s">
        <v>2108</v>
      </c>
      <c r="H87" t="s">
        <v>2109</v>
      </c>
      <c r="I87" t="s">
        <v>2105</v>
      </c>
      <c r="J87" t="s">
        <v>2105</v>
      </c>
      <c r="K87" t="s">
        <v>2110</v>
      </c>
      <c r="L87" t="s">
        <v>2110</v>
      </c>
      <c r="M87" t="s">
        <v>2105</v>
      </c>
      <c r="N87" t="s">
        <v>2105</v>
      </c>
      <c r="O87" t="s">
        <v>2111</v>
      </c>
      <c r="P87" t="s">
        <v>2105</v>
      </c>
      <c r="Q87" t="s">
        <v>2112</v>
      </c>
      <c r="R87" t="s">
        <v>2105</v>
      </c>
      <c r="S87" t="s">
        <v>2113</v>
      </c>
      <c r="T87" t="s">
        <v>2105</v>
      </c>
      <c r="U87" t="s">
        <v>2105</v>
      </c>
      <c r="V87" t="s">
        <v>2105</v>
      </c>
      <c r="W87" t="s">
        <v>2114</v>
      </c>
      <c r="X87" t="s">
        <v>2115</v>
      </c>
      <c r="Y87" t="s">
        <v>2116</v>
      </c>
      <c r="Z87" t="s">
        <v>2117</v>
      </c>
      <c r="AA87" t="s">
        <v>2110</v>
      </c>
      <c r="AB87" t="s">
        <v>2118</v>
      </c>
      <c r="AC87" t="s">
        <v>2105</v>
      </c>
      <c r="AD87" t="s">
        <v>2105</v>
      </c>
      <c r="AE87" t="s">
        <v>2119</v>
      </c>
      <c r="AF87" t="s">
        <v>2120</v>
      </c>
      <c r="AG87" t="s">
        <v>2110</v>
      </c>
      <c r="AH87" t="s">
        <v>2105</v>
      </c>
      <c r="AI87" t="s">
        <v>2105</v>
      </c>
      <c r="AJ87" t="s">
        <v>2105</v>
      </c>
      <c r="AK87" t="s">
        <v>2121</v>
      </c>
      <c r="AL87" t="s">
        <v>2108</v>
      </c>
      <c r="AM87" t="s">
        <v>2122</v>
      </c>
      <c r="AN87" t="s">
        <v>2123</v>
      </c>
      <c r="AO87" t="s">
        <v>2124</v>
      </c>
    </row>
    <row r="88" spans="1:41">
      <c r="A88" t="s">
        <v>2125</v>
      </c>
      <c r="B88" t="s">
        <v>2126</v>
      </c>
      <c r="C88" t="s">
        <v>2125</v>
      </c>
      <c r="D88" t="s">
        <v>2125</v>
      </c>
      <c r="E88" t="s">
        <v>2127</v>
      </c>
      <c r="F88" t="s">
        <v>2125</v>
      </c>
      <c r="G88" t="s">
        <v>2128</v>
      </c>
      <c r="H88" t="s">
        <v>2129</v>
      </c>
      <c r="I88" t="s">
        <v>2125</v>
      </c>
      <c r="J88" t="s">
        <v>2125</v>
      </c>
      <c r="K88" t="s">
        <v>2130</v>
      </c>
      <c r="L88" t="s">
        <v>2130</v>
      </c>
      <c r="M88" t="s">
        <v>2125</v>
      </c>
      <c r="N88" t="s">
        <v>2125</v>
      </c>
      <c r="O88" t="s">
        <v>2131</v>
      </c>
      <c r="P88" t="s">
        <v>2125</v>
      </c>
      <c r="Q88" t="s">
        <v>2132</v>
      </c>
      <c r="R88" t="s">
        <v>2125</v>
      </c>
      <c r="S88" t="s">
        <v>2133</v>
      </c>
      <c r="T88" t="s">
        <v>2125</v>
      </c>
      <c r="U88" t="s">
        <v>2125</v>
      </c>
      <c r="V88" t="s">
        <v>2125</v>
      </c>
      <c r="W88" t="s">
        <v>2134</v>
      </c>
      <c r="X88" t="s">
        <v>2135</v>
      </c>
      <c r="Y88" t="s">
        <v>2136</v>
      </c>
      <c r="Z88" t="s">
        <v>2137</v>
      </c>
      <c r="AA88" t="s">
        <v>2130</v>
      </c>
      <c r="AB88" t="s">
        <v>2138</v>
      </c>
      <c r="AC88" t="s">
        <v>2125</v>
      </c>
      <c r="AD88" t="s">
        <v>2125</v>
      </c>
      <c r="AE88" t="s">
        <v>2139</v>
      </c>
      <c r="AF88" t="s">
        <v>2140</v>
      </c>
      <c r="AG88" t="s">
        <v>2130</v>
      </c>
      <c r="AH88" t="s">
        <v>2125</v>
      </c>
      <c r="AI88" t="s">
        <v>2125</v>
      </c>
      <c r="AJ88" t="s">
        <v>2125</v>
      </c>
      <c r="AK88" t="s">
        <v>2141</v>
      </c>
      <c r="AL88" t="s">
        <v>2128</v>
      </c>
      <c r="AM88" t="s">
        <v>2142</v>
      </c>
      <c r="AN88" t="s">
        <v>2143</v>
      </c>
      <c r="AO88" t="s">
        <v>2144</v>
      </c>
    </row>
    <row r="89" spans="1:41">
      <c r="A89" t="s">
        <v>2145</v>
      </c>
      <c r="B89" t="s">
        <v>2146</v>
      </c>
      <c r="C89" t="s">
        <v>2145</v>
      </c>
      <c r="D89" t="s">
        <v>2145</v>
      </c>
      <c r="E89" t="s">
        <v>2147</v>
      </c>
      <c r="F89" t="s">
        <v>2145</v>
      </c>
      <c r="G89" t="s">
        <v>2148</v>
      </c>
      <c r="H89" t="s">
        <v>2149</v>
      </c>
      <c r="I89" t="s">
        <v>2145</v>
      </c>
      <c r="J89" t="s">
        <v>2145</v>
      </c>
      <c r="K89" t="s">
        <v>2150</v>
      </c>
      <c r="L89" t="s">
        <v>2150</v>
      </c>
      <c r="M89" t="s">
        <v>2145</v>
      </c>
      <c r="N89" t="s">
        <v>2145</v>
      </c>
      <c r="O89" t="s">
        <v>2151</v>
      </c>
      <c r="P89" t="s">
        <v>2145</v>
      </c>
      <c r="Q89" t="s">
        <v>2152</v>
      </c>
      <c r="R89" t="s">
        <v>2145</v>
      </c>
      <c r="S89" t="s">
        <v>2153</v>
      </c>
      <c r="T89" t="s">
        <v>2145</v>
      </c>
      <c r="U89" t="s">
        <v>2145</v>
      </c>
      <c r="V89" t="s">
        <v>2145</v>
      </c>
      <c r="W89" t="s">
        <v>2154</v>
      </c>
      <c r="X89" t="s">
        <v>2155</v>
      </c>
      <c r="Y89" t="s">
        <v>2156</v>
      </c>
      <c r="Z89" t="s">
        <v>2157</v>
      </c>
      <c r="AA89" t="s">
        <v>2150</v>
      </c>
      <c r="AB89" t="s">
        <v>2158</v>
      </c>
      <c r="AC89" t="s">
        <v>2145</v>
      </c>
      <c r="AD89" t="s">
        <v>2145</v>
      </c>
      <c r="AE89" t="s">
        <v>2159</v>
      </c>
      <c r="AF89" t="s">
        <v>2160</v>
      </c>
      <c r="AG89" t="s">
        <v>2150</v>
      </c>
      <c r="AH89" t="s">
        <v>2145</v>
      </c>
      <c r="AI89" t="s">
        <v>2145</v>
      </c>
      <c r="AJ89" t="s">
        <v>2145</v>
      </c>
      <c r="AK89" t="s">
        <v>2161</v>
      </c>
      <c r="AL89" t="s">
        <v>2148</v>
      </c>
      <c r="AM89" t="s">
        <v>2162</v>
      </c>
      <c r="AN89" t="s">
        <v>2163</v>
      </c>
      <c r="AO89" t="s">
        <v>2164</v>
      </c>
    </row>
    <row r="90" spans="1:41">
      <c r="A90" t="s">
        <v>2165</v>
      </c>
      <c r="B90" t="s">
        <v>2166</v>
      </c>
      <c r="C90" t="s">
        <v>2165</v>
      </c>
      <c r="D90" t="s">
        <v>2165</v>
      </c>
      <c r="E90" t="s">
        <v>2167</v>
      </c>
      <c r="F90" t="s">
        <v>2165</v>
      </c>
      <c r="G90" t="s">
        <v>2168</v>
      </c>
      <c r="H90" t="s">
        <v>2169</v>
      </c>
      <c r="I90" t="s">
        <v>2165</v>
      </c>
      <c r="J90" t="s">
        <v>2165</v>
      </c>
      <c r="K90" t="s">
        <v>2170</v>
      </c>
      <c r="L90" t="s">
        <v>2170</v>
      </c>
      <c r="M90" t="s">
        <v>2165</v>
      </c>
      <c r="N90" t="s">
        <v>2165</v>
      </c>
      <c r="O90" t="s">
        <v>2171</v>
      </c>
      <c r="P90" t="s">
        <v>2165</v>
      </c>
      <c r="Q90" t="s">
        <v>2172</v>
      </c>
      <c r="R90" t="s">
        <v>2165</v>
      </c>
      <c r="S90" t="s">
        <v>2173</v>
      </c>
      <c r="T90" t="s">
        <v>2165</v>
      </c>
      <c r="U90" t="s">
        <v>2165</v>
      </c>
      <c r="V90" t="s">
        <v>2165</v>
      </c>
      <c r="W90" t="s">
        <v>2174</v>
      </c>
      <c r="X90" t="s">
        <v>2175</v>
      </c>
      <c r="Y90" t="s">
        <v>2176</v>
      </c>
      <c r="Z90" t="s">
        <v>2177</v>
      </c>
      <c r="AA90" t="s">
        <v>2170</v>
      </c>
      <c r="AB90" t="s">
        <v>2178</v>
      </c>
      <c r="AC90" t="s">
        <v>2165</v>
      </c>
      <c r="AD90" t="s">
        <v>2165</v>
      </c>
      <c r="AE90" t="s">
        <v>2179</v>
      </c>
      <c r="AF90" t="s">
        <v>2180</v>
      </c>
      <c r="AG90" t="s">
        <v>2170</v>
      </c>
      <c r="AH90" t="s">
        <v>2165</v>
      </c>
      <c r="AI90" t="s">
        <v>2165</v>
      </c>
      <c r="AJ90" t="s">
        <v>2165</v>
      </c>
      <c r="AK90" t="s">
        <v>2181</v>
      </c>
      <c r="AL90" t="s">
        <v>2168</v>
      </c>
      <c r="AM90" t="s">
        <v>2182</v>
      </c>
      <c r="AN90" t="s">
        <v>2183</v>
      </c>
      <c r="AO90" t="s">
        <v>2184</v>
      </c>
    </row>
    <row r="91" spans="1:41">
      <c r="A91" t="s">
        <v>2185</v>
      </c>
      <c r="B91" t="s">
        <v>2186</v>
      </c>
      <c r="C91" t="s">
        <v>2185</v>
      </c>
      <c r="D91" t="s">
        <v>2185</v>
      </c>
      <c r="E91" t="s">
        <v>2187</v>
      </c>
      <c r="F91" t="s">
        <v>2185</v>
      </c>
      <c r="G91" t="s">
        <v>2188</v>
      </c>
      <c r="H91" t="s">
        <v>2189</v>
      </c>
      <c r="I91" t="s">
        <v>2185</v>
      </c>
      <c r="J91" t="s">
        <v>2185</v>
      </c>
      <c r="K91" t="s">
        <v>2190</v>
      </c>
      <c r="L91" t="s">
        <v>2190</v>
      </c>
      <c r="M91" t="s">
        <v>2185</v>
      </c>
      <c r="N91" t="s">
        <v>2185</v>
      </c>
      <c r="O91" t="s">
        <v>2191</v>
      </c>
      <c r="P91" t="s">
        <v>2185</v>
      </c>
      <c r="Q91" t="s">
        <v>2192</v>
      </c>
      <c r="R91" t="s">
        <v>2185</v>
      </c>
      <c r="S91" t="s">
        <v>2193</v>
      </c>
      <c r="T91" t="s">
        <v>2185</v>
      </c>
      <c r="U91" t="s">
        <v>2185</v>
      </c>
      <c r="V91" t="s">
        <v>2185</v>
      </c>
      <c r="W91" t="s">
        <v>2194</v>
      </c>
      <c r="X91" t="s">
        <v>2195</v>
      </c>
      <c r="Y91" t="s">
        <v>2196</v>
      </c>
      <c r="Z91" t="s">
        <v>2197</v>
      </c>
      <c r="AA91" t="s">
        <v>2190</v>
      </c>
      <c r="AB91" t="s">
        <v>2198</v>
      </c>
      <c r="AC91" t="s">
        <v>2185</v>
      </c>
      <c r="AD91" t="s">
        <v>2185</v>
      </c>
      <c r="AE91" t="s">
        <v>2199</v>
      </c>
      <c r="AF91" t="s">
        <v>2200</v>
      </c>
      <c r="AG91" t="s">
        <v>2190</v>
      </c>
      <c r="AH91" t="s">
        <v>2185</v>
      </c>
      <c r="AI91" t="s">
        <v>2185</v>
      </c>
      <c r="AJ91" t="s">
        <v>2185</v>
      </c>
      <c r="AK91" t="s">
        <v>2201</v>
      </c>
      <c r="AL91" t="s">
        <v>2188</v>
      </c>
      <c r="AM91" t="s">
        <v>2202</v>
      </c>
      <c r="AN91" t="s">
        <v>2203</v>
      </c>
      <c r="AO91" t="s">
        <v>2204</v>
      </c>
    </row>
    <row r="92" spans="1:41">
      <c r="A92" t="s">
        <v>2205</v>
      </c>
      <c r="B92" t="s">
        <v>2206</v>
      </c>
      <c r="C92" t="s">
        <v>2205</v>
      </c>
      <c r="D92" t="s">
        <v>2205</v>
      </c>
      <c r="E92" t="s">
        <v>2207</v>
      </c>
      <c r="F92" t="s">
        <v>2205</v>
      </c>
      <c r="G92" t="s">
        <v>2208</v>
      </c>
      <c r="H92" t="s">
        <v>2209</v>
      </c>
      <c r="I92" t="s">
        <v>2205</v>
      </c>
      <c r="J92" t="s">
        <v>2205</v>
      </c>
      <c r="K92" t="s">
        <v>2210</v>
      </c>
      <c r="L92" t="s">
        <v>2210</v>
      </c>
      <c r="M92" t="s">
        <v>2205</v>
      </c>
      <c r="N92" t="s">
        <v>2205</v>
      </c>
      <c r="O92" t="s">
        <v>2211</v>
      </c>
      <c r="P92" t="s">
        <v>2205</v>
      </c>
      <c r="Q92" t="s">
        <v>2212</v>
      </c>
      <c r="R92" t="s">
        <v>2205</v>
      </c>
      <c r="S92" t="s">
        <v>2213</v>
      </c>
      <c r="T92" t="s">
        <v>2205</v>
      </c>
      <c r="U92" t="s">
        <v>2205</v>
      </c>
      <c r="V92" t="s">
        <v>2205</v>
      </c>
      <c r="W92" t="s">
        <v>2214</v>
      </c>
      <c r="X92" t="s">
        <v>2215</v>
      </c>
      <c r="Y92" t="s">
        <v>2216</v>
      </c>
      <c r="Z92" t="s">
        <v>2217</v>
      </c>
      <c r="AA92" t="s">
        <v>2210</v>
      </c>
      <c r="AB92" t="s">
        <v>2218</v>
      </c>
      <c r="AC92" t="s">
        <v>2205</v>
      </c>
      <c r="AD92" t="s">
        <v>2205</v>
      </c>
      <c r="AE92" t="s">
        <v>2219</v>
      </c>
      <c r="AF92" t="s">
        <v>2220</v>
      </c>
      <c r="AG92" t="s">
        <v>2210</v>
      </c>
      <c r="AH92" t="s">
        <v>2205</v>
      </c>
      <c r="AI92" t="s">
        <v>2205</v>
      </c>
      <c r="AJ92" t="s">
        <v>2205</v>
      </c>
      <c r="AK92" t="s">
        <v>2221</v>
      </c>
      <c r="AL92" t="s">
        <v>2208</v>
      </c>
      <c r="AM92" t="s">
        <v>2222</v>
      </c>
      <c r="AN92" t="s">
        <v>2223</v>
      </c>
      <c r="AO92" t="s">
        <v>2224</v>
      </c>
    </row>
    <row r="93" spans="1:41">
      <c r="A93" t="s">
        <v>2225</v>
      </c>
      <c r="B93" t="s">
        <v>2226</v>
      </c>
      <c r="C93" t="s">
        <v>2225</v>
      </c>
      <c r="D93" t="s">
        <v>2225</v>
      </c>
      <c r="E93" t="s">
        <v>2227</v>
      </c>
      <c r="F93" t="s">
        <v>2225</v>
      </c>
      <c r="G93" t="s">
        <v>2228</v>
      </c>
      <c r="H93" t="s">
        <v>2229</v>
      </c>
      <c r="I93" t="s">
        <v>2225</v>
      </c>
      <c r="J93" t="s">
        <v>2225</v>
      </c>
      <c r="K93" t="s">
        <v>2230</v>
      </c>
      <c r="L93" t="s">
        <v>2230</v>
      </c>
      <c r="M93" t="s">
        <v>2225</v>
      </c>
      <c r="N93" t="s">
        <v>2225</v>
      </c>
      <c r="O93" t="s">
        <v>2231</v>
      </c>
      <c r="P93" t="s">
        <v>2225</v>
      </c>
      <c r="Q93" t="s">
        <v>2232</v>
      </c>
      <c r="R93" t="s">
        <v>2225</v>
      </c>
      <c r="S93" t="s">
        <v>2233</v>
      </c>
      <c r="T93" t="s">
        <v>2225</v>
      </c>
      <c r="U93" t="s">
        <v>2225</v>
      </c>
      <c r="V93" t="s">
        <v>2225</v>
      </c>
      <c r="W93" t="s">
        <v>2234</v>
      </c>
      <c r="X93" t="s">
        <v>2235</v>
      </c>
      <c r="Y93" t="s">
        <v>2236</v>
      </c>
      <c r="Z93" t="s">
        <v>2237</v>
      </c>
      <c r="AA93" t="s">
        <v>2230</v>
      </c>
      <c r="AB93" t="s">
        <v>2238</v>
      </c>
      <c r="AC93" t="s">
        <v>2225</v>
      </c>
      <c r="AD93" t="s">
        <v>2225</v>
      </c>
      <c r="AE93" t="s">
        <v>2239</v>
      </c>
      <c r="AF93" t="s">
        <v>2240</v>
      </c>
      <c r="AG93" t="s">
        <v>2230</v>
      </c>
      <c r="AH93" t="s">
        <v>2225</v>
      </c>
      <c r="AI93" t="s">
        <v>2225</v>
      </c>
      <c r="AJ93" t="s">
        <v>2225</v>
      </c>
      <c r="AK93" t="s">
        <v>2241</v>
      </c>
      <c r="AL93" t="s">
        <v>2228</v>
      </c>
      <c r="AM93" t="s">
        <v>2242</v>
      </c>
      <c r="AN93" t="s">
        <v>2243</v>
      </c>
      <c r="AO93" t="s">
        <v>2244</v>
      </c>
    </row>
    <row r="94" spans="1:41">
      <c r="A94" t="s">
        <v>2245</v>
      </c>
      <c r="B94" t="s">
        <v>2246</v>
      </c>
      <c r="C94" t="s">
        <v>2245</v>
      </c>
      <c r="D94" t="s">
        <v>2245</v>
      </c>
      <c r="E94" t="s">
        <v>2247</v>
      </c>
      <c r="F94" t="s">
        <v>2245</v>
      </c>
      <c r="G94" t="s">
        <v>2248</v>
      </c>
      <c r="H94" t="s">
        <v>2249</v>
      </c>
      <c r="I94" t="s">
        <v>2245</v>
      </c>
      <c r="J94" t="s">
        <v>2245</v>
      </c>
      <c r="K94" t="s">
        <v>2250</v>
      </c>
      <c r="L94" t="s">
        <v>2250</v>
      </c>
      <c r="M94" t="s">
        <v>2245</v>
      </c>
      <c r="N94" t="s">
        <v>2245</v>
      </c>
      <c r="O94" t="s">
        <v>2251</v>
      </c>
      <c r="P94" t="s">
        <v>2245</v>
      </c>
      <c r="Q94" t="s">
        <v>2252</v>
      </c>
      <c r="R94" t="s">
        <v>2245</v>
      </c>
      <c r="S94" t="s">
        <v>2253</v>
      </c>
      <c r="T94" t="s">
        <v>2245</v>
      </c>
      <c r="U94" t="s">
        <v>2245</v>
      </c>
      <c r="V94" t="s">
        <v>2245</v>
      </c>
      <c r="W94" t="s">
        <v>2254</v>
      </c>
      <c r="X94" t="s">
        <v>2255</v>
      </c>
      <c r="Y94" t="s">
        <v>2256</v>
      </c>
      <c r="Z94" t="s">
        <v>2257</v>
      </c>
      <c r="AA94" t="s">
        <v>2250</v>
      </c>
      <c r="AB94" t="s">
        <v>2258</v>
      </c>
      <c r="AC94" t="s">
        <v>2245</v>
      </c>
      <c r="AD94" t="s">
        <v>2245</v>
      </c>
      <c r="AE94" t="s">
        <v>2259</v>
      </c>
      <c r="AF94" t="s">
        <v>2260</v>
      </c>
      <c r="AG94" t="s">
        <v>2250</v>
      </c>
      <c r="AH94" t="s">
        <v>2245</v>
      </c>
      <c r="AI94" t="s">
        <v>2245</v>
      </c>
      <c r="AJ94" t="s">
        <v>2245</v>
      </c>
      <c r="AK94" t="s">
        <v>2261</v>
      </c>
      <c r="AL94" t="s">
        <v>2248</v>
      </c>
      <c r="AM94" t="s">
        <v>2262</v>
      </c>
      <c r="AN94" t="s">
        <v>2263</v>
      </c>
      <c r="AO94" t="s">
        <v>2264</v>
      </c>
    </row>
    <row r="95" spans="1:41">
      <c r="A95" t="s">
        <v>2265</v>
      </c>
      <c r="B95" t="s">
        <v>2266</v>
      </c>
      <c r="C95" t="s">
        <v>2265</v>
      </c>
      <c r="D95" t="s">
        <v>2265</v>
      </c>
      <c r="E95" t="s">
        <v>2267</v>
      </c>
      <c r="F95" t="s">
        <v>2265</v>
      </c>
      <c r="G95" t="s">
        <v>2268</v>
      </c>
      <c r="H95" t="s">
        <v>2269</v>
      </c>
      <c r="I95" t="s">
        <v>2265</v>
      </c>
      <c r="J95" t="s">
        <v>2265</v>
      </c>
      <c r="K95" t="s">
        <v>2270</v>
      </c>
      <c r="L95" t="s">
        <v>2270</v>
      </c>
      <c r="M95" t="s">
        <v>2265</v>
      </c>
      <c r="N95" t="s">
        <v>2265</v>
      </c>
      <c r="O95" t="s">
        <v>2271</v>
      </c>
      <c r="P95" t="s">
        <v>2265</v>
      </c>
      <c r="Q95" t="s">
        <v>2272</v>
      </c>
      <c r="R95" t="s">
        <v>2265</v>
      </c>
      <c r="S95" t="s">
        <v>2273</v>
      </c>
      <c r="T95" t="s">
        <v>2265</v>
      </c>
      <c r="U95" t="s">
        <v>2265</v>
      </c>
      <c r="V95" t="s">
        <v>2265</v>
      </c>
      <c r="W95" t="s">
        <v>2274</v>
      </c>
      <c r="X95" t="s">
        <v>2275</v>
      </c>
      <c r="Y95" t="s">
        <v>2276</v>
      </c>
      <c r="Z95" t="s">
        <v>2277</v>
      </c>
      <c r="AA95" t="s">
        <v>2270</v>
      </c>
      <c r="AB95" t="s">
        <v>2278</v>
      </c>
      <c r="AC95" t="s">
        <v>2265</v>
      </c>
      <c r="AD95" t="s">
        <v>2265</v>
      </c>
      <c r="AE95" t="s">
        <v>2279</v>
      </c>
      <c r="AF95" t="s">
        <v>2280</v>
      </c>
      <c r="AG95" t="s">
        <v>2270</v>
      </c>
      <c r="AH95" t="s">
        <v>2265</v>
      </c>
      <c r="AI95" t="s">
        <v>2265</v>
      </c>
      <c r="AJ95" t="s">
        <v>2265</v>
      </c>
      <c r="AK95" t="s">
        <v>2281</v>
      </c>
      <c r="AL95" t="s">
        <v>2268</v>
      </c>
      <c r="AM95" t="s">
        <v>2282</v>
      </c>
      <c r="AN95" t="s">
        <v>2283</v>
      </c>
      <c r="AO95" t="s">
        <v>2284</v>
      </c>
    </row>
    <row r="96" spans="1:41">
      <c r="A96" t="s">
        <v>2285</v>
      </c>
      <c r="B96" t="s">
        <v>2286</v>
      </c>
      <c r="C96" t="s">
        <v>2285</v>
      </c>
      <c r="D96" t="s">
        <v>2285</v>
      </c>
      <c r="E96" t="s">
        <v>2287</v>
      </c>
      <c r="F96" t="s">
        <v>2285</v>
      </c>
      <c r="G96" t="s">
        <v>2288</v>
      </c>
      <c r="H96" t="s">
        <v>2289</v>
      </c>
      <c r="I96" t="s">
        <v>2285</v>
      </c>
      <c r="J96" t="s">
        <v>2285</v>
      </c>
      <c r="K96" t="s">
        <v>2290</v>
      </c>
      <c r="L96" t="s">
        <v>2290</v>
      </c>
      <c r="M96" t="s">
        <v>2285</v>
      </c>
      <c r="N96" t="s">
        <v>2285</v>
      </c>
      <c r="O96" t="s">
        <v>2291</v>
      </c>
      <c r="P96" t="s">
        <v>2285</v>
      </c>
      <c r="Q96" t="s">
        <v>2292</v>
      </c>
      <c r="R96" t="s">
        <v>2285</v>
      </c>
      <c r="S96" t="s">
        <v>2293</v>
      </c>
      <c r="T96" t="s">
        <v>2285</v>
      </c>
      <c r="U96" t="s">
        <v>2285</v>
      </c>
      <c r="V96" t="s">
        <v>2285</v>
      </c>
      <c r="W96" t="s">
        <v>2294</v>
      </c>
      <c r="X96" t="s">
        <v>2295</v>
      </c>
      <c r="Y96" t="s">
        <v>2296</v>
      </c>
      <c r="Z96" t="s">
        <v>2297</v>
      </c>
      <c r="AA96" t="s">
        <v>2290</v>
      </c>
      <c r="AB96" t="s">
        <v>2298</v>
      </c>
      <c r="AC96" t="s">
        <v>2285</v>
      </c>
      <c r="AD96" t="s">
        <v>2285</v>
      </c>
      <c r="AE96" t="s">
        <v>2299</v>
      </c>
      <c r="AF96" t="s">
        <v>2300</v>
      </c>
      <c r="AG96" t="s">
        <v>2290</v>
      </c>
      <c r="AH96" t="s">
        <v>2285</v>
      </c>
      <c r="AI96" t="s">
        <v>2285</v>
      </c>
      <c r="AJ96" t="s">
        <v>2285</v>
      </c>
      <c r="AK96" t="s">
        <v>2301</v>
      </c>
      <c r="AL96" t="s">
        <v>2288</v>
      </c>
      <c r="AM96" t="s">
        <v>2302</v>
      </c>
      <c r="AN96" t="s">
        <v>2303</v>
      </c>
      <c r="AO96" t="s">
        <v>2304</v>
      </c>
    </row>
    <row r="97" spans="1:41">
      <c r="A97" t="s">
        <v>2305</v>
      </c>
      <c r="B97" t="s">
        <v>2306</v>
      </c>
      <c r="C97" t="s">
        <v>2305</v>
      </c>
      <c r="D97" t="s">
        <v>2305</v>
      </c>
      <c r="E97" t="s">
        <v>2307</v>
      </c>
      <c r="F97" t="s">
        <v>2305</v>
      </c>
      <c r="G97" t="s">
        <v>2308</v>
      </c>
      <c r="H97" t="s">
        <v>2309</v>
      </c>
      <c r="I97" t="s">
        <v>2305</v>
      </c>
      <c r="J97" t="s">
        <v>2305</v>
      </c>
      <c r="K97" t="s">
        <v>2310</v>
      </c>
      <c r="L97" t="s">
        <v>2310</v>
      </c>
      <c r="M97" t="s">
        <v>2305</v>
      </c>
      <c r="N97" t="s">
        <v>2305</v>
      </c>
      <c r="O97" t="s">
        <v>2311</v>
      </c>
      <c r="P97" t="s">
        <v>2305</v>
      </c>
      <c r="Q97" t="s">
        <v>2312</v>
      </c>
      <c r="R97" t="s">
        <v>2305</v>
      </c>
      <c r="S97" t="s">
        <v>2313</v>
      </c>
      <c r="T97" t="s">
        <v>2305</v>
      </c>
      <c r="U97" t="s">
        <v>2305</v>
      </c>
      <c r="V97" t="s">
        <v>2305</v>
      </c>
      <c r="W97" t="s">
        <v>2314</v>
      </c>
      <c r="X97" t="s">
        <v>2315</v>
      </c>
      <c r="Y97" t="s">
        <v>2316</v>
      </c>
      <c r="Z97" t="s">
        <v>2317</v>
      </c>
      <c r="AA97" t="s">
        <v>2310</v>
      </c>
      <c r="AB97" t="s">
        <v>2318</v>
      </c>
      <c r="AC97" t="s">
        <v>2305</v>
      </c>
      <c r="AD97" t="s">
        <v>2305</v>
      </c>
      <c r="AE97" t="s">
        <v>2319</v>
      </c>
      <c r="AF97" t="s">
        <v>2320</v>
      </c>
      <c r="AG97" t="s">
        <v>2310</v>
      </c>
      <c r="AH97" t="s">
        <v>2305</v>
      </c>
      <c r="AI97" t="s">
        <v>2305</v>
      </c>
      <c r="AJ97" t="s">
        <v>2305</v>
      </c>
      <c r="AK97" t="s">
        <v>2321</v>
      </c>
      <c r="AL97" t="s">
        <v>2308</v>
      </c>
      <c r="AM97" t="s">
        <v>2322</v>
      </c>
      <c r="AN97" t="s">
        <v>2323</v>
      </c>
      <c r="AO97" t="s">
        <v>2324</v>
      </c>
    </row>
    <row r="98" spans="1:41">
      <c r="A98" t="s">
        <v>2325</v>
      </c>
      <c r="B98" t="s">
        <v>2326</v>
      </c>
      <c r="C98" t="s">
        <v>2325</v>
      </c>
      <c r="D98" t="s">
        <v>2325</v>
      </c>
      <c r="E98" t="s">
        <v>2327</v>
      </c>
      <c r="F98" t="s">
        <v>2325</v>
      </c>
      <c r="G98" t="s">
        <v>2328</v>
      </c>
      <c r="H98" t="s">
        <v>2329</v>
      </c>
      <c r="I98" t="s">
        <v>2325</v>
      </c>
      <c r="J98" t="s">
        <v>2325</v>
      </c>
      <c r="K98" t="s">
        <v>2330</v>
      </c>
      <c r="L98" t="s">
        <v>2330</v>
      </c>
      <c r="M98" t="s">
        <v>2325</v>
      </c>
      <c r="N98" t="s">
        <v>2325</v>
      </c>
      <c r="O98" t="s">
        <v>2331</v>
      </c>
      <c r="P98" t="s">
        <v>2325</v>
      </c>
      <c r="Q98" t="s">
        <v>2332</v>
      </c>
      <c r="R98" t="s">
        <v>2325</v>
      </c>
      <c r="S98" t="s">
        <v>2333</v>
      </c>
      <c r="T98" t="s">
        <v>2325</v>
      </c>
      <c r="U98" t="s">
        <v>2325</v>
      </c>
      <c r="V98" t="s">
        <v>2325</v>
      </c>
      <c r="W98" s="2" t="s">
        <v>2334</v>
      </c>
      <c r="X98" t="s">
        <v>2335</v>
      </c>
      <c r="Y98" t="s">
        <v>2336</v>
      </c>
      <c r="Z98" t="s">
        <v>2337</v>
      </c>
      <c r="AA98" t="s">
        <v>2330</v>
      </c>
      <c r="AB98" t="s">
        <v>2338</v>
      </c>
      <c r="AC98" t="s">
        <v>2325</v>
      </c>
      <c r="AD98" t="s">
        <v>2325</v>
      </c>
      <c r="AE98" t="s">
        <v>2339</v>
      </c>
      <c r="AF98" t="s">
        <v>2340</v>
      </c>
      <c r="AG98" t="s">
        <v>2330</v>
      </c>
      <c r="AH98" t="s">
        <v>2325</v>
      </c>
      <c r="AI98" t="s">
        <v>2325</v>
      </c>
      <c r="AJ98" t="s">
        <v>2325</v>
      </c>
      <c r="AK98" t="s">
        <v>2341</v>
      </c>
      <c r="AL98" t="s">
        <v>2328</v>
      </c>
      <c r="AM98" t="s">
        <v>2342</v>
      </c>
      <c r="AN98" t="s">
        <v>2343</v>
      </c>
      <c r="AO98" t="s">
        <v>2344</v>
      </c>
    </row>
    <row r="99" spans="1:41">
      <c r="A99" t="s">
        <v>2345</v>
      </c>
      <c r="B99" t="s">
        <v>2346</v>
      </c>
      <c r="C99" t="s">
        <v>2345</v>
      </c>
      <c r="D99" t="s">
        <v>2345</v>
      </c>
      <c r="E99" t="s">
        <v>2347</v>
      </c>
      <c r="F99" t="s">
        <v>2345</v>
      </c>
      <c r="G99" t="s">
        <v>2348</v>
      </c>
      <c r="H99" t="s">
        <v>2349</v>
      </c>
      <c r="I99" t="s">
        <v>2345</v>
      </c>
      <c r="J99" t="s">
        <v>2345</v>
      </c>
      <c r="K99" t="s">
        <v>2350</v>
      </c>
      <c r="L99" t="s">
        <v>2350</v>
      </c>
      <c r="M99" t="s">
        <v>2345</v>
      </c>
      <c r="N99" t="s">
        <v>2345</v>
      </c>
      <c r="O99" t="s">
        <v>2351</v>
      </c>
      <c r="P99" t="s">
        <v>2345</v>
      </c>
      <c r="Q99" t="s">
        <v>2352</v>
      </c>
      <c r="R99" t="s">
        <v>2345</v>
      </c>
      <c r="S99" t="s">
        <v>2353</v>
      </c>
      <c r="T99" t="s">
        <v>2345</v>
      </c>
      <c r="U99" t="s">
        <v>2345</v>
      </c>
      <c r="V99" t="s">
        <v>2345</v>
      </c>
      <c r="W99" s="2" t="s">
        <v>2354</v>
      </c>
      <c r="X99" t="s">
        <v>2355</v>
      </c>
      <c r="Y99" t="s">
        <v>2356</v>
      </c>
      <c r="Z99" t="s">
        <v>2357</v>
      </c>
      <c r="AA99" t="s">
        <v>2350</v>
      </c>
      <c r="AB99" t="s">
        <v>2358</v>
      </c>
      <c r="AC99" t="s">
        <v>2345</v>
      </c>
      <c r="AD99" t="s">
        <v>2345</v>
      </c>
      <c r="AE99" t="s">
        <v>2359</v>
      </c>
      <c r="AF99" t="s">
        <v>2360</v>
      </c>
      <c r="AG99" t="s">
        <v>2350</v>
      </c>
      <c r="AH99" t="s">
        <v>2345</v>
      </c>
      <c r="AI99" t="s">
        <v>2345</v>
      </c>
      <c r="AJ99" t="s">
        <v>2345</v>
      </c>
      <c r="AK99" t="s">
        <v>2361</v>
      </c>
      <c r="AL99" t="s">
        <v>2348</v>
      </c>
      <c r="AM99" t="s">
        <v>2362</v>
      </c>
      <c r="AN99" t="s">
        <v>2363</v>
      </c>
      <c r="AO99" t="s">
        <v>2364</v>
      </c>
    </row>
    <row r="100" spans="1:41">
      <c r="A100" t="s">
        <v>2365</v>
      </c>
      <c r="B100" t="s">
        <v>2366</v>
      </c>
      <c r="C100" t="s">
        <v>2365</v>
      </c>
      <c r="D100" t="s">
        <v>2365</v>
      </c>
      <c r="E100" t="s">
        <v>2367</v>
      </c>
      <c r="F100" t="s">
        <v>2365</v>
      </c>
      <c r="G100" t="s">
        <v>2368</v>
      </c>
      <c r="H100" t="s">
        <v>2369</v>
      </c>
      <c r="I100" t="s">
        <v>2365</v>
      </c>
      <c r="J100" t="s">
        <v>2365</v>
      </c>
      <c r="K100" t="s">
        <v>2368</v>
      </c>
      <c r="L100" t="s">
        <v>2370</v>
      </c>
      <c r="M100" t="s">
        <v>2371</v>
      </c>
      <c r="N100" t="s">
        <v>2365</v>
      </c>
      <c r="O100" t="s">
        <v>2372</v>
      </c>
      <c r="P100" t="s">
        <v>2365</v>
      </c>
      <c r="Q100" t="s">
        <v>2373</v>
      </c>
      <c r="R100" t="s">
        <v>2365</v>
      </c>
      <c r="S100" t="s">
        <v>2371</v>
      </c>
      <c r="T100" t="s">
        <v>2365</v>
      </c>
      <c r="U100" t="s">
        <v>2365</v>
      </c>
      <c r="V100" t="s">
        <v>2365</v>
      </c>
      <c r="W100" s="2" t="s">
        <v>2374</v>
      </c>
      <c r="X100" t="s">
        <v>2368</v>
      </c>
      <c r="Y100" t="s">
        <v>2375</v>
      </c>
      <c r="Z100" t="s">
        <v>2370</v>
      </c>
      <c r="AA100" t="s">
        <v>2370</v>
      </c>
      <c r="AB100" t="s">
        <v>2376</v>
      </c>
      <c r="AC100" t="s">
        <v>2365</v>
      </c>
      <c r="AD100" t="s">
        <v>2365</v>
      </c>
      <c r="AE100" t="s">
        <v>2368</v>
      </c>
      <c r="AF100" t="s">
        <v>2377</v>
      </c>
      <c r="AG100" t="s">
        <v>2368</v>
      </c>
      <c r="AH100" t="s">
        <v>2365</v>
      </c>
      <c r="AI100" t="s">
        <v>2365</v>
      </c>
      <c r="AJ100" t="s">
        <v>2365</v>
      </c>
      <c r="AK100" t="s">
        <v>2378</v>
      </c>
      <c r="AL100" t="s">
        <v>2367</v>
      </c>
      <c r="AM100" t="s">
        <v>2379</v>
      </c>
      <c r="AN100" t="s">
        <v>2380</v>
      </c>
      <c r="AO100" t="s">
        <v>2381</v>
      </c>
    </row>
    <row r="101" spans="1:41">
      <c r="A101" t="s">
        <v>2382</v>
      </c>
      <c r="B101" t="s">
        <v>2383</v>
      </c>
      <c r="C101" t="s">
        <v>2382</v>
      </c>
      <c r="D101" t="s">
        <v>2382</v>
      </c>
      <c r="E101" t="s">
        <v>2384</v>
      </c>
      <c r="F101" t="s">
        <v>2382</v>
      </c>
      <c r="G101" t="s">
        <v>2385</v>
      </c>
      <c r="H101" t="s">
        <v>2386</v>
      </c>
      <c r="I101" t="s">
        <v>2382</v>
      </c>
      <c r="J101" t="s">
        <v>2382</v>
      </c>
      <c r="K101" t="s">
        <v>2385</v>
      </c>
      <c r="L101" t="s">
        <v>2387</v>
      </c>
      <c r="M101" t="s">
        <v>2388</v>
      </c>
      <c r="N101" t="s">
        <v>2382</v>
      </c>
      <c r="O101" t="s">
        <v>2389</v>
      </c>
      <c r="P101" t="s">
        <v>2382</v>
      </c>
      <c r="Q101" t="s">
        <v>2390</v>
      </c>
      <c r="R101" t="s">
        <v>2382</v>
      </c>
      <c r="S101" t="s">
        <v>2388</v>
      </c>
      <c r="T101" t="s">
        <v>2382</v>
      </c>
      <c r="U101" t="s">
        <v>2382</v>
      </c>
      <c r="V101" t="s">
        <v>2382</v>
      </c>
      <c r="W101" s="2" t="s">
        <v>2391</v>
      </c>
      <c r="X101" t="s">
        <v>2385</v>
      </c>
      <c r="Y101" t="s">
        <v>2392</v>
      </c>
      <c r="Z101" t="s">
        <v>2387</v>
      </c>
      <c r="AA101" t="s">
        <v>2387</v>
      </c>
      <c r="AB101" t="s">
        <v>2393</v>
      </c>
      <c r="AC101" t="s">
        <v>2382</v>
      </c>
      <c r="AD101" t="s">
        <v>2382</v>
      </c>
      <c r="AE101" t="s">
        <v>2385</v>
      </c>
      <c r="AF101" t="s">
        <v>2394</v>
      </c>
      <c r="AG101" t="s">
        <v>2385</v>
      </c>
      <c r="AH101" t="s">
        <v>2382</v>
      </c>
      <c r="AI101" t="s">
        <v>2382</v>
      </c>
      <c r="AJ101" t="s">
        <v>2382</v>
      </c>
      <c r="AK101" t="s">
        <v>2395</v>
      </c>
      <c r="AL101" t="s">
        <v>2384</v>
      </c>
      <c r="AM101" t="s">
        <v>2396</v>
      </c>
      <c r="AN101" t="s">
        <v>2397</v>
      </c>
      <c r="AO101" t="s">
        <v>2398</v>
      </c>
    </row>
    <row r="102" spans="1:41">
      <c r="A102" s="1" t="s">
        <v>2591</v>
      </c>
      <c r="B102" t="s">
        <v>2591</v>
      </c>
      <c r="C102" t="s">
        <v>2592</v>
      </c>
      <c r="D102" t="s">
        <v>2593</v>
      </c>
      <c r="E102" t="s">
        <v>2591</v>
      </c>
      <c r="F102" t="s">
        <v>2594</v>
      </c>
      <c r="G102" t="s">
        <v>2595</v>
      </c>
      <c r="H102" t="s">
        <v>2596</v>
      </c>
      <c r="I102" t="s">
        <v>2597</v>
      </c>
      <c r="J102" t="s">
        <v>2598</v>
      </c>
      <c r="K102" t="s">
        <v>2591</v>
      </c>
      <c r="L102" t="s">
        <v>2591</v>
      </c>
      <c r="M102" s="1" t="s">
        <v>2885</v>
      </c>
      <c r="N102" t="s">
        <v>2591</v>
      </c>
      <c r="O102" t="s">
        <v>2599</v>
      </c>
      <c r="P102" t="s">
        <v>2600</v>
      </c>
      <c r="Q102" t="s">
        <v>2601</v>
      </c>
      <c r="R102" t="s">
        <v>2602</v>
      </c>
      <c r="S102" t="s">
        <v>2591</v>
      </c>
      <c r="T102" t="s">
        <v>2603</v>
      </c>
      <c r="U102" t="s">
        <v>2604</v>
      </c>
      <c r="V102" t="s">
        <v>2605</v>
      </c>
      <c r="W102" s="2" t="s">
        <v>2606</v>
      </c>
      <c r="X102" t="s">
        <v>2607</v>
      </c>
      <c r="Y102" t="s">
        <v>2594</v>
      </c>
      <c r="Z102" t="s">
        <v>2591</v>
      </c>
      <c r="AA102" t="s">
        <v>2591</v>
      </c>
      <c r="AB102" t="s">
        <v>2608</v>
      </c>
      <c r="AC102" t="s">
        <v>2591</v>
      </c>
      <c r="AD102" t="s">
        <v>2591</v>
      </c>
      <c r="AE102" t="s">
        <v>2609</v>
      </c>
      <c r="AF102" t="s">
        <v>2610</v>
      </c>
      <c r="AG102" t="s">
        <v>2591</v>
      </c>
      <c r="AH102" t="s">
        <v>2591</v>
      </c>
      <c r="AI102" t="s">
        <v>2611</v>
      </c>
      <c r="AJ102" t="s">
        <v>2591</v>
      </c>
      <c r="AK102" t="s">
        <v>2612</v>
      </c>
      <c r="AL102" t="s">
        <v>2613</v>
      </c>
      <c r="AM102" t="s">
        <v>2591</v>
      </c>
      <c r="AN102" t="s">
        <v>2614</v>
      </c>
      <c r="AO102" t="s">
        <v>2615</v>
      </c>
    </row>
    <row r="103" spans="1:41">
      <c r="A103" s="1" t="s">
        <v>2399</v>
      </c>
      <c r="B103" s="1" t="s">
        <v>2400</v>
      </c>
      <c r="C103" s="1" t="s">
        <v>2401</v>
      </c>
      <c r="D103" s="1" t="s">
        <v>2402</v>
      </c>
      <c r="E103" s="1" t="s">
        <v>2399</v>
      </c>
      <c r="F103" s="1" t="s">
        <v>2403</v>
      </c>
      <c r="G103" s="1" t="s">
        <v>2404</v>
      </c>
      <c r="H103" s="2" t="s">
        <v>2405</v>
      </c>
      <c r="I103" s="2" t="s">
        <v>2405</v>
      </c>
      <c r="J103" s="1" t="s">
        <v>2406</v>
      </c>
      <c r="K103" s="1" t="s">
        <v>2407</v>
      </c>
      <c r="L103" s="1" t="s">
        <v>2408</v>
      </c>
      <c r="M103" s="1" t="s">
        <v>2408</v>
      </c>
      <c r="N103" s="1" t="s">
        <v>2399</v>
      </c>
      <c r="O103" s="1" t="s">
        <v>2409</v>
      </c>
      <c r="P103" s="1" t="s">
        <v>2408</v>
      </c>
      <c r="Q103" s="1" t="s">
        <v>2410</v>
      </c>
      <c r="R103" s="1" t="s">
        <v>2411</v>
      </c>
      <c r="S103" s="1" t="s">
        <v>2408</v>
      </c>
      <c r="T103" s="1" t="s">
        <v>2399</v>
      </c>
      <c r="U103" s="1" t="s">
        <v>2399</v>
      </c>
      <c r="V103" s="1" t="s">
        <v>2412</v>
      </c>
      <c r="W103" s="2" t="s">
        <v>2413</v>
      </c>
      <c r="X103" s="1" t="s">
        <v>2414</v>
      </c>
      <c r="Y103" s="1" t="s">
        <v>2415</v>
      </c>
      <c r="Z103" s="1" t="s">
        <v>2399</v>
      </c>
      <c r="AA103" s="1" t="s">
        <v>2408</v>
      </c>
      <c r="AB103" s="1" t="s">
        <v>2416</v>
      </c>
      <c r="AC103" s="1" t="s">
        <v>2417</v>
      </c>
      <c r="AD103" s="1" t="s">
        <v>2418</v>
      </c>
      <c r="AE103" s="1" t="s">
        <v>2419</v>
      </c>
      <c r="AF103" s="1" t="s">
        <v>2415</v>
      </c>
      <c r="AG103" s="1" t="s">
        <v>2420</v>
      </c>
      <c r="AH103" s="1" t="s">
        <v>2408</v>
      </c>
      <c r="AI103" s="1" t="s">
        <v>2399</v>
      </c>
      <c r="AJ103" s="1" t="s">
        <v>2399</v>
      </c>
      <c r="AK103" s="1" t="s">
        <v>2421</v>
      </c>
      <c r="AL103" s="1" t="s">
        <v>2422</v>
      </c>
      <c r="AM103" s="1" t="s">
        <v>2399</v>
      </c>
      <c r="AN103" s="1" t="s">
        <v>2403</v>
      </c>
      <c r="AO103" s="1" t="s">
        <v>2423</v>
      </c>
    </row>
    <row r="104" spans="1:41">
      <c r="A104" s="1" t="s">
        <v>2709</v>
      </c>
      <c r="B104" t="s">
        <v>2718</v>
      </c>
      <c r="C104" t="s">
        <v>2719</v>
      </c>
      <c r="D104" t="s">
        <v>2720</v>
      </c>
      <c r="E104" t="s">
        <v>2721</v>
      </c>
      <c r="F104" t="s">
        <v>2722</v>
      </c>
      <c r="G104" t="s">
        <v>2723</v>
      </c>
      <c r="H104" s="2" t="s">
        <v>2724</v>
      </c>
      <c r="I104" s="2" t="s">
        <v>2724</v>
      </c>
      <c r="J104" t="s">
        <v>2721</v>
      </c>
      <c r="K104" t="s">
        <v>2725</v>
      </c>
      <c r="L104" t="s">
        <v>2721</v>
      </c>
      <c r="M104" t="s">
        <v>2726</v>
      </c>
      <c r="N104" t="s">
        <v>2727</v>
      </c>
      <c r="O104" t="s">
        <v>2728</v>
      </c>
      <c r="P104" t="s">
        <v>2721</v>
      </c>
      <c r="Q104" t="s">
        <v>2729</v>
      </c>
      <c r="R104" t="s">
        <v>2730</v>
      </c>
      <c r="S104" t="s">
        <v>2731</v>
      </c>
      <c r="T104" t="s">
        <v>2721</v>
      </c>
      <c r="U104" t="s">
        <v>2721</v>
      </c>
      <c r="V104" t="s">
        <v>2732</v>
      </c>
      <c r="W104" s="2" t="s">
        <v>2733</v>
      </c>
      <c r="X104" t="s">
        <v>2734</v>
      </c>
      <c r="Y104" t="s">
        <v>2735</v>
      </c>
      <c r="Z104" t="s">
        <v>2709</v>
      </c>
      <c r="AA104" t="s">
        <v>2721</v>
      </c>
      <c r="AB104" t="s">
        <v>2736</v>
      </c>
      <c r="AC104" t="s">
        <v>2737</v>
      </c>
      <c r="AD104" t="s">
        <v>2738</v>
      </c>
      <c r="AE104" t="s">
        <v>2721</v>
      </c>
      <c r="AF104" t="s">
        <v>2735</v>
      </c>
      <c r="AG104" t="s">
        <v>2739</v>
      </c>
      <c r="AH104" t="s">
        <v>2721</v>
      </c>
      <c r="AI104" t="s">
        <v>2732</v>
      </c>
      <c r="AJ104" t="s">
        <v>2721</v>
      </c>
      <c r="AK104" t="s">
        <v>2740</v>
      </c>
      <c r="AL104" t="s">
        <v>2721</v>
      </c>
      <c r="AM104" t="s">
        <v>2721</v>
      </c>
      <c r="AN104" t="s">
        <v>2741</v>
      </c>
      <c r="AO104" t="s">
        <v>2742</v>
      </c>
    </row>
    <row r="105" spans="1:41">
      <c r="A105" s="1" t="s">
        <v>2710</v>
      </c>
      <c r="B105" t="s">
        <v>2743</v>
      </c>
      <c r="C105" t="s">
        <v>2744</v>
      </c>
      <c r="D105" t="s">
        <v>2745</v>
      </c>
      <c r="E105" t="s">
        <v>2746</v>
      </c>
      <c r="F105" t="s">
        <v>2747</v>
      </c>
      <c r="G105" t="s">
        <v>2710</v>
      </c>
      <c r="H105" s="2" t="s">
        <v>2748</v>
      </c>
      <c r="I105" s="2" t="s">
        <v>2749</v>
      </c>
      <c r="J105" t="s">
        <v>2710</v>
      </c>
      <c r="K105" t="s">
        <v>2710</v>
      </c>
      <c r="L105" t="s">
        <v>2710</v>
      </c>
      <c r="M105" t="s">
        <v>2710</v>
      </c>
      <c r="N105" t="s">
        <v>2710</v>
      </c>
      <c r="O105" t="s">
        <v>2750</v>
      </c>
      <c r="P105" t="s">
        <v>2710</v>
      </c>
      <c r="Q105" t="s">
        <v>2751</v>
      </c>
      <c r="R105" t="s">
        <v>2752</v>
      </c>
      <c r="S105" t="s">
        <v>2710</v>
      </c>
      <c r="T105" t="s">
        <v>2710</v>
      </c>
      <c r="U105" t="s">
        <v>2710</v>
      </c>
      <c r="V105" t="s">
        <v>2753</v>
      </c>
      <c r="W105" s="2" t="s">
        <v>2754</v>
      </c>
      <c r="X105" t="s">
        <v>2755</v>
      </c>
      <c r="Y105" t="s">
        <v>2756</v>
      </c>
      <c r="Z105" t="s">
        <v>2710</v>
      </c>
      <c r="AA105" t="s">
        <v>2710</v>
      </c>
      <c r="AB105" t="s">
        <v>2757</v>
      </c>
      <c r="AC105" t="s">
        <v>2710</v>
      </c>
      <c r="AD105" t="s">
        <v>2758</v>
      </c>
      <c r="AE105" t="s">
        <v>2710</v>
      </c>
      <c r="AF105" t="s">
        <v>2759</v>
      </c>
      <c r="AG105" t="s">
        <v>2710</v>
      </c>
      <c r="AH105" t="s">
        <v>2710</v>
      </c>
      <c r="AI105" t="s">
        <v>2710</v>
      </c>
      <c r="AJ105" t="s">
        <v>2710</v>
      </c>
      <c r="AK105" t="s">
        <v>2760</v>
      </c>
      <c r="AL105" t="s">
        <v>2710</v>
      </c>
      <c r="AM105" t="s">
        <v>2710</v>
      </c>
      <c r="AN105" t="s">
        <v>2756</v>
      </c>
      <c r="AO105" t="s">
        <v>2761</v>
      </c>
    </row>
    <row r="106" spans="1:41">
      <c r="A106" s="1" t="s">
        <v>2711</v>
      </c>
      <c r="B106" s="1" t="s">
        <v>2711</v>
      </c>
      <c r="C106" s="1" t="s">
        <v>2762</v>
      </c>
      <c r="D106" s="1" t="s">
        <v>2763</v>
      </c>
      <c r="E106" s="1" t="s">
        <v>2711</v>
      </c>
      <c r="F106" s="1" t="s">
        <v>2764</v>
      </c>
      <c r="G106" s="1" t="s">
        <v>2711</v>
      </c>
      <c r="H106" s="2" t="s">
        <v>2765</v>
      </c>
      <c r="I106" s="2" t="s">
        <v>2766</v>
      </c>
      <c r="J106" s="1" t="s">
        <v>2711</v>
      </c>
      <c r="K106" s="1" t="s">
        <v>2711</v>
      </c>
      <c r="L106" s="1" t="s">
        <v>2711</v>
      </c>
      <c r="M106" s="1" t="s">
        <v>2711</v>
      </c>
      <c r="N106" s="1" t="s">
        <v>2767</v>
      </c>
      <c r="O106" s="1" t="s">
        <v>2768</v>
      </c>
      <c r="P106" s="1" t="s">
        <v>2711</v>
      </c>
      <c r="Q106" s="1" t="s">
        <v>2769</v>
      </c>
      <c r="R106" s="1" t="s">
        <v>2770</v>
      </c>
      <c r="S106" s="1" t="s">
        <v>2711</v>
      </c>
      <c r="T106" s="1" t="s">
        <v>2711</v>
      </c>
      <c r="U106" s="1" t="s">
        <v>2711</v>
      </c>
      <c r="V106" s="1" t="s">
        <v>2771</v>
      </c>
      <c r="W106" s="2" t="s">
        <v>2772</v>
      </c>
      <c r="X106" s="1" t="s">
        <v>2773</v>
      </c>
      <c r="Y106" s="1" t="s">
        <v>2764</v>
      </c>
      <c r="Z106" s="1" t="s">
        <v>2711</v>
      </c>
      <c r="AA106" s="1" t="s">
        <v>2711</v>
      </c>
      <c r="AB106" s="1" t="s">
        <v>2774</v>
      </c>
      <c r="AC106" s="1" t="s">
        <v>2711</v>
      </c>
      <c r="AD106" s="1" t="s">
        <v>2771</v>
      </c>
      <c r="AE106" s="1" t="s">
        <v>2711</v>
      </c>
      <c r="AF106" s="1" t="s">
        <v>2764</v>
      </c>
      <c r="AG106" s="1" t="s">
        <v>2711</v>
      </c>
      <c r="AH106" s="1" t="s">
        <v>2711</v>
      </c>
      <c r="AI106" s="1" t="s">
        <v>2767</v>
      </c>
      <c r="AJ106" s="1" t="s">
        <v>2711</v>
      </c>
      <c r="AK106" s="1" t="s">
        <v>2775</v>
      </c>
      <c r="AL106" s="1" t="s">
        <v>2776</v>
      </c>
      <c r="AM106" s="1" t="s">
        <v>2711</v>
      </c>
      <c r="AN106" s="1" t="s">
        <v>2764</v>
      </c>
      <c r="AO106" t="s">
        <v>2777</v>
      </c>
    </row>
    <row r="107" spans="1:41">
      <c r="A107" s="1" t="s">
        <v>2712</v>
      </c>
      <c r="B107" s="1" t="s">
        <v>2778</v>
      </c>
      <c r="C107" s="1" t="s">
        <v>2779</v>
      </c>
      <c r="D107" s="1" t="s">
        <v>2780</v>
      </c>
      <c r="E107" s="1" t="s">
        <v>2712</v>
      </c>
      <c r="F107" s="1" t="s">
        <v>2781</v>
      </c>
      <c r="G107" s="1" t="s">
        <v>2782</v>
      </c>
      <c r="H107" s="2" t="s">
        <v>2783</v>
      </c>
      <c r="I107" s="2" t="s">
        <v>2783</v>
      </c>
      <c r="J107" s="1" t="s">
        <v>2712</v>
      </c>
      <c r="K107" s="1" t="s">
        <v>2782</v>
      </c>
      <c r="L107" s="1" t="s">
        <v>2712</v>
      </c>
      <c r="M107" s="1" t="s">
        <v>2784</v>
      </c>
      <c r="N107" s="1" t="s">
        <v>2712</v>
      </c>
      <c r="O107" s="1" t="s">
        <v>2785</v>
      </c>
      <c r="P107" s="1" t="s">
        <v>2712</v>
      </c>
      <c r="Q107" s="1" t="s">
        <v>2786</v>
      </c>
      <c r="R107" s="1" t="s">
        <v>2787</v>
      </c>
      <c r="S107" s="1" t="s">
        <v>2712</v>
      </c>
      <c r="T107" s="1" t="s">
        <v>2712</v>
      </c>
      <c r="U107" s="1" t="s">
        <v>2782</v>
      </c>
      <c r="V107" s="1" t="s">
        <v>2788</v>
      </c>
      <c r="W107" s="2" t="s">
        <v>2789</v>
      </c>
      <c r="X107" s="1" t="s">
        <v>2790</v>
      </c>
      <c r="Y107" s="1" t="s">
        <v>2781</v>
      </c>
      <c r="Z107" s="1" t="s">
        <v>2712</v>
      </c>
      <c r="AA107" s="1" t="s">
        <v>2712</v>
      </c>
      <c r="AB107" s="1" t="s">
        <v>2791</v>
      </c>
      <c r="AC107" s="1" t="s">
        <v>2712</v>
      </c>
      <c r="AD107" s="1" t="s">
        <v>2792</v>
      </c>
      <c r="AE107" s="1" t="s">
        <v>2712</v>
      </c>
      <c r="AF107" s="1" t="s">
        <v>2781</v>
      </c>
      <c r="AG107" s="1" t="s">
        <v>2782</v>
      </c>
      <c r="AH107" s="1" t="s">
        <v>2712</v>
      </c>
      <c r="AI107" s="1" t="s">
        <v>2793</v>
      </c>
      <c r="AJ107" s="1" t="s">
        <v>2712</v>
      </c>
      <c r="AK107" s="1" t="s">
        <v>2794</v>
      </c>
      <c r="AL107" s="1" t="s">
        <v>2712</v>
      </c>
      <c r="AM107" s="1" t="s">
        <v>2795</v>
      </c>
      <c r="AN107" s="1" t="s">
        <v>2796</v>
      </c>
      <c r="AO107" t="s">
        <v>2797</v>
      </c>
    </row>
    <row r="108" spans="1:41">
      <c r="A108" s="1" t="s">
        <v>2713</v>
      </c>
      <c r="B108" s="1" t="s">
        <v>2798</v>
      </c>
      <c r="C108" s="1" t="s">
        <v>2799</v>
      </c>
      <c r="D108" s="1" t="s">
        <v>2800</v>
      </c>
      <c r="E108" s="1" t="s">
        <v>2713</v>
      </c>
      <c r="F108" s="1" t="s">
        <v>2801</v>
      </c>
      <c r="G108" s="1" t="s">
        <v>2713</v>
      </c>
      <c r="H108" s="2" t="s">
        <v>2802</v>
      </c>
      <c r="I108" s="2" t="s">
        <v>2802</v>
      </c>
      <c r="J108" s="1" t="s">
        <v>2713</v>
      </c>
      <c r="K108" s="1" t="s">
        <v>2713</v>
      </c>
      <c r="L108" s="1" t="s">
        <v>2713</v>
      </c>
      <c r="M108" s="1" t="s">
        <v>2713</v>
      </c>
      <c r="N108" s="1" t="s">
        <v>2713</v>
      </c>
      <c r="O108" s="1" t="s">
        <v>2803</v>
      </c>
      <c r="P108" s="1" t="s">
        <v>2713</v>
      </c>
      <c r="Q108" s="1" t="s">
        <v>2804</v>
      </c>
      <c r="R108" s="1" t="s">
        <v>2805</v>
      </c>
      <c r="S108" s="1" t="s">
        <v>2713</v>
      </c>
      <c r="T108" s="1" t="s">
        <v>2713</v>
      </c>
      <c r="U108" s="1" t="s">
        <v>2713</v>
      </c>
      <c r="V108" s="1" t="s">
        <v>2713</v>
      </c>
      <c r="W108" s="2" t="s">
        <v>2806</v>
      </c>
      <c r="X108" s="1" t="s">
        <v>2807</v>
      </c>
      <c r="Y108" s="1" t="s">
        <v>2801</v>
      </c>
      <c r="Z108" s="1" t="s">
        <v>2713</v>
      </c>
      <c r="AA108" s="1" t="s">
        <v>2713</v>
      </c>
      <c r="AB108" s="1" t="s">
        <v>2799</v>
      </c>
      <c r="AC108" s="1" t="s">
        <v>2808</v>
      </c>
      <c r="AD108" s="1" t="s">
        <v>2713</v>
      </c>
      <c r="AE108" s="1" t="s">
        <v>2713</v>
      </c>
      <c r="AF108" s="1" t="s">
        <v>2801</v>
      </c>
      <c r="AG108" s="1" t="s">
        <v>2713</v>
      </c>
      <c r="AH108" s="1" t="s">
        <v>2713</v>
      </c>
      <c r="AI108" s="1" t="s">
        <v>2713</v>
      </c>
      <c r="AJ108" s="1" t="s">
        <v>2713</v>
      </c>
      <c r="AK108" s="1" t="s">
        <v>2809</v>
      </c>
      <c r="AL108" s="1" t="s">
        <v>2713</v>
      </c>
      <c r="AM108" s="1" t="s">
        <v>2713</v>
      </c>
      <c r="AN108" s="1" t="s">
        <v>2801</v>
      </c>
      <c r="AO108" t="s">
        <v>2810</v>
      </c>
    </row>
    <row r="109" spans="1:41">
      <c r="A109" s="1" t="s">
        <v>2714</v>
      </c>
      <c r="B109" s="1" t="s">
        <v>2811</v>
      </c>
      <c r="C109" s="1" t="s">
        <v>2812</v>
      </c>
      <c r="D109" s="1" t="s">
        <v>2813</v>
      </c>
      <c r="E109" s="1" t="s">
        <v>2814</v>
      </c>
      <c r="F109" s="1" t="s">
        <v>2815</v>
      </c>
      <c r="G109" s="1" t="s">
        <v>2714</v>
      </c>
      <c r="H109" s="2" t="s">
        <v>2816</v>
      </c>
      <c r="I109" s="2" t="s">
        <v>2817</v>
      </c>
      <c r="J109" s="1" t="s">
        <v>2714</v>
      </c>
      <c r="K109" s="1" t="s">
        <v>2714</v>
      </c>
      <c r="L109" s="1" t="s">
        <v>2818</v>
      </c>
      <c r="M109" s="1" t="s">
        <v>2714</v>
      </c>
      <c r="N109" s="1" t="s">
        <v>2819</v>
      </c>
      <c r="O109" s="1" t="s">
        <v>2820</v>
      </c>
      <c r="P109" s="1" t="s">
        <v>2714</v>
      </c>
      <c r="Q109" s="1" t="s">
        <v>2821</v>
      </c>
      <c r="R109" s="1" t="s">
        <v>2822</v>
      </c>
      <c r="S109" s="1" t="s">
        <v>2714</v>
      </c>
      <c r="T109" s="1" t="s">
        <v>2714</v>
      </c>
      <c r="U109" s="1" t="s">
        <v>2818</v>
      </c>
      <c r="V109" s="1" t="s">
        <v>2823</v>
      </c>
      <c r="W109" s="2" t="s">
        <v>2824</v>
      </c>
      <c r="X109" s="1" t="s">
        <v>2825</v>
      </c>
      <c r="Y109" s="1" t="s">
        <v>2815</v>
      </c>
      <c r="Z109" s="1" t="s">
        <v>2714</v>
      </c>
      <c r="AA109" s="1" t="s">
        <v>2714</v>
      </c>
      <c r="AB109" s="1" t="s">
        <v>2826</v>
      </c>
      <c r="AC109" s="1" t="s">
        <v>2714</v>
      </c>
      <c r="AD109" s="1" t="s">
        <v>2827</v>
      </c>
      <c r="AE109" s="1" t="s">
        <v>2714</v>
      </c>
      <c r="AF109" s="1" t="s">
        <v>2815</v>
      </c>
      <c r="AG109" s="1" t="s">
        <v>2714</v>
      </c>
      <c r="AH109" s="1" t="s">
        <v>2714</v>
      </c>
      <c r="AI109" s="1" t="s">
        <v>2827</v>
      </c>
      <c r="AJ109" s="1" t="s">
        <v>2714</v>
      </c>
      <c r="AK109" s="1" t="s">
        <v>2828</v>
      </c>
      <c r="AL109" s="1" t="s">
        <v>2714</v>
      </c>
      <c r="AM109" s="1" t="s">
        <v>2714</v>
      </c>
      <c r="AN109" s="1" t="s">
        <v>2829</v>
      </c>
      <c r="AO109" t="s">
        <v>2830</v>
      </c>
    </row>
    <row r="110" spans="1:41">
      <c r="A110" s="1" t="s">
        <v>2715</v>
      </c>
      <c r="B110" s="1" t="s">
        <v>2715</v>
      </c>
      <c r="C110" s="1" t="s">
        <v>2831</v>
      </c>
      <c r="D110" s="1" t="s">
        <v>2832</v>
      </c>
      <c r="E110" s="1" t="s">
        <v>2833</v>
      </c>
      <c r="F110" s="1" t="s">
        <v>2834</v>
      </c>
      <c r="G110" s="1" t="s">
        <v>2715</v>
      </c>
      <c r="H110" s="2" t="s">
        <v>2835</v>
      </c>
      <c r="I110" s="2" t="s">
        <v>2836</v>
      </c>
      <c r="J110" s="1" t="s">
        <v>2715</v>
      </c>
      <c r="K110" s="1" t="s">
        <v>2715</v>
      </c>
      <c r="L110" s="1" t="s">
        <v>2715</v>
      </c>
      <c r="M110" s="1" t="s">
        <v>2715</v>
      </c>
      <c r="N110" s="1" t="s">
        <v>2715</v>
      </c>
      <c r="O110" s="1" t="s">
        <v>2837</v>
      </c>
      <c r="P110" s="1" t="s">
        <v>2715</v>
      </c>
      <c r="Q110" s="1" t="s">
        <v>2838</v>
      </c>
      <c r="R110" s="1" t="s">
        <v>2839</v>
      </c>
      <c r="S110" s="1" t="s">
        <v>2715</v>
      </c>
      <c r="T110" s="1" t="s">
        <v>2715</v>
      </c>
      <c r="U110" s="1" t="s">
        <v>2715</v>
      </c>
      <c r="V110" s="1" t="s">
        <v>2715</v>
      </c>
      <c r="W110" s="2" t="s">
        <v>2840</v>
      </c>
      <c r="X110" s="1" t="s">
        <v>2841</v>
      </c>
      <c r="Y110" s="1" t="s">
        <v>2834</v>
      </c>
      <c r="Z110" s="1" t="s">
        <v>2715</v>
      </c>
      <c r="AA110" s="1" t="s">
        <v>2715</v>
      </c>
      <c r="AB110" s="1" t="s">
        <v>2842</v>
      </c>
      <c r="AC110" s="1" t="s">
        <v>2715</v>
      </c>
      <c r="AD110" s="1" t="s">
        <v>2715</v>
      </c>
      <c r="AE110" s="1" t="s">
        <v>2715</v>
      </c>
      <c r="AF110" s="1" t="s">
        <v>2834</v>
      </c>
      <c r="AG110" s="1" t="s">
        <v>2715</v>
      </c>
      <c r="AH110" s="1" t="s">
        <v>2715</v>
      </c>
      <c r="AI110" s="1" t="s">
        <v>2715</v>
      </c>
      <c r="AJ110" s="1" t="s">
        <v>2715</v>
      </c>
      <c r="AK110" s="1" t="s">
        <v>2843</v>
      </c>
      <c r="AL110" s="1" t="s">
        <v>2715</v>
      </c>
      <c r="AM110" s="1" t="s">
        <v>2715</v>
      </c>
      <c r="AN110" s="1" t="s">
        <v>2844</v>
      </c>
      <c r="AO110" t="s">
        <v>2715</v>
      </c>
    </row>
    <row r="111" spans="1:41">
      <c r="A111" s="1" t="s">
        <v>2716</v>
      </c>
      <c r="B111" s="1" t="s">
        <v>2845</v>
      </c>
      <c r="C111" s="1" t="s">
        <v>2846</v>
      </c>
      <c r="D111" s="1" t="s">
        <v>2847</v>
      </c>
      <c r="E111" s="1" t="s">
        <v>2716</v>
      </c>
      <c r="F111" s="1" t="s">
        <v>2848</v>
      </c>
      <c r="G111" s="1" t="s">
        <v>2716</v>
      </c>
      <c r="H111" s="2" t="s">
        <v>2849</v>
      </c>
      <c r="I111" s="2" t="s">
        <v>2850</v>
      </c>
      <c r="J111" s="1" t="s">
        <v>2716</v>
      </c>
      <c r="K111" s="1" t="s">
        <v>2716</v>
      </c>
      <c r="L111" s="1" t="s">
        <v>2716</v>
      </c>
      <c r="M111" s="1" t="s">
        <v>2851</v>
      </c>
      <c r="N111" s="1" t="s">
        <v>2716</v>
      </c>
      <c r="O111" s="1" t="s">
        <v>2852</v>
      </c>
      <c r="P111" s="1" t="s">
        <v>2716</v>
      </c>
      <c r="Q111" s="1" t="s">
        <v>2853</v>
      </c>
      <c r="R111" s="1" t="s">
        <v>2854</v>
      </c>
      <c r="S111" s="1" t="s">
        <v>2716</v>
      </c>
      <c r="T111" s="1" t="s">
        <v>2851</v>
      </c>
      <c r="U111" s="1" t="s">
        <v>2716</v>
      </c>
      <c r="V111" s="1" t="s">
        <v>2851</v>
      </c>
      <c r="W111" s="2" t="s">
        <v>2855</v>
      </c>
      <c r="X111" s="1" t="s">
        <v>2856</v>
      </c>
      <c r="Y111" s="1" t="s">
        <v>2857</v>
      </c>
      <c r="Z111" s="1" t="s">
        <v>2716</v>
      </c>
      <c r="AA111" s="1" t="s">
        <v>2716</v>
      </c>
      <c r="AB111" s="1" t="s">
        <v>2846</v>
      </c>
      <c r="AC111" s="1" t="s">
        <v>2716</v>
      </c>
      <c r="AD111" s="1" t="s">
        <v>2851</v>
      </c>
      <c r="AE111" s="1" t="s">
        <v>2716</v>
      </c>
      <c r="AF111" s="1" t="s">
        <v>2858</v>
      </c>
      <c r="AG111" s="1" t="s">
        <v>2859</v>
      </c>
      <c r="AH111" s="1" t="s">
        <v>2716</v>
      </c>
      <c r="AI111" s="1" t="s">
        <v>2851</v>
      </c>
      <c r="AJ111" s="1" t="s">
        <v>2716</v>
      </c>
      <c r="AK111" s="1" t="s">
        <v>2860</v>
      </c>
      <c r="AL111" s="1" t="s">
        <v>2716</v>
      </c>
      <c r="AM111" s="1" t="s">
        <v>2716</v>
      </c>
      <c r="AN111" s="1" t="s">
        <v>2861</v>
      </c>
      <c r="AO111" t="s">
        <v>2862</v>
      </c>
    </row>
    <row r="112" spans="1:41">
      <c r="A112" s="1" t="s">
        <v>2717</v>
      </c>
      <c r="B112" s="1" t="s">
        <v>2717</v>
      </c>
      <c r="C112" s="1" t="s">
        <v>2863</v>
      </c>
      <c r="D112" s="1" t="s">
        <v>2864</v>
      </c>
      <c r="E112" s="1" t="s">
        <v>2865</v>
      </c>
      <c r="F112" s="1" t="s">
        <v>2866</v>
      </c>
      <c r="G112" s="1" t="s">
        <v>2717</v>
      </c>
      <c r="H112" s="2" t="s">
        <v>2867</v>
      </c>
      <c r="I112" s="2" t="s">
        <v>2868</v>
      </c>
      <c r="J112" s="1" t="s">
        <v>2717</v>
      </c>
      <c r="K112" s="1" t="s">
        <v>2869</v>
      </c>
      <c r="L112" s="1" t="s">
        <v>2717</v>
      </c>
      <c r="M112" s="1" t="s">
        <v>2717</v>
      </c>
      <c r="N112" s="1" t="s">
        <v>2717</v>
      </c>
      <c r="O112" s="1" t="s">
        <v>2870</v>
      </c>
      <c r="P112" s="1" t="s">
        <v>2717</v>
      </c>
      <c r="Q112" s="1" t="s">
        <v>2871</v>
      </c>
      <c r="R112" s="1" t="s">
        <v>2872</v>
      </c>
      <c r="S112" s="1" t="s">
        <v>2873</v>
      </c>
      <c r="T112" s="1" t="s">
        <v>2717</v>
      </c>
      <c r="U112" s="1" t="s">
        <v>2717</v>
      </c>
      <c r="V112" s="1" t="s">
        <v>2874</v>
      </c>
      <c r="W112" s="2" t="s">
        <v>2875</v>
      </c>
      <c r="X112" s="1" t="s">
        <v>2876</v>
      </c>
      <c r="Y112" s="1" t="s">
        <v>2877</v>
      </c>
      <c r="Z112" s="1" t="s">
        <v>2717</v>
      </c>
      <c r="AA112" s="1" t="s">
        <v>2717</v>
      </c>
      <c r="AB112" s="1" t="s">
        <v>2878</v>
      </c>
      <c r="AC112" s="1" t="s">
        <v>2879</v>
      </c>
      <c r="AD112" s="1" t="s">
        <v>2880</v>
      </c>
      <c r="AE112" s="1" t="s">
        <v>2717</v>
      </c>
      <c r="AF112" s="1" t="s">
        <v>2881</v>
      </c>
      <c r="AG112" s="1" t="s">
        <v>2869</v>
      </c>
      <c r="AH112" s="1" t="s">
        <v>2717</v>
      </c>
      <c r="AI112" s="1" t="s">
        <v>2717</v>
      </c>
      <c r="AJ112" s="1" t="s">
        <v>2717</v>
      </c>
      <c r="AK112" s="1" t="s">
        <v>2882</v>
      </c>
      <c r="AL112" s="1" t="s">
        <v>2717</v>
      </c>
      <c r="AM112" s="1" t="s">
        <v>2717</v>
      </c>
      <c r="AN112" s="1" t="s">
        <v>2883</v>
      </c>
      <c r="AO112" t="s">
        <v>2884</v>
      </c>
    </row>
    <row r="113" spans="1:41">
      <c r="A113" s="1"/>
      <c r="B113" s="1"/>
      <c r="C113" s="1"/>
      <c r="D113" s="1"/>
      <c r="E113" s="1"/>
      <c r="F113" s="1"/>
      <c r="G113" s="1"/>
      <c r="H113" s="2"/>
      <c r="I113" s="2"/>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row>
    <row r="114" spans="1:41">
      <c r="A114" s="1"/>
      <c r="B114" s="1"/>
      <c r="C114" s="1"/>
      <c r="D114" s="1"/>
      <c r="E114" s="1"/>
      <c r="F114" s="1"/>
      <c r="G114" s="1"/>
      <c r="H114" s="2"/>
      <c r="I114" s="2"/>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row>
    <row r="115" spans="1:41">
      <c r="A115" t="s">
        <v>2424</v>
      </c>
      <c r="B115" t="s">
        <v>2425</v>
      </c>
      <c r="C115" t="s">
        <v>2426</v>
      </c>
      <c r="D115" t="s">
        <v>2427</v>
      </c>
      <c r="E115" t="s">
        <v>2428</v>
      </c>
      <c r="F115" t="s">
        <v>2429</v>
      </c>
      <c r="G115" t="s">
        <v>2430</v>
      </c>
      <c r="H115" t="s">
        <v>2431</v>
      </c>
      <c r="I115" t="s">
        <v>2432</v>
      </c>
      <c r="J115" t="s">
        <v>2433</v>
      </c>
      <c r="K115" t="s">
        <v>2434</v>
      </c>
      <c r="L115" t="s">
        <v>2435</v>
      </c>
      <c r="M115" t="s">
        <v>2436</v>
      </c>
      <c r="N115" t="s">
        <v>2437</v>
      </c>
      <c r="O115" t="s">
        <v>2438</v>
      </c>
      <c r="P115" t="s">
        <v>2439</v>
      </c>
      <c r="Q115" t="s">
        <v>2440</v>
      </c>
      <c r="R115" t="s">
        <v>2441</v>
      </c>
      <c r="S115" t="s">
        <v>2442</v>
      </c>
      <c r="T115" t="s">
        <v>2443</v>
      </c>
      <c r="U115" t="s">
        <v>2444</v>
      </c>
      <c r="V115" t="s">
        <v>2445</v>
      </c>
      <c r="W115" t="s">
        <v>2446</v>
      </c>
      <c r="X115" t="s">
        <v>2447</v>
      </c>
      <c r="Y115" t="s">
        <v>2448</v>
      </c>
      <c r="Z115" t="s">
        <v>2449</v>
      </c>
      <c r="AA115" t="s">
        <v>2450</v>
      </c>
      <c r="AB115" t="s">
        <v>2451</v>
      </c>
      <c r="AC115" t="s">
        <v>2452</v>
      </c>
      <c r="AD115" t="s">
        <v>2453</v>
      </c>
      <c r="AE115" t="s">
        <v>2454</v>
      </c>
      <c r="AF115" t="s">
        <v>2455</v>
      </c>
      <c r="AG115" t="s">
        <v>2456</v>
      </c>
      <c r="AH115" t="s">
        <v>2457</v>
      </c>
      <c r="AI115" t="s">
        <v>2458</v>
      </c>
      <c r="AJ115" t="s">
        <v>2459</v>
      </c>
      <c r="AK115" t="s">
        <v>2460</v>
      </c>
      <c r="AL115" t="s">
        <v>2461</v>
      </c>
      <c r="AM115" t="s">
        <v>2462</v>
      </c>
      <c r="AN115" t="s">
        <v>2463</v>
      </c>
      <c r="AO115" t="s">
        <v>2464</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ADE-70C9-4178-B54A-1184D5D6558C}">
  <dimension ref="B2:J59"/>
  <sheetViews>
    <sheetView showGridLines="0" topLeftCell="A46" workbookViewId="0">
      <selection activeCell="E14" sqref="E14"/>
    </sheetView>
  </sheetViews>
  <sheetFormatPr baseColWidth="10" defaultColWidth="9.19921875" defaultRowHeight="15"/>
  <cols>
    <col min="1" max="1" width="3.3984375" style="127" customWidth="1"/>
    <col min="2" max="2" width="15.3984375" style="127" customWidth="1"/>
    <col min="3" max="11" width="11.796875" style="127" customWidth="1"/>
    <col min="12" max="16384" width="9.19921875" style="127"/>
  </cols>
  <sheetData>
    <row r="2" spans="2:10">
      <c r="C2" s="128"/>
    </row>
    <row r="10" spans="2:10" ht="16" thickBot="1"/>
    <row r="11" spans="2:10" ht="16" thickBot="1">
      <c r="B11" s="129" t="s">
        <v>2895</v>
      </c>
      <c r="C11" s="130"/>
      <c r="D11" s="130"/>
      <c r="E11" s="130"/>
      <c r="F11" s="130"/>
      <c r="G11" s="130"/>
      <c r="H11" s="130"/>
      <c r="I11" s="130"/>
      <c r="J11" s="131"/>
    </row>
    <row r="12" spans="2:10">
      <c r="B12" s="132"/>
      <c r="C12" s="132"/>
      <c r="D12" s="132"/>
      <c r="E12" s="132"/>
      <c r="F12" s="132"/>
      <c r="G12" s="132"/>
      <c r="H12" s="132"/>
      <c r="I12" s="132"/>
      <c r="J12" s="132"/>
    </row>
    <row r="13" spans="2:10">
      <c r="B13" s="180" t="s">
        <v>2925</v>
      </c>
      <c r="C13" s="180"/>
      <c r="D13" s="180"/>
      <c r="E13" s="180"/>
      <c r="F13" s="180"/>
      <c r="G13" s="180"/>
      <c r="H13" s="180"/>
      <c r="I13" s="180"/>
      <c r="J13" s="180"/>
    </row>
    <row r="14" spans="2:10">
      <c r="B14" s="132"/>
      <c r="C14" s="132"/>
      <c r="D14" s="132"/>
      <c r="E14" s="132"/>
      <c r="F14" s="132"/>
      <c r="G14" s="132"/>
      <c r="H14" s="132"/>
      <c r="I14" s="132"/>
      <c r="J14" s="132"/>
    </row>
    <row r="15" spans="2:10" ht="15" customHeight="1">
      <c r="B15" s="181" t="s">
        <v>2896</v>
      </c>
      <c r="C15" s="181"/>
      <c r="D15" s="181"/>
      <c r="E15" s="181"/>
      <c r="F15" s="181"/>
      <c r="G15" s="181"/>
      <c r="H15" s="181"/>
      <c r="I15" s="181"/>
      <c r="J15" s="181"/>
    </row>
    <row r="16" spans="2:10">
      <c r="B16" s="182" t="s">
        <v>2923</v>
      </c>
      <c r="C16" s="182"/>
      <c r="D16" s="182"/>
      <c r="E16" s="182"/>
      <c r="F16" s="182"/>
      <c r="G16" s="182"/>
      <c r="H16" s="182"/>
      <c r="I16" s="182"/>
      <c r="J16" s="182"/>
    </row>
    <row r="17" spans="2:10">
      <c r="B17" s="182"/>
      <c r="C17" s="182"/>
      <c r="D17" s="182"/>
      <c r="E17" s="182"/>
      <c r="F17" s="182"/>
      <c r="G17" s="182"/>
      <c r="H17" s="182"/>
      <c r="I17" s="182"/>
      <c r="J17" s="182"/>
    </row>
    <row r="18" spans="2:10">
      <c r="C18" s="132"/>
      <c r="D18" s="132"/>
      <c r="E18" s="132"/>
      <c r="F18" s="132"/>
      <c r="G18" s="132"/>
      <c r="H18" s="132"/>
      <c r="I18" s="132"/>
      <c r="J18" s="132"/>
    </row>
    <row r="19" spans="2:10">
      <c r="B19" s="134" t="s">
        <v>53</v>
      </c>
    </row>
    <row r="20" spans="2:10">
      <c r="B20" s="182" t="s">
        <v>2897</v>
      </c>
      <c r="C20" s="182"/>
      <c r="D20" s="182"/>
      <c r="E20" s="182"/>
      <c r="F20" s="182"/>
      <c r="G20" s="182"/>
      <c r="H20" s="182"/>
      <c r="I20" s="182"/>
      <c r="J20" s="182"/>
    </row>
    <row r="21" spans="2:10">
      <c r="B21" s="182"/>
      <c r="C21" s="182"/>
      <c r="D21" s="182"/>
      <c r="E21" s="182"/>
      <c r="F21" s="182"/>
      <c r="G21" s="182"/>
      <c r="H21" s="182"/>
      <c r="I21" s="182"/>
      <c r="J21" s="182"/>
    </row>
    <row r="22" spans="2:10">
      <c r="B22" s="182"/>
      <c r="C22" s="182"/>
      <c r="D22" s="182"/>
      <c r="E22" s="182"/>
      <c r="F22" s="182"/>
      <c r="G22" s="182"/>
      <c r="H22" s="182"/>
      <c r="I22" s="182"/>
      <c r="J22" s="182"/>
    </row>
    <row r="23" spans="2:10">
      <c r="B23" s="182" t="s">
        <v>2898</v>
      </c>
      <c r="C23" s="182"/>
      <c r="D23" s="182"/>
      <c r="E23" s="182"/>
      <c r="F23" s="182"/>
      <c r="G23" s="182"/>
      <c r="H23" s="182"/>
      <c r="I23" s="182"/>
      <c r="J23" s="182"/>
    </row>
    <row r="24" spans="2:10" ht="15" customHeight="1">
      <c r="B24" s="182" t="s">
        <v>2899</v>
      </c>
      <c r="C24" s="182"/>
      <c r="D24" s="182"/>
      <c r="E24" s="182"/>
      <c r="F24" s="182"/>
      <c r="G24" s="182"/>
      <c r="H24" s="182"/>
      <c r="I24" s="182"/>
      <c r="J24" s="182"/>
    </row>
    <row r="25" spans="2:10" ht="26.25" customHeight="1">
      <c r="B25" s="182"/>
      <c r="C25" s="182"/>
      <c r="D25" s="182"/>
      <c r="E25" s="182"/>
      <c r="F25" s="182"/>
      <c r="G25" s="182"/>
      <c r="H25" s="182"/>
      <c r="I25" s="182"/>
      <c r="J25" s="182"/>
    </row>
    <row r="26" spans="2:10" ht="26.25" customHeight="1">
      <c r="B26" s="180" t="s">
        <v>2900</v>
      </c>
      <c r="C26" s="180"/>
      <c r="D26" s="180"/>
      <c r="E26" s="180"/>
      <c r="F26" s="180"/>
      <c r="G26" s="180"/>
      <c r="H26" s="180"/>
      <c r="I26" s="180"/>
      <c r="J26" s="180"/>
    </row>
    <row r="28" spans="2:10">
      <c r="B28" s="135" t="s">
        <v>2901</v>
      </c>
    </row>
    <row r="29" spans="2:10" ht="15" customHeight="1">
      <c r="B29" s="181" t="s">
        <v>2924</v>
      </c>
      <c r="C29" s="181"/>
      <c r="D29" s="181"/>
      <c r="E29" s="181"/>
      <c r="F29" s="181"/>
      <c r="G29" s="181"/>
      <c r="H29" s="181"/>
      <c r="I29" s="181"/>
      <c r="J29" s="181"/>
    </row>
    <row r="30" spans="2:10">
      <c r="B30" s="181"/>
      <c r="C30" s="181"/>
      <c r="D30" s="181"/>
      <c r="E30" s="181"/>
      <c r="F30" s="181"/>
      <c r="G30" s="181"/>
      <c r="H30" s="181"/>
      <c r="I30" s="181"/>
      <c r="J30" s="181"/>
    </row>
    <row r="31" spans="2:10">
      <c r="B31" s="181"/>
      <c r="C31" s="181"/>
      <c r="D31" s="181"/>
      <c r="E31" s="181"/>
      <c r="F31" s="181"/>
      <c r="G31" s="181"/>
      <c r="H31" s="181"/>
      <c r="I31" s="181"/>
      <c r="J31" s="181"/>
    </row>
    <row r="32" spans="2:10">
      <c r="B32" s="181"/>
      <c r="C32" s="181"/>
      <c r="D32" s="181"/>
      <c r="E32" s="181"/>
      <c r="F32" s="181"/>
      <c r="G32" s="181"/>
      <c r="H32" s="181"/>
      <c r="I32" s="181"/>
      <c r="J32" s="181"/>
    </row>
    <row r="33" spans="2:10">
      <c r="B33" s="181" t="s">
        <v>2902</v>
      </c>
      <c r="C33" s="181"/>
      <c r="D33" s="181"/>
      <c r="E33" s="181"/>
      <c r="F33" s="181"/>
      <c r="G33" s="181"/>
      <c r="H33" s="181"/>
      <c r="I33" s="181"/>
      <c r="J33" s="181"/>
    </row>
    <row r="34" spans="2:10" ht="15" customHeight="1">
      <c r="B34" s="181"/>
      <c r="C34" s="181"/>
      <c r="D34" s="181"/>
      <c r="E34" s="181"/>
      <c r="F34" s="181"/>
      <c r="G34" s="181"/>
      <c r="H34" s="181"/>
      <c r="I34" s="181"/>
      <c r="J34" s="181"/>
    </row>
    <row r="35" spans="2:10">
      <c r="B35" s="181"/>
      <c r="C35" s="181"/>
      <c r="D35" s="181"/>
      <c r="E35" s="181"/>
      <c r="F35" s="181"/>
      <c r="G35" s="181"/>
      <c r="H35" s="181"/>
      <c r="I35" s="181"/>
      <c r="J35" s="181"/>
    </row>
    <row r="36" spans="2:10" ht="20.25" customHeight="1">
      <c r="B36" s="181"/>
      <c r="C36" s="181"/>
      <c r="D36" s="181"/>
      <c r="E36" s="181"/>
      <c r="F36" s="181"/>
      <c r="G36" s="181"/>
      <c r="H36" s="181"/>
      <c r="I36" s="181"/>
      <c r="J36" s="181"/>
    </row>
    <row r="37" spans="2:10">
      <c r="B37" s="133"/>
      <c r="C37" s="133"/>
      <c r="D37" s="133"/>
      <c r="E37" s="133"/>
      <c r="F37" s="133"/>
      <c r="G37" s="133"/>
      <c r="H37" s="133"/>
      <c r="I37" s="133"/>
      <c r="J37" s="133"/>
    </row>
    <row r="38" spans="2:10">
      <c r="B38" s="182" t="s">
        <v>2903</v>
      </c>
      <c r="C38" s="182"/>
      <c r="D38" s="182"/>
      <c r="E38" s="182"/>
      <c r="F38" s="182"/>
      <c r="G38" s="182"/>
      <c r="H38" s="182"/>
      <c r="I38" s="182"/>
      <c r="J38" s="182"/>
    </row>
    <row r="39" spans="2:10">
      <c r="B39" s="182"/>
      <c r="C39" s="182"/>
      <c r="D39" s="182"/>
      <c r="E39" s="182"/>
      <c r="F39" s="182"/>
      <c r="G39" s="182"/>
      <c r="H39" s="182"/>
      <c r="I39" s="182"/>
      <c r="J39" s="182"/>
    </row>
    <row r="40" spans="2:10" ht="16" thickBot="1">
      <c r="B40" s="182"/>
      <c r="C40" s="182"/>
      <c r="D40" s="182"/>
      <c r="E40" s="182"/>
      <c r="F40" s="182"/>
      <c r="G40" s="182"/>
      <c r="H40" s="182"/>
      <c r="I40" s="182"/>
      <c r="J40" s="182"/>
    </row>
    <row r="41" spans="2:10" ht="16" thickBot="1">
      <c r="B41" s="129" t="s">
        <v>2904</v>
      </c>
      <c r="C41" s="130"/>
      <c r="D41" s="130"/>
      <c r="E41" s="130"/>
      <c r="F41" s="130"/>
      <c r="G41" s="130"/>
      <c r="H41" s="130"/>
      <c r="I41" s="130"/>
      <c r="J41" s="131"/>
    </row>
    <row r="43" spans="2:10" ht="15" customHeight="1">
      <c r="B43" s="179" t="s">
        <v>2905</v>
      </c>
      <c r="C43" s="179"/>
      <c r="D43" s="179"/>
      <c r="E43" s="179"/>
      <c r="F43" s="179"/>
      <c r="G43" s="179"/>
      <c r="H43" s="179"/>
      <c r="I43" s="179"/>
      <c r="J43" s="179"/>
    </row>
    <row r="44" spans="2:10">
      <c r="B44" s="136"/>
      <c r="C44" s="136"/>
      <c r="D44" s="136"/>
      <c r="E44" s="136"/>
      <c r="F44" s="136"/>
      <c r="G44" s="136"/>
      <c r="H44" s="136"/>
      <c r="I44" s="136"/>
      <c r="J44" s="136"/>
    </row>
    <row r="45" spans="2:10">
      <c r="B45" s="183" t="s">
        <v>53</v>
      </c>
      <c r="C45" s="183"/>
      <c r="D45" s="183"/>
      <c r="E45" s="183"/>
      <c r="F45" s="183"/>
      <c r="G45" s="183"/>
      <c r="H45" s="183"/>
      <c r="I45" s="183"/>
      <c r="J45" s="183"/>
    </row>
    <row r="46" spans="2:10">
      <c r="B46" s="137"/>
      <c r="C46" s="137" t="s">
        <v>2906</v>
      </c>
      <c r="D46" s="137"/>
      <c r="E46" s="137"/>
      <c r="F46" s="137"/>
      <c r="G46" s="137"/>
      <c r="H46" s="137"/>
      <c r="I46" s="137"/>
      <c r="J46" s="137"/>
    </row>
    <row r="47" spans="2:10" ht="24" customHeight="1">
      <c r="C47" s="138" t="s">
        <v>2907</v>
      </c>
      <c r="D47" s="179" t="s">
        <v>2908</v>
      </c>
      <c r="E47" s="179"/>
      <c r="F47" s="179"/>
      <c r="G47" s="179"/>
      <c r="H47" s="179"/>
      <c r="I47" s="179"/>
      <c r="J47" s="179"/>
    </row>
    <row r="48" spans="2:10">
      <c r="B48" s="137"/>
      <c r="C48" s="138" t="s">
        <v>2907</v>
      </c>
      <c r="D48" s="179" t="s">
        <v>2909</v>
      </c>
      <c r="E48" s="179"/>
      <c r="F48" s="179"/>
      <c r="G48" s="179"/>
      <c r="H48" s="179"/>
      <c r="I48" s="179"/>
      <c r="J48" s="179"/>
    </row>
    <row r="49" spans="2:10">
      <c r="B49" s="137"/>
      <c r="C49" s="138" t="s">
        <v>2910</v>
      </c>
      <c r="D49" s="179" t="s">
        <v>2911</v>
      </c>
      <c r="E49" s="179"/>
      <c r="F49" s="179"/>
      <c r="G49" s="179"/>
      <c r="H49" s="179"/>
      <c r="I49" s="179"/>
      <c r="J49" s="179"/>
    </row>
    <row r="50" spans="2:10">
      <c r="B50" s="137"/>
      <c r="C50" s="137"/>
      <c r="D50" s="139"/>
      <c r="E50" s="139"/>
      <c r="F50" s="139"/>
      <c r="G50" s="139"/>
      <c r="H50" s="139"/>
      <c r="I50" s="139"/>
      <c r="J50" s="139"/>
    </row>
    <row r="51" spans="2:10">
      <c r="B51" s="135" t="s">
        <v>2901</v>
      </c>
      <c r="C51" s="137"/>
      <c r="D51" s="137"/>
      <c r="E51" s="137"/>
      <c r="F51" s="137"/>
      <c r="G51" s="137"/>
      <c r="H51" s="137"/>
      <c r="I51" s="137"/>
      <c r="J51" s="137"/>
    </row>
    <row r="52" spans="2:10">
      <c r="B52" s="137"/>
      <c r="C52" s="137"/>
      <c r="D52" s="137"/>
      <c r="E52" s="137"/>
      <c r="F52" s="137"/>
      <c r="G52" s="137"/>
      <c r="H52" s="137"/>
      <c r="I52" s="137"/>
      <c r="J52" s="137"/>
    </row>
    <row r="53" spans="2:10">
      <c r="B53" s="138" t="s">
        <v>2912</v>
      </c>
      <c r="C53" s="137"/>
      <c r="D53" s="137" t="s">
        <v>2913</v>
      </c>
      <c r="E53" s="137"/>
      <c r="F53" s="137"/>
      <c r="G53" s="137"/>
      <c r="H53" s="137"/>
      <c r="I53" s="137"/>
      <c r="J53" s="137"/>
    </row>
    <row r="54" spans="2:10">
      <c r="B54" s="138" t="s">
        <v>2914</v>
      </c>
      <c r="C54" s="137"/>
      <c r="D54" s="137" t="s">
        <v>2915</v>
      </c>
      <c r="E54" s="137"/>
      <c r="F54" s="137"/>
      <c r="G54" s="137"/>
      <c r="H54" s="137"/>
      <c r="I54" s="137"/>
      <c r="J54" s="137"/>
    </row>
    <row r="55" spans="2:10">
      <c r="B55" s="138" t="s">
        <v>2916</v>
      </c>
      <c r="C55" s="137"/>
      <c r="D55" s="137" t="s">
        <v>2917</v>
      </c>
      <c r="E55" s="137"/>
      <c r="F55" s="137"/>
      <c r="G55" s="137"/>
      <c r="H55" s="137"/>
      <c r="I55" s="137"/>
      <c r="J55" s="137"/>
    </row>
    <row r="56" spans="2:10">
      <c r="B56" s="138" t="s">
        <v>2918</v>
      </c>
      <c r="C56" s="137"/>
      <c r="D56" s="137" t="s">
        <v>2919</v>
      </c>
      <c r="E56" s="137"/>
      <c r="F56" s="137"/>
      <c r="G56" s="137"/>
      <c r="H56" s="137"/>
      <c r="I56" s="137"/>
      <c r="J56" s="137"/>
    </row>
    <row r="57" spans="2:10">
      <c r="B57" s="138" t="s">
        <v>2920</v>
      </c>
      <c r="C57" s="137"/>
      <c r="D57" s="137" t="s">
        <v>2921</v>
      </c>
      <c r="E57" s="137"/>
      <c r="F57" s="137"/>
      <c r="G57" s="137"/>
      <c r="H57" s="137"/>
      <c r="I57" s="137"/>
      <c r="J57" s="137"/>
    </row>
    <row r="58" spans="2:10">
      <c r="B58" s="137"/>
      <c r="C58" s="137"/>
      <c r="D58" s="137"/>
      <c r="E58" s="137"/>
      <c r="F58" s="137"/>
      <c r="G58" s="137"/>
      <c r="H58" s="137"/>
      <c r="I58" s="137"/>
      <c r="J58" s="137"/>
    </row>
    <row r="59" spans="2:10">
      <c r="B59" s="138" t="s">
        <v>2922</v>
      </c>
      <c r="C59" s="137"/>
      <c r="D59" s="137"/>
      <c r="E59" s="137"/>
      <c r="F59" s="137"/>
      <c r="G59" s="137"/>
      <c r="H59" s="137"/>
      <c r="I59" s="137"/>
      <c r="J59" s="137"/>
    </row>
  </sheetData>
  <mergeCells count="15">
    <mergeCell ref="D48:J48"/>
    <mergeCell ref="D49:J49"/>
    <mergeCell ref="B13:J13"/>
    <mergeCell ref="B33:J36"/>
    <mergeCell ref="B38:J39"/>
    <mergeCell ref="B40:J40"/>
    <mergeCell ref="B43:J43"/>
    <mergeCell ref="B45:J45"/>
    <mergeCell ref="D47:J47"/>
    <mergeCell ref="B15:J15"/>
    <mergeCell ref="B16:J17"/>
    <mergeCell ref="B20:J22"/>
    <mergeCell ref="B23:J25"/>
    <mergeCell ref="B26:J26"/>
    <mergeCell ref="B29:J3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0"/>
  <sheetViews>
    <sheetView showGridLines="0" zoomScaleNormal="100" workbookViewId="0">
      <selection activeCell="I11" sqref="I11"/>
    </sheetView>
  </sheetViews>
  <sheetFormatPr baseColWidth="10" defaultColWidth="8.3984375" defaultRowHeight="14"/>
  <cols>
    <col min="1" max="1" width="1.796875" customWidth="1"/>
    <col min="3" max="6" width="6" style="34" customWidth="1"/>
    <col min="7" max="7" width="1.796875" customWidth="1"/>
    <col min="8" max="11" width="16.3984375" customWidth="1"/>
    <col min="12" max="12" width="1.796875" customWidth="1"/>
  </cols>
  <sheetData>
    <row r="1" spans="2:11" ht="34.5" customHeight="1">
      <c r="B1" s="184" t="s">
        <v>2513</v>
      </c>
      <c r="C1" s="184"/>
      <c r="D1" s="184"/>
      <c r="E1" s="184"/>
      <c r="F1" s="184"/>
      <c r="G1" s="184"/>
      <c r="H1" s="184"/>
      <c r="I1" s="184"/>
      <c r="J1" s="184"/>
      <c r="K1" s="184"/>
    </row>
    <row r="2" spans="2:11" ht="8.25" customHeight="1"/>
    <row r="3" spans="2:11">
      <c r="B3" s="1" t="s">
        <v>2514</v>
      </c>
      <c r="C3" s="185" t="str">
        <f>'Tornooi schema pronostiek'!BB50</f>
        <v>ABCD</v>
      </c>
      <c r="D3" s="185"/>
      <c r="E3" s="185"/>
      <c r="F3" s="185"/>
    </row>
    <row r="4" spans="2:11" ht="8.25" customHeight="1"/>
    <row r="5" spans="2:11">
      <c r="C5" s="35" t="s">
        <v>2515</v>
      </c>
      <c r="D5" s="35" t="s">
        <v>2516</v>
      </c>
      <c r="E5" s="35" t="s">
        <v>2517</v>
      </c>
      <c r="F5" s="35" t="s">
        <v>2518</v>
      </c>
    </row>
    <row r="6" spans="2:11">
      <c r="B6" s="36" t="s">
        <v>2519</v>
      </c>
      <c r="C6" s="37" t="s">
        <v>2520</v>
      </c>
      <c r="D6" s="38" t="s">
        <v>2521</v>
      </c>
      <c r="E6" s="38" t="s">
        <v>2522</v>
      </c>
      <c r="F6" s="39" t="s">
        <v>2523</v>
      </c>
      <c r="H6" s="40" t="str">
        <f>'Tornooi schema pronostiek'!BE53</f>
        <v>3A</v>
      </c>
      <c r="I6" s="38" t="str">
        <f>'Tornooi schema pronostiek'!BF53</f>
        <v>3D</v>
      </c>
      <c r="J6" s="38" t="str">
        <f>'Tornooi schema pronostiek'!BG53</f>
        <v>3B</v>
      </c>
      <c r="K6" s="39" t="str">
        <f>'Tornooi schema pronostiek'!BH53</f>
        <v>3C</v>
      </c>
    </row>
    <row r="7" spans="2:11">
      <c r="B7" s="41" t="s">
        <v>2524</v>
      </c>
      <c r="C7" s="42" t="s">
        <v>2520</v>
      </c>
      <c r="D7" s="43" t="s">
        <v>2525</v>
      </c>
      <c r="E7" s="43" t="s">
        <v>2522</v>
      </c>
      <c r="F7" s="44" t="s">
        <v>2523</v>
      </c>
      <c r="H7" s="45" t="str">
        <f>'Tornooi schema pronostiek'!BE54</f>
        <v>3A</v>
      </c>
      <c r="I7" s="43" t="str">
        <f>'Tornooi schema pronostiek'!BF54</f>
        <v>3E</v>
      </c>
      <c r="J7" s="43" t="str">
        <f>'Tornooi schema pronostiek'!BG54</f>
        <v>3B</v>
      </c>
      <c r="K7" s="44" t="str">
        <f>'Tornooi schema pronostiek'!BH54</f>
        <v>3C</v>
      </c>
    </row>
    <row r="8" spans="2:11">
      <c r="B8" s="41" t="s">
        <v>2526</v>
      </c>
      <c r="C8" s="42" t="s">
        <v>2520</v>
      </c>
      <c r="D8" s="43" t="s">
        <v>2527</v>
      </c>
      <c r="E8" s="43" t="s">
        <v>2522</v>
      </c>
      <c r="F8" s="44" t="s">
        <v>2523</v>
      </c>
      <c r="H8" s="45" t="str">
        <f>'Tornooi schema pronostiek'!BE55</f>
        <v>3A</v>
      </c>
      <c r="I8" s="43" t="str">
        <f>'Tornooi schema pronostiek'!BF55</f>
        <v>3F</v>
      </c>
      <c r="J8" s="43" t="str">
        <f>'Tornooi schema pronostiek'!BG55</f>
        <v>3B</v>
      </c>
      <c r="K8" s="44" t="str">
        <f>'Tornooi schema pronostiek'!BH55</f>
        <v>3C</v>
      </c>
    </row>
    <row r="9" spans="2:11">
      <c r="B9" s="41" t="s">
        <v>2528</v>
      </c>
      <c r="C9" s="42" t="s">
        <v>2521</v>
      </c>
      <c r="D9" s="43" t="s">
        <v>2525</v>
      </c>
      <c r="E9" s="43" t="s">
        <v>2520</v>
      </c>
      <c r="F9" s="44" t="s">
        <v>2522</v>
      </c>
      <c r="H9" s="45" t="str">
        <f>'Tornooi schema pronostiek'!BE56</f>
        <v>3D</v>
      </c>
      <c r="I9" s="43" t="str">
        <f>'Tornooi schema pronostiek'!BF56</f>
        <v>3E</v>
      </c>
      <c r="J9" s="43" t="str">
        <f>'Tornooi schema pronostiek'!BG56</f>
        <v>3A</v>
      </c>
      <c r="K9" s="44" t="str">
        <f>'Tornooi schema pronostiek'!BH56</f>
        <v>3B</v>
      </c>
    </row>
    <row r="10" spans="2:11">
      <c r="B10" s="41" t="s">
        <v>2529</v>
      </c>
      <c r="C10" s="42" t="s">
        <v>2521</v>
      </c>
      <c r="D10" s="43" t="s">
        <v>2527</v>
      </c>
      <c r="E10" s="43" t="s">
        <v>2520</v>
      </c>
      <c r="F10" s="44" t="s">
        <v>2522</v>
      </c>
      <c r="H10" s="45" t="str">
        <f>'Tornooi schema pronostiek'!BE57</f>
        <v>3D</v>
      </c>
      <c r="I10" s="43" t="str">
        <f>'Tornooi schema pronostiek'!BF57</f>
        <v>3F</v>
      </c>
      <c r="J10" s="43" t="str">
        <f>'Tornooi schema pronostiek'!BG57</f>
        <v>3A</v>
      </c>
      <c r="K10" s="44" t="str">
        <f>'Tornooi schema pronostiek'!BH57</f>
        <v>3B</v>
      </c>
    </row>
    <row r="11" spans="2:11">
      <c r="B11" s="41" t="s">
        <v>2530</v>
      </c>
      <c r="C11" s="42" t="s">
        <v>2525</v>
      </c>
      <c r="D11" s="43" t="s">
        <v>2527</v>
      </c>
      <c r="E11" s="43" t="s">
        <v>2522</v>
      </c>
      <c r="F11" s="44" t="s">
        <v>2520</v>
      </c>
      <c r="H11" s="45" t="str">
        <f>'Tornooi schema pronostiek'!BE58</f>
        <v>3E</v>
      </c>
      <c r="I11" s="43" t="str">
        <f>'Tornooi schema pronostiek'!BF58</f>
        <v>3F</v>
      </c>
      <c r="J11" s="43" t="str">
        <f>'Tornooi schema pronostiek'!BG58</f>
        <v>3B</v>
      </c>
      <c r="K11" s="44" t="str">
        <f>'Tornooi schema pronostiek'!BH58</f>
        <v>3A</v>
      </c>
    </row>
    <row r="12" spans="2:11">
      <c r="B12" s="41" t="s">
        <v>2531</v>
      </c>
      <c r="C12" s="42" t="s">
        <v>2525</v>
      </c>
      <c r="D12" s="43" t="s">
        <v>2521</v>
      </c>
      <c r="E12" s="43" t="s">
        <v>2523</v>
      </c>
      <c r="F12" s="44" t="s">
        <v>2520</v>
      </c>
      <c r="H12" s="45" t="str">
        <f>'Tornooi schema pronostiek'!BE59</f>
        <v>3E</v>
      </c>
      <c r="I12" s="43" t="str">
        <f>'Tornooi schema pronostiek'!BF59</f>
        <v>3D</v>
      </c>
      <c r="J12" s="43" t="str">
        <f>'Tornooi schema pronostiek'!BG59</f>
        <v>3C</v>
      </c>
      <c r="K12" s="44" t="str">
        <f>'Tornooi schema pronostiek'!BH59</f>
        <v>3A</v>
      </c>
    </row>
    <row r="13" spans="2:11">
      <c r="B13" s="41" t="s">
        <v>2532</v>
      </c>
      <c r="C13" s="42" t="s">
        <v>2527</v>
      </c>
      <c r="D13" s="43" t="s">
        <v>2521</v>
      </c>
      <c r="E13" s="43" t="s">
        <v>2523</v>
      </c>
      <c r="F13" s="44" t="s">
        <v>2520</v>
      </c>
      <c r="H13" s="45" t="str">
        <f>'Tornooi schema pronostiek'!BE60</f>
        <v>3F</v>
      </c>
      <c r="I13" s="43" t="str">
        <f>'Tornooi schema pronostiek'!BF60</f>
        <v>3D</v>
      </c>
      <c r="J13" s="43" t="str">
        <f>'Tornooi schema pronostiek'!BG60</f>
        <v>3C</v>
      </c>
      <c r="K13" s="44" t="str">
        <f>'Tornooi schema pronostiek'!BH60</f>
        <v>3A</v>
      </c>
    </row>
    <row r="14" spans="2:11">
      <c r="B14" s="41" t="s">
        <v>2533</v>
      </c>
      <c r="C14" s="42" t="s">
        <v>2525</v>
      </c>
      <c r="D14" s="43" t="s">
        <v>2527</v>
      </c>
      <c r="E14" s="43" t="s">
        <v>2523</v>
      </c>
      <c r="F14" s="44" t="s">
        <v>2520</v>
      </c>
      <c r="H14" s="45" t="str">
        <f>'Tornooi schema pronostiek'!BE61</f>
        <v>3E</v>
      </c>
      <c r="I14" s="43" t="str">
        <f>'Tornooi schema pronostiek'!BF61</f>
        <v>3F</v>
      </c>
      <c r="J14" s="43" t="str">
        <f>'Tornooi schema pronostiek'!BG61</f>
        <v>3C</v>
      </c>
      <c r="K14" s="44" t="str">
        <f>'Tornooi schema pronostiek'!BH61</f>
        <v>3A</v>
      </c>
    </row>
    <row r="15" spans="2:11">
      <c r="B15" s="41" t="s">
        <v>2534</v>
      </c>
      <c r="C15" s="42" t="s">
        <v>2525</v>
      </c>
      <c r="D15" s="43" t="s">
        <v>2527</v>
      </c>
      <c r="E15" s="43" t="s">
        <v>2521</v>
      </c>
      <c r="F15" s="44" t="s">
        <v>2520</v>
      </c>
      <c r="H15" s="45" t="str">
        <f>'Tornooi schema pronostiek'!BE62</f>
        <v>3E</v>
      </c>
      <c r="I15" s="43" t="str">
        <f>'Tornooi schema pronostiek'!BF62</f>
        <v>3F</v>
      </c>
      <c r="J15" s="43" t="str">
        <f>'Tornooi schema pronostiek'!BG62</f>
        <v>3D</v>
      </c>
      <c r="K15" s="44" t="str">
        <f>'Tornooi schema pronostiek'!BH62</f>
        <v>3A</v>
      </c>
    </row>
    <row r="16" spans="2:11">
      <c r="B16" s="41" t="s">
        <v>2535</v>
      </c>
      <c r="C16" s="42" t="s">
        <v>2525</v>
      </c>
      <c r="D16" s="43" t="s">
        <v>2521</v>
      </c>
      <c r="E16" s="43" t="s">
        <v>2522</v>
      </c>
      <c r="F16" s="44" t="s">
        <v>2523</v>
      </c>
      <c r="H16" s="45" t="str">
        <f>'Tornooi schema pronostiek'!BE63</f>
        <v>3E</v>
      </c>
      <c r="I16" s="43" t="str">
        <f>'Tornooi schema pronostiek'!BF63</f>
        <v>3D</v>
      </c>
      <c r="J16" s="43" t="str">
        <f>'Tornooi schema pronostiek'!BG63</f>
        <v>3B</v>
      </c>
      <c r="K16" s="44" t="str">
        <f>'Tornooi schema pronostiek'!BH63</f>
        <v>3C</v>
      </c>
    </row>
    <row r="17" spans="2:11">
      <c r="B17" s="41" t="s">
        <v>2536</v>
      </c>
      <c r="C17" s="42" t="s">
        <v>2527</v>
      </c>
      <c r="D17" s="43" t="s">
        <v>2521</v>
      </c>
      <c r="E17" s="43" t="s">
        <v>2523</v>
      </c>
      <c r="F17" s="44" t="s">
        <v>2522</v>
      </c>
      <c r="H17" s="45" t="str">
        <f>'Tornooi schema pronostiek'!BE64</f>
        <v>3F</v>
      </c>
      <c r="I17" s="43" t="str">
        <f>'Tornooi schema pronostiek'!BF64</f>
        <v>3D</v>
      </c>
      <c r="J17" s="43" t="str">
        <f>'Tornooi schema pronostiek'!BG64</f>
        <v>3C</v>
      </c>
      <c r="K17" s="44" t="str">
        <f>'Tornooi schema pronostiek'!BH64</f>
        <v>3B</v>
      </c>
    </row>
    <row r="18" spans="2:11">
      <c r="B18" s="41" t="s">
        <v>2537</v>
      </c>
      <c r="C18" s="42" t="s">
        <v>2527</v>
      </c>
      <c r="D18" s="43" t="s">
        <v>2525</v>
      </c>
      <c r="E18" s="43" t="s">
        <v>2523</v>
      </c>
      <c r="F18" s="44" t="s">
        <v>2522</v>
      </c>
      <c r="H18" s="45" t="str">
        <f>'Tornooi schema pronostiek'!BE65</f>
        <v>3F</v>
      </c>
      <c r="I18" s="43" t="str">
        <f>'Tornooi schema pronostiek'!BF65</f>
        <v>3E</v>
      </c>
      <c r="J18" s="43" t="str">
        <f>'Tornooi schema pronostiek'!BG65</f>
        <v>3C</v>
      </c>
      <c r="K18" s="44" t="str">
        <f>'Tornooi schema pronostiek'!BH65</f>
        <v>3B</v>
      </c>
    </row>
    <row r="19" spans="2:11">
      <c r="B19" s="41" t="s">
        <v>2538</v>
      </c>
      <c r="C19" s="42" t="s">
        <v>2527</v>
      </c>
      <c r="D19" s="43" t="s">
        <v>2525</v>
      </c>
      <c r="E19" s="43" t="s">
        <v>2521</v>
      </c>
      <c r="F19" s="44" t="s">
        <v>2522</v>
      </c>
      <c r="H19" s="45" t="str">
        <f>'Tornooi schema pronostiek'!BE66</f>
        <v>3F</v>
      </c>
      <c r="I19" s="43" t="str">
        <f>'Tornooi schema pronostiek'!BF66</f>
        <v>3E</v>
      </c>
      <c r="J19" s="43" t="str">
        <f>'Tornooi schema pronostiek'!BG66</f>
        <v>3D</v>
      </c>
      <c r="K19" s="44" t="str">
        <f>'Tornooi schema pronostiek'!BH66</f>
        <v>3B</v>
      </c>
    </row>
    <row r="20" spans="2:11">
      <c r="B20" s="46" t="s">
        <v>2539</v>
      </c>
      <c r="C20" s="47" t="s">
        <v>2527</v>
      </c>
      <c r="D20" s="48" t="s">
        <v>2525</v>
      </c>
      <c r="E20" s="48" t="s">
        <v>2521</v>
      </c>
      <c r="F20" s="49" t="s">
        <v>2523</v>
      </c>
      <c r="H20" s="50" t="str">
        <f>'Tornooi schema pronostiek'!BE67</f>
        <v>3F</v>
      </c>
      <c r="I20" s="48" t="str">
        <f>'Tornooi schema pronostiek'!BF67</f>
        <v>3E</v>
      </c>
      <c r="J20" s="48" t="str">
        <f>'Tornooi schema pronostiek'!BG67</f>
        <v>3D</v>
      </c>
      <c r="K20" s="49" t="str">
        <f>'Tornooi schema pronostiek'!BH67</f>
        <v>3C</v>
      </c>
    </row>
  </sheetData>
  <mergeCells count="2">
    <mergeCell ref="B1:K1"/>
    <mergeCell ref="C3:F3"/>
  </mergeCells>
  <conditionalFormatting sqref="B6:F20 H6:K20">
    <cfRule type="expression" dxfId="197" priority="2">
      <formula>IF($B6=$C$3,1,0)</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V97"/>
  <sheetViews>
    <sheetView showGridLines="0" topLeftCell="C1" zoomScaleNormal="100" workbookViewId="0">
      <selection activeCell="FS23" sqref="FS23:FS24"/>
    </sheetView>
  </sheetViews>
  <sheetFormatPr baseColWidth="10" defaultColWidth="9.19921875" defaultRowHeight="14"/>
  <cols>
    <col min="1" max="1" width="4.796875" style="51" customWidth="1"/>
    <col min="2" max="2" width="5.59765625" style="51" customWidth="1"/>
    <col min="3" max="3" width="11.59765625" style="51" customWidth="1"/>
    <col min="4" max="4" width="7.3984375" style="52" customWidth="1"/>
    <col min="5" max="5" width="22.59765625" style="53" customWidth="1"/>
    <col min="6" max="7" width="4.3984375" style="54" customWidth="1"/>
    <col min="8" max="8" width="22.59765625" style="55" customWidth="1"/>
    <col min="9" max="9" width="7.796875" style="53" customWidth="1"/>
    <col min="10" max="13" width="3.796875" style="53" customWidth="1"/>
    <col min="14" max="14" width="3.3984375" style="56" customWidth="1"/>
    <col min="15" max="15" width="14" style="57" customWidth="1"/>
    <col min="16" max="19" width="5.3984375" style="58" customWidth="1"/>
    <col min="20" max="20" width="7.59765625" style="58" customWidth="1"/>
    <col min="21" max="21" width="6.59765625" style="58" customWidth="1"/>
    <col min="22" max="22" width="1.3984375" style="110" customWidth="1"/>
    <col min="23" max="23" width="15.3984375" style="115" hidden="1" customWidth="1"/>
    <col min="24" max="25" width="16" style="117" hidden="1" customWidth="1"/>
    <col min="26" max="26" width="5" style="116" hidden="1" customWidth="1"/>
    <col min="27" max="32" width="6.19921875" style="115" hidden="1" customWidth="1"/>
    <col min="33" max="35" width="4.3984375" style="115" hidden="1" customWidth="1"/>
    <col min="36" max="36" width="6.19921875" style="115" hidden="1" customWidth="1"/>
    <col min="37" max="40" width="4.3984375" style="115" hidden="1" customWidth="1"/>
    <col min="41" max="41" width="6.19921875" style="115" hidden="1" customWidth="1"/>
    <col min="42" max="44" width="4.3984375" style="115" hidden="1" customWidth="1"/>
    <col min="45" max="45" width="6.19921875" style="115" hidden="1" customWidth="1"/>
    <col min="46" max="48" width="4.3984375" style="115" hidden="1" customWidth="1"/>
    <col min="49" max="49" width="4.3984375" style="116" hidden="1" customWidth="1"/>
    <col min="50" max="53" width="4.3984375" style="115" hidden="1" customWidth="1"/>
    <col min="54" max="54" width="4.3984375" style="116" hidden="1" customWidth="1"/>
    <col min="55" max="55" width="5.3984375" style="115" hidden="1" customWidth="1"/>
    <col min="56" max="56" width="13.3984375" style="116" hidden="1" customWidth="1"/>
    <col min="57" max="61" width="5.3984375" style="115" hidden="1" customWidth="1"/>
    <col min="62" max="64" width="6" style="115" hidden="1" customWidth="1"/>
    <col min="65" max="65" width="5.3984375" style="115" hidden="1" customWidth="1"/>
    <col min="66" max="67" width="6" style="115" hidden="1" customWidth="1"/>
    <col min="68" max="68" width="7.3984375" style="115" hidden="1" customWidth="1"/>
    <col min="69" max="69" width="8" style="116" hidden="1" customWidth="1"/>
    <col min="70" max="70" width="10" style="116" hidden="1" customWidth="1"/>
    <col min="71" max="71" width="15.3984375" style="116" hidden="1" customWidth="1"/>
    <col min="72" max="76" width="4.59765625" style="115" hidden="1" customWidth="1"/>
    <col min="77" max="77" width="15.3984375" style="116" hidden="1" customWidth="1"/>
    <col min="78" max="79" width="5" style="116" hidden="1" customWidth="1"/>
    <col min="80" max="80" width="2" style="116" hidden="1" customWidth="1"/>
    <col min="81" max="84" width="3.59765625" style="115" hidden="1" customWidth="1"/>
    <col min="85" max="85" width="2.3984375" style="116" hidden="1" customWidth="1"/>
    <col min="86" max="89" width="3.59765625" style="115" hidden="1" customWidth="1"/>
    <col min="90" max="91" width="3.3984375" style="116" hidden="1" customWidth="1"/>
    <col min="92" max="95" width="3.59765625" style="115" hidden="1" customWidth="1"/>
    <col min="96" max="96" width="2.3984375" style="116" hidden="1" customWidth="1"/>
    <col min="97" max="100" width="3.59765625" style="115" hidden="1" customWidth="1"/>
    <col min="101" max="101" width="2.3984375" style="116" hidden="1" customWidth="1"/>
    <col min="102" max="105" width="3.59765625" style="115" hidden="1" customWidth="1"/>
    <col min="106" max="107" width="2.3984375" style="116" hidden="1" customWidth="1"/>
    <col min="108" max="111" width="3.59765625" style="115" hidden="1" customWidth="1"/>
    <col min="112" max="112" width="2.3984375" style="116" hidden="1" customWidth="1"/>
    <col min="113" max="113" width="8" style="116" hidden="1" customWidth="1"/>
    <col min="114" max="114" width="2" style="116" hidden="1" customWidth="1"/>
    <col min="115" max="118" width="3.59765625" style="115" hidden="1" customWidth="1"/>
    <col min="119" max="119" width="2.59765625" style="116" hidden="1" customWidth="1"/>
    <col min="120" max="120" width="8" style="116" hidden="1" customWidth="1"/>
    <col min="121" max="122" width="3" style="116" hidden="1" customWidth="1"/>
    <col min="123" max="126" width="3.59765625" style="115" hidden="1" customWidth="1"/>
    <col min="127" max="128" width="2.3984375" style="116" hidden="1" customWidth="1"/>
    <col min="129" max="129" width="3" style="116" hidden="1" customWidth="1"/>
    <col min="130" max="130" width="10.19921875" style="116" hidden="1" customWidth="1"/>
    <col min="131" max="131" width="6.796875" style="116" hidden="1" customWidth="1"/>
    <col min="132" max="133" width="6" style="116" hidden="1" customWidth="1"/>
    <col min="134" max="134" width="6.796875" style="116" hidden="1" customWidth="1"/>
    <col min="135" max="138" width="3.59765625" style="115" hidden="1" customWidth="1"/>
    <col min="139" max="139" width="2.3984375" style="116" hidden="1" customWidth="1"/>
    <col min="140" max="143" width="3.59765625" style="115" hidden="1" customWidth="1"/>
    <col min="144" max="145" width="3.3984375" style="116" hidden="1" customWidth="1"/>
    <col min="146" max="149" width="3.59765625" style="115" hidden="1" customWidth="1"/>
    <col min="150" max="150" width="2.3984375" style="116" hidden="1" customWidth="1"/>
    <col min="151" max="151" width="3" style="116" hidden="1" customWidth="1"/>
    <col min="152" max="152" width="3.3984375" style="110" customWidth="1"/>
    <col min="153" max="153" width="19.59765625" style="56" customWidth="1"/>
    <col min="154" max="156" width="3" style="56" customWidth="1"/>
    <col min="157" max="158" width="2" style="56" customWidth="1"/>
    <col min="159" max="159" width="3.3984375" style="56" customWidth="1"/>
    <col min="160" max="160" width="19.59765625" style="56" customWidth="1"/>
    <col min="161" max="163" width="3" style="56" customWidth="1"/>
    <col min="164" max="165" width="2" style="56" customWidth="1"/>
    <col min="166" max="166" width="3.3984375" style="56" customWidth="1"/>
    <col min="167" max="167" width="19.59765625" style="56" customWidth="1"/>
    <col min="168" max="170" width="3" style="56" customWidth="1"/>
    <col min="171" max="172" width="2" style="56" customWidth="1"/>
    <col min="173" max="173" width="3.3984375" style="56" customWidth="1"/>
    <col min="174" max="174" width="19.59765625" style="56" customWidth="1"/>
    <col min="175" max="177" width="3" style="56" customWidth="1"/>
    <col min="178" max="178" width="9.19921875" style="56"/>
  </cols>
  <sheetData>
    <row r="1" spans="1:177" ht="47">
      <c r="A1" s="196" t="str">
        <f>INDEX(T,2,lang)</f>
        <v>UEFA EURO 2024 Toernooi schema</v>
      </c>
      <c r="B1" s="196"/>
      <c r="C1" s="196"/>
      <c r="D1" s="196"/>
      <c r="E1" s="196"/>
      <c r="F1" s="196"/>
      <c r="G1" s="196"/>
      <c r="H1" s="196"/>
      <c r="I1" s="196"/>
      <c r="J1" s="196"/>
      <c r="K1" s="196"/>
      <c r="L1" s="196"/>
      <c r="M1" s="196"/>
      <c r="N1" s="196"/>
      <c r="O1" s="196"/>
      <c r="P1" s="196"/>
      <c r="Q1" s="196"/>
      <c r="R1" s="196"/>
      <c r="S1" s="196"/>
      <c r="T1" s="196"/>
      <c r="U1" s="196"/>
      <c r="X1" s="115"/>
      <c r="Y1" s="115"/>
      <c r="Z1" s="115"/>
      <c r="AW1" s="115"/>
      <c r="BB1" s="115"/>
      <c r="BD1" s="115"/>
      <c r="BF1" s="116"/>
      <c r="BG1" s="116"/>
      <c r="BH1" s="116"/>
      <c r="BN1" s="116"/>
      <c r="BO1" s="116"/>
      <c r="BP1" s="116"/>
      <c r="BT1" s="116"/>
      <c r="BU1" s="116"/>
      <c r="BV1" s="116"/>
      <c r="BW1" s="116"/>
      <c r="BX1" s="116"/>
      <c r="CC1" s="116"/>
      <c r="CD1" s="116"/>
      <c r="CE1" s="116"/>
      <c r="CF1" s="116"/>
      <c r="CH1" s="116"/>
      <c r="CI1" s="116"/>
      <c r="CJ1" s="116"/>
      <c r="CK1" s="116"/>
      <c r="CN1" s="116"/>
      <c r="CO1" s="116"/>
      <c r="CP1" s="116"/>
      <c r="CQ1" s="116"/>
      <c r="CS1" s="116"/>
      <c r="CT1" s="116"/>
      <c r="CU1" s="116"/>
      <c r="CV1" s="116"/>
      <c r="CX1" s="116"/>
      <c r="CY1" s="116"/>
      <c r="CZ1" s="116"/>
      <c r="DA1" s="116"/>
      <c r="DD1" s="116"/>
      <c r="DE1" s="116"/>
      <c r="DF1" s="116"/>
      <c r="DG1" s="116"/>
      <c r="DK1" s="116"/>
      <c r="DL1" s="116"/>
      <c r="DM1" s="116"/>
      <c r="DN1" s="116"/>
      <c r="DS1" s="116"/>
      <c r="DT1" s="116"/>
      <c r="DU1" s="116"/>
      <c r="DV1" s="116"/>
      <c r="EE1" s="116"/>
      <c r="EF1" s="116"/>
      <c r="EG1" s="116"/>
      <c r="EH1" s="116"/>
      <c r="EJ1" s="116"/>
      <c r="EK1" s="116"/>
      <c r="EL1" s="116"/>
      <c r="EM1" s="116"/>
      <c r="EP1" s="116"/>
      <c r="EQ1" s="116"/>
      <c r="ER1" s="116"/>
      <c r="ES1" s="116"/>
    </row>
    <row r="2" spans="1:177" ht="6" hidden="1" customHeight="1">
      <c r="X2" s="115"/>
      <c r="Y2" s="115"/>
      <c r="Z2" s="115"/>
      <c r="AW2" s="115"/>
      <c r="BB2" s="115"/>
      <c r="BD2" s="115"/>
      <c r="BF2" s="116"/>
      <c r="BG2" s="116"/>
      <c r="BH2" s="116"/>
      <c r="BN2" s="116"/>
      <c r="BO2" s="116"/>
      <c r="BP2" s="116"/>
      <c r="BT2" s="116"/>
      <c r="BU2" s="116"/>
      <c r="BV2" s="116"/>
      <c r="BW2" s="116"/>
      <c r="BX2" s="116"/>
      <c r="CC2" s="116"/>
      <c r="CD2" s="116"/>
      <c r="CE2" s="116"/>
      <c r="CF2" s="116"/>
      <c r="CH2" s="116"/>
      <c r="CI2" s="116"/>
      <c r="CJ2" s="116"/>
      <c r="CK2" s="116"/>
      <c r="CN2" s="116"/>
      <c r="CO2" s="116"/>
      <c r="CP2" s="116"/>
      <c r="CQ2" s="116"/>
      <c r="CS2" s="116"/>
      <c r="CT2" s="116"/>
      <c r="CU2" s="116"/>
      <c r="CV2" s="116"/>
      <c r="CX2" s="116"/>
      <c r="CY2" s="116"/>
      <c r="CZ2" s="116"/>
      <c r="DA2" s="116"/>
      <c r="DD2" s="116"/>
      <c r="DE2" s="116"/>
      <c r="DF2" s="116"/>
      <c r="DG2" s="116"/>
      <c r="DK2" s="116"/>
      <c r="DL2" s="116"/>
      <c r="DM2" s="116"/>
      <c r="DN2" s="116"/>
      <c r="DS2" s="116"/>
      <c r="DT2" s="116"/>
      <c r="DU2" s="116"/>
      <c r="DV2" s="116"/>
      <c r="EE2" s="116"/>
      <c r="EF2" s="116"/>
      <c r="EG2" s="116"/>
      <c r="EH2" s="116"/>
      <c r="EJ2" s="116"/>
      <c r="EK2" s="116"/>
      <c r="EL2" s="116"/>
      <c r="EM2" s="116"/>
      <c r="EP2" s="116"/>
      <c r="EQ2" s="116"/>
      <c r="ER2" s="116"/>
      <c r="ES2" s="116"/>
    </row>
    <row r="3" spans="1:177" ht="6" hidden="1" customHeight="1">
      <c r="A3" s="59"/>
      <c r="B3" s="59"/>
      <c r="C3" s="59"/>
      <c r="D3" s="59"/>
      <c r="E3" s="59"/>
      <c r="F3" s="59"/>
      <c r="G3" s="59"/>
      <c r="H3" s="59"/>
      <c r="I3" s="59"/>
      <c r="J3" s="59"/>
      <c r="K3" s="59"/>
      <c r="L3" s="59"/>
      <c r="M3" s="59"/>
      <c r="N3" s="59"/>
      <c r="O3" s="59"/>
      <c r="P3" s="59"/>
      <c r="Q3" s="59"/>
      <c r="R3" s="59"/>
      <c r="X3" s="115"/>
      <c r="Y3" s="115"/>
      <c r="Z3" s="115"/>
      <c r="AW3" s="115"/>
      <c r="BB3" s="115"/>
      <c r="BD3" s="115"/>
      <c r="BF3" s="116"/>
      <c r="BG3" s="116"/>
      <c r="BH3" s="116"/>
      <c r="BN3" s="116"/>
      <c r="BO3" s="116"/>
      <c r="BP3" s="116"/>
      <c r="BT3" s="116"/>
      <c r="BU3" s="116"/>
      <c r="BV3" s="116"/>
      <c r="BW3" s="116"/>
      <c r="BX3" s="116"/>
      <c r="CC3" s="116"/>
      <c r="CD3" s="116"/>
      <c r="CE3" s="116"/>
      <c r="CF3" s="116"/>
      <c r="CH3" s="116"/>
      <c r="CI3" s="116"/>
      <c r="CJ3" s="116"/>
      <c r="CK3" s="116"/>
      <c r="CN3" s="116"/>
      <c r="CO3" s="116"/>
      <c r="CP3" s="116"/>
      <c r="CQ3" s="116"/>
      <c r="CS3" s="116"/>
      <c r="CT3" s="116"/>
      <c r="CU3" s="116"/>
      <c r="CV3" s="116"/>
      <c r="CX3" s="116"/>
      <c r="CY3" s="116"/>
      <c r="CZ3" s="116"/>
      <c r="DA3" s="116"/>
      <c r="DD3" s="116"/>
      <c r="DE3" s="116"/>
      <c r="DF3" s="116"/>
      <c r="DG3" s="116"/>
      <c r="DK3" s="116"/>
      <c r="DL3" s="116"/>
      <c r="DM3" s="116"/>
      <c r="DN3" s="116"/>
      <c r="DS3" s="116"/>
      <c r="DT3" s="116"/>
      <c r="DU3" s="116"/>
      <c r="DV3" s="116"/>
      <c r="EE3" s="116"/>
      <c r="EF3" s="116"/>
      <c r="EG3" s="116"/>
      <c r="EH3" s="116"/>
      <c r="EJ3" s="116"/>
      <c r="EK3" s="116"/>
      <c r="EL3" s="116"/>
      <c r="EM3" s="116"/>
      <c r="EP3" s="116"/>
      <c r="EQ3" s="116"/>
      <c r="ER3" s="116"/>
      <c r="ES3" s="116"/>
    </row>
    <row r="4" spans="1:177" ht="6.75" customHeight="1">
      <c r="A4" s="59"/>
      <c r="B4" s="59"/>
      <c r="C4" s="59"/>
      <c r="D4" s="59"/>
      <c r="E4" s="59"/>
      <c r="F4" s="59"/>
      <c r="G4" s="59"/>
      <c r="H4" s="59"/>
      <c r="I4" s="59"/>
      <c r="J4" s="59"/>
      <c r="K4" s="59"/>
      <c r="L4" s="59"/>
      <c r="M4" s="59"/>
    </row>
    <row r="5" spans="1:177" ht="12.75" customHeight="1">
      <c r="A5" s="59"/>
      <c r="B5" s="59"/>
      <c r="C5" s="59"/>
      <c r="D5" s="59"/>
      <c r="E5" s="59"/>
      <c r="F5" s="59"/>
      <c r="G5" s="59"/>
      <c r="H5" s="59"/>
      <c r="I5" s="59"/>
      <c r="J5" s="59"/>
      <c r="K5" s="59"/>
      <c r="L5" s="59"/>
      <c r="M5" s="59"/>
      <c r="CC5" s="116"/>
      <c r="CD5" s="116"/>
      <c r="CE5" s="116"/>
      <c r="CF5" s="116"/>
      <c r="DS5" s="116"/>
      <c r="DT5" s="116"/>
      <c r="DU5" s="116"/>
      <c r="DV5" s="116"/>
      <c r="EE5" s="116"/>
      <c r="EF5" s="116"/>
      <c r="EG5" s="116"/>
      <c r="EH5" s="116"/>
    </row>
    <row r="6" spans="1:177" ht="12.75" customHeight="1">
      <c r="A6" s="59"/>
      <c r="B6" s="59"/>
      <c r="C6" s="59"/>
      <c r="D6" s="59"/>
      <c r="E6" s="59"/>
      <c r="F6" s="59"/>
      <c r="G6" s="59"/>
      <c r="H6" s="59"/>
      <c r="I6" s="59"/>
      <c r="J6" s="59"/>
      <c r="K6" s="59"/>
      <c r="L6" s="59"/>
      <c r="M6" s="59"/>
      <c r="T6" s="197"/>
      <c r="U6" s="197"/>
      <c r="W6" s="115" t="s">
        <v>2540</v>
      </c>
      <c r="AA6" s="115" t="s">
        <v>2541</v>
      </c>
      <c r="AB6" s="115" t="s">
        <v>2542</v>
      </c>
      <c r="BC6" s="115" t="s">
        <v>2543</v>
      </c>
      <c r="BD6" s="115" t="s">
        <v>970</v>
      </c>
      <c r="BE6" s="115" t="s">
        <v>320</v>
      </c>
      <c r="BF6" s="115" t="s">
        <v>357</v>
      </c>
      <c r="BG6" s="115" t="s">
        <v>292</v>
      </c>
      <c r="BH6" s="115" t="s">
        <v>2541</v>
      </c>
      <c r="BI6" s="115" t="s">
        <v>2542</v>
      </c>
      <c r="BJ6" s="115" t="s">
        <v>2544</v>
      </c>
      <c r="BK6" s="115" t="s">
        <v>2544</v>
      </c>
      <c r="BM6" s="115" t="s">
        <v>2545</v>
      </c>
      <c r="BN6" s="115" t="s">
        <v>336</v>
      </c>
      <c r="BP6" s="115" t="s">
        <v>2887</v>
      </c>
      <c r="BQ6" s="115" t="s">
        <v>2888</v>
      </c>
      <c r="BR6" s="115" t="s">
        <v>2546</v>
      </c>
      <c r="BT6" s="115" t="s">
        <v>320</v>
      </c>
      <c r="BU6" s="115" t="s">
        <v>357</v>
      </c>
      <c r="BV6" s="115" t="s">
        <v>2541</v>
      </c>
      <c r="BW6" s="115" t="s">
        <v>2542</v>
      </c>
      <c r="BX6" s="115" t="s">
        <v>2547</v>
      </c>
      <c r="CC6" s="116"/>
      <c r="CD6" s="116"/>
      <c r="CE6" s="116"/>
      <c r="CF6" s="116"/>
      <c r="CH6" s="118"/>
      <c r="CI6" s="118"/>
      <c r="CJ6" s="118"/>
      <c r="CK6" s="118"/>
      <c r="CN6" s="118"/>
      <c r="CO6" s="118"/>
      <c r="CP6" s="118"/>
      <c r="CQ6" s="118"/>
      <c r="CS6" s="118"/>
      <c r="CT6" s="118"/>
      <c r="CU6" s="118"/>
      <c r="CV6" s="118"/>
      <c r="CX6" s="118"/>
      <c r="CY6" s="118"/>
      <c r="CZ6" s="118"/>
      <c r="DA6" s="118"/>
      <c r="DD6" s="118"/>
      <c r="DE6" s="118"/>
      <c r="DF6" s="118"/>
      <c r="DG6" s="118"/>
      <c r="DK6" s="118"/>
      <c r="DL6" s="118"/>
      <c r="DM6" s="118"/>
      <c r="DN6" s="118"/>
      <c r="DS6" s="116"/>
      <c r="DT6" s="116"/>
      <c r="DU6" s="116"/>
      <c r="DV6" s="116"/>
      <c r="EE6" s="116"/>
      <c r="EF6" s="116"/>
      <c r="EG6" s="116"/>
      <c r="EH6" s="116"/>
      <c r="EJ6" s="118"/>
      <c r="EK6" s="118"/>
      <c r="EL6" s="118"/>
      <c r="EM6" s="118"/>
      <c r="EP6" s="118"/>
      <c r="EQ6" s="118"/>
      <c r="ER6" s="118"/>
      <c r="ES6" s="118"/>
      <c r="EV6" s="193" t="str">
        <f>INDEX(T,4,lang)</f>
        <v>Achtste finales</v>
      </c>
      <c r="EW6" s="193"/>
      <c r="EX6" s="193"/>
      <c r="EY6" s="193"/>
      <c r="EZ6" s="193"/>
      <c r="FC6" s="193" t="str">
        <f>INDEX(T,5,lang)</f>
        <v>Kwartfinales</v>
      </c>
      <c r="FD6" s="193"/>
      <c r="FE6" s="193"/>
      <c r="FF6" s="193"/>
      <c r="FG6" s="193"/>
      <c r="FJ6" s="193" t="str">
        <f>INDEX(T,6,lang)</f>
        <v>Halve finales</v>
      </c>
      <c r="FK6" s="193"/>
      <c r="FL6" s="193"/>
      <c r="FM6" s="193"/>
      <c r="FN6" s="193"/>
      <c r="FQ6" s="193" t="str">
        <f>INDEX(T,8,lang)</f>
        <v>Finale</v>
      </c>
      <c r="FR6" s="193"/>
      <c r="FS6" s="193"/>
      <c r="FT6" s="193"/>
      <c r="FU6" s="193"/>
    </row>
    <row r="7" spans="1:177" ht="12.75" customHeight="1">
      <c r="W7" s="115">
        <f>DATE(2024,6,14)+TIME(8,0,0)+gmt_delta</f>
        <v>45457.875</v>
      </c>
      <c r="X7" s="117" t="str">
        <f t="shared" ref="X7:X42" si="0">IF(OR(F10="",G10=""),"",IF(F10&gt;G10,E10&amp;"_win",IF(F10&lt;G10,E10&amp;"_lose",E10&amp;"_draw")))</f>
        <v/>
      </c>
      <c r="Y7" s="117" t="str">
        <f t="shared" ref="Y7:Y42" si="1">IF(X7="","",IF(F10&lt;G10,H10&amp;"_win",IF(F10&gt;G10,H10&amp;"_lose",H10&amp;"_draw")))</f>
        <v/>
      </c>
      <c r="Z7" s="116">
        <f t="shared" ref="Z7:Z42" si="2">IF(X7="",0,IF(VLOOKUP(E10,$BD$8:$BM$53,7,0)=VLOOKUP(H10,$BD$8:$BM$53,7,0),1,0))</f>
        <v>0</v>
      </c>
      <c r="AA7" s="115">
        <f t="shared" ref="AA7:AA42" si="3">Z7*F10</f>
        <v>0</v>
      </c>
      <c r="AB7" s="115">
        <f t="shared" ref="AB7:AB42" si="4">Z7*G10</f>
        <v>0</v>
      </c>
      <c r="AC7" s="115">
        <f t="shared" ref="AC7:AC42" si="5">VLOOKUP(E10,$BY$8:$CA$31,2,0)</f>
        <v>1</v>
      </c>
      <c r="AD7" s="115">
        <f t="shared" ref="AD7:AD42" si="6">VLOOKUP(E10,$BY$8:$CA$31,3,0)</f>
        <v>1</v>
      </c>
      <c r="AE7" s="115">
        <f t="shared" ref="AE7:AE42" si="7">VLOOKUP(H10,$BY$8:$CA$31,3,0)</f>
        <v>2</v>
      </c>
      <c r="AF7" s="115" t="str">
        <f t="shared" ref="AF7:AF42" si="8">AC7&amp;AD7&amp;AE7</f>
        <v>112</v>
      </c>
      <c r="AG7" s="115">
        <f t="shared" ref="AG7:AG42" si="9">IF(OR(F10="",G10=""),0,IF(F10&gt;G10,3,IF(F10&lt;G10,0,1)))</f>
        <v>0</v>
      </c>
      <c r="AH7" s="115">
        <f t="shared" ref="AH7:AH42" si="10">IF(OR(F10="",G10=""),0,F10-G10)</f>
        <v>0</v>
      </c>
      <c r="AI7" s="115">
        <f t="shared" ref="AI7:AI42" si="11">IF(OR(F10="",G10=""),0,F10)</f>
        <v>0</v>
      </c>
      <c r="AJ7" s="115" t="str">
        <f t="shared" ref="AJ7:AJ42" si="12">AC7&amp;AE7&amp;AD7</f>
        <v>121</v>
      </c>
      <c r="AK7" s="115">
        <f t="shared" ref="AK7:AK42" si="13">IF(OR(G10="",F10=""),0,IF(G10&gt;F10,3,IF(G10&lt;F10,0,1)))</f>
        <v>0</v>
      </c>
      <c r="AL7" s="115">
        <f t="shared" ref="AL7:AL42" si="14">IF(OR(G10="",F10=""),0,G10-F10)</f>
        <v>0</v>
      </c>
      <c r="AM7" s="115">
        <f t="shared" ref="AM7:AM42" si="15">IF(OR(G10="",F10=""),0,G10)</f>
        <v>0</v>
      </c>
      <c r="AO7" s="115" t="str">
        <f t="shared" ref="AO7:AO30" si="16">AF7</f>
        <v>112</v>
      </c>
      <c r="AP7" s="115">
        <f t="shared" ref="AP7:AP30" si="17">AG7</f>
        <v>0</v>
      </c>
      <c r="AQ7" s="115">
        <f t="shared" ref="AQ7:AQ30" si="18">AH7</f>
        <v>0</v>
      </c>
      <c r="AR7" s="115">
        <f t="shared" ref="AR7:AR30" si="19">AI7</f>
        <v>0</v>
      </c>
      <c r="AS7" s="115" t="str">
        <f t="shared" ref="AS7:AS30" si="20">AJ7</f>
        <v>121</v>
      </c>
      <c r="AT7" s="115">
        <f t="shared" ref="AT7:AT30" si="21">AK7</f>
        <v>0</v>
      </c>
      <c r="AU7" s="115">
        <f t="shared" ref="AU7:AU30" si="22">AL7</f>
        <v>0</v>
      </c>
      <c r="AV7" s="115">
        <f t="shared" ref="AV7:AV30" si="23">AM7</f>
        <v>0</v>
      </c>
      <c r="AX7" s="115" t="str">
        <f t="shared" ref="AX7:AX42" si="24">AF7</f>
        <v>112</v>
      </c>
      <c r="AY7" s="115">
        <v>0</v>
      </c>
      <c r="AZ7" s="115" t="str">
        <f t="shared" ref="AZ7:AZ42" si="25">AJ7</f>
        <v>121</v>
      </c>
      <c r="BA7" s="115">
        <v>0</v>
      </c>
      <c r="CC7" s="116"/>
      <c r="CD7" s="116"/>
      <c r="CE7" s="116"/>
      <c r="CF7" s="116"/>
      <c r="DI7" s="115" t="s">
        <v>336</v>
      </c>
      <c r="DP7" s="115" t="s">
        <v>336</v>
      </c>
      <c r="DS7" s="116"/>
      <c r="DT7" s="116"/>
      <c r="DU7" s="116"/>
      <c r="DV7" s="116"/>
      <c r="EA7" s="115" t="s">
        <v>2548</v>
      </c>
      <c r="EB7" s="115" t="s">
        <v>2549</v>
      </c>
      <c r="EC7" s="115" t="s">
        <v>2550</v>
      </c>
      <c r="ED7" s="115" t="s">
        <v>336</v>
      </c>
      <c r="EE7" s="116"/>
      <c r="EF7" s="116"/>
      <c r="EG7" s="116"/>
      <c r="EH7" s="116"/>
      <c r="EV7" s="193"/>
      <c r="EW7" s="193"/>
      <c r="EX7" s="193"/>
      <c r="EY7" s="193"/>
      <c r="EZ7" s="193"/>
      <c r="FC7" s="193"/>
      <c r="FD7" s="193"/>
      <c r="FE7" s="193"/>
      <c r="FF7" s="193"/>
      <c r="FG7" s="193"/>
      <c r="FJ7" s="193"/>
      <c r="FK7" s="193"/>
      <c r="FL7" s="193"/>
      <c r="FM7" s="193"/>
      <c r="FN7" s="193"/>
      <c r="FQ7" s="193"/>
      <c r="FR7" s="193"/>
      <c r="FS7" s="193"/>
      <c r="FT7" s="193"/>
      <c r="FU7" s="193"/>
    </row>
    <row r="8" spans="1:177" ht="12.75" customHeight="1">
      <c r="A8" s="194" t="str">
        <f>INDEX(T,3,lang)</f>
        <v>Groepsfase</v>
      </c>
      <c r="B8" s="194"/>
      <c r="C8" s="194"/>
      <c r="D8" s="194"/>
      <c r="E8" s="194"/>
      <c r="F8" s="194"/>
      <c r="G8" s="194"/>
      <c r="H8" s="194"/>
      <c r="I8" s="194"/>
      <c r="J8" s="194"/>
      <c r="K8" s="194"/>
      <c r="L8" s="60"/>
      <c r="M8" s="60"/>
      <c r="O8" s="61" t="str">
        <f>INDEX(T,9,lang) &amp; " " &amp; "A"</f>
        <v>Groep A</v>
      </c>
      <c r="P8" s="62" t="str">
        <f>INDEX(T,10,lang)</f>
        <v>WG</v>
      </c>
      <c r="Q8" s="62" t="str">
        <f>INDEX(T,11,lang)</f>
        <v>W</v>
      </c>
      <c r="R8" s="62" t="str">
        <f>INDEX(T,12,lang)</f>
        <v>G</v>
      </c>
      <c r="S8" s="62" t="str">
        <f>INDEX(T,13,lang)</f>
        <v>V</v>
      </c>
      <c r="T8" s="62" t="str">
        <f>INDEX(T,14,lang)</f>
        <v>DV-DT</v>
      </c>
      <c r="U8" s="62" t="str">
        <f>INDEX(T,15,lang)</f>
        <v>PNT</v>
      </c>
      <c r="W8" s="115">
        <f>DATE(2024,6,15)+TIME(2,0,0)+gmt_delta</f>
        <v>45458.625</v>
      </c>
      <c r="X8" s="117" t="str">
        <f t="shared" si="0"/>
        <v/>
      </c>
      <c r="Y8" s="117" t="str">
        <f t="shared" si="1"/>
        <v/>
      </c>
      <c r="Z8" s="116">
        <f t="shared" si="2"/>
        <v>0</v>
      </c>
      <c r="AA8" s="115">
        <f t="shared" si="3"/>
        <v>0</v>
      </c>
      <c r="AB8" s="115">
        <f t="shared" si="4"/>
        <v>0</v>
      </c>
      <c r="AC8" s="115">
        <f t="shared" si="5"/>
        <v>1</v>
      </c>
      <c r="AD8" s="115">
        <f t="shared" si="6"/>
        <v>4</v>
      </c>
      <c r="AE8" s="115">
        <f t="shared" si="7"/>
        <v>3</v>
      </c>
      <c r="AF8" s="115" t="str">
        <f t="shared" si="8"/>
        <v>143</v>
      </c>
      <c r="AG8" s="115">
        <f t="shared" si="9"/>
        <v>0</v>
      </c>
      <c r="AH8" s="115">
        <f t="shared" si="10"/>
        <v>0</v>
      </c>
      <c r="AI8" s="115">
        <f t="shared" si="11"/>
        <v>0</v>
      </c>
      <c r="AJ8" s="115" t="str">
        <f t="shared" si="12"/>
        <v>134</v>
      </c>
      <c r="AK8" s="115">
        <f t="shared" si="13"/>
        <v>0</v>
      </c>
      <c r="AL8" s="115">
        <f t="shared" si="14"/>
        <v>0</v>
      </c>
      <c r="AM8" s="115">
        <f t="shared" si="15"/>
        <v>0</v>
      </c>
      <c r="AO8" s="115" t="str">
        <f t="shared" si="16"/>
        <v>143</v>
      </c>
      <c r="AP8" s="115">
        <f t="shared" si="17"/>
        <v>0</v>
      </c>
      <c r="AQ8" s="115">
        <f t="shared" si="18"/>
        <v>0</v>
      </c>
      <c r="AR8" s="115">
        <f t="shared" si="19"/>
        <v>0</v>
      </c>
      <c r="AS8" s="115" t="str">
        <f t="shared" si="20"/>
        <v>134</v>
      </c>
      <c r="AT8" s="115">
        <f t="shared" si="21"/>
        <v>0</v>
      </c>
      <c r="AU8" s="115">
        <f t="shared" si="22"/>
        <v>0</v>
      </c>
      <c r="AV8" s="115">
        <f t="shared" si="23"/>
        <v>0</v>
      </c>
      <c r="AX8" s="115" t="str">
        <f t="shared" si="24"/>
        <v>143</v>
      </c>
      <c r="AY8" s="115">
        <v>0</v>
      </c>
      <c r="AZ8" s="115" t="str">
        <f t="shared" si="25"/>
        <v>134</v>
      </c>
      <c r="BA8" s="115">
        <v>0</v>
      </c>
      <c r="BC8" s="115">
        <f>DQ8</f>
        <v>1</v>
      </c>
      <c r="BD8" s="116" t="str">
        <f>INDEX(T,52,lang)</f>
        <v>Duitsland</v>
      </c>
      <c r="BE8" s="115">
        <f>COUNTIF($X$7:$Y$42,"=" &amp; BD8 &amp; "_win")</f>
        <v>0</v>
      </c>
      <c r="BF8" s="115">
        <f>COUNTIF($X$7:$Y$42,"=" &amp; BD8 &amp; "_draw")</f>
        <v>0</v>
      </c>
      <c r="BG8" s="115">
        <f>COUNTIF($X$7:$Y$42,"=" &amp; BD8 &amp; "_lose")</f>
        <v>0</v>
      </c>
      <c r="BH8" s="115">
        <f>SUMIF($E$10:$E$45,$BD8,$F$10:$F$45) + SUMIF($H$10:$H$45,$BD8,$G$10:$G$45)</f>
        <v>0</v>
      </c>
      <c r="BI8" s="115">
        <f>SUMIF($E$10:$E$45,$BD8,$G$10:$G$45) + SUMIF($H$10:$H$45,$BD8,$F$10:$F$45)</f>
        <v>0</v>
      </c>
      <c r="BJ8" s="115">
        <f>BM8*10000</f>
        <v>0</v>
      </c>
      <c r="BK8" s="115">
        <f>BH8-BI8</f>
        <v>0</v>
      </c>
      <c r="BL8" s="115">
        <f>(BK8-BK13)/BK12</f>
        <v>0</v>
      </c>
      <c r="BM8" s="115">
        <f>BE8*3+BF8</f>
        <v>0</v>
      </c>
      <c r="BN8" s="115">
        <f>BT8/BT12*10+BU8/BU12+BX8/BX12*0.1+BV8/BV12*0.01</f>
        <v>0</v>
      </c>
      <c r="BO8" s="115">
        <f>RANK(BN8,$BN$8:$BN$11)</f>
        <v>1</v>
      </c>
      <c r="BP8" s="115">
        <f>IF(VLOOKUP(BD8,db_fifarank,2,0)="",MIN(db_fifarank),VLOOKUP(BD8,db_fifarank,2,0))</f>
        <v>85.337999999999994</v>
      </c>
      <c r="BQ8" s="115">
        <f>0.1*((BP8-$BP$44)/$BP$46-(COUNTIF($BP$8:$BP$41,BP8)-1)/(100-ROW(BP8)))</f>
        <v>8.0433930340046214E-2</v>
      </c>
      <c r="BR8" s="116">
        <f>10000000*BM8/BM12+100000*BN8/BN12+100*BL8+10*BH8/BH12+1*BN8/BN12+BQ8</f>
        <v>8.0433930340046214E-2</v>
      </c>
      <c r="BS8" s="116" t="str">
        <f>IF(SUM(BE8:BG11)=12,O9,INDEX(T,70,lang))</f>
        <v>A1</v>
      </c>
      <c r="BT8" s="115">
        <f>SUMPRODUCT(($X$7:$X$42=BD8&amp;"_win")*($Z$7:$Z$42))+SUMPRODUCT(($Y$7:$Y$42=BD8&amp;"_win")*($Z$7:$Z$42))</f>
        <v>0</v>
      </c>
      <c r="BU8" s="115">
        <f>SUMPRODUCT(($X$7:$X$42=BD8&amp;"_draw")*($Z$7:$Z$42))+SUMPRODUCT(($Y$7:$Y$42=BD8&amp;"_draw")*($Z$7:$Z$42))</f>
        <v>0</v>
      </c>
      <c r="BV8" s="115">
        <f>SUMPRODUCT(($E$10:$E$45=BD8)*($Z$7:$Z$42)*($F$10:$F$45))+SUMPRODUCT(($H$10:$H$45=BD8)*($Z$7:$Z$42)*($G$10:$G$45))</f>
        <v>0</v>
      </c>
      <c r="BW8" s="115">
        <f>SUMPRODUCT(($E$10:$E$45=BD8)*($Z$7:$Z$42)*($G$10:$G$45))+SUMPRODUCT(($H$10:$H$45=BD8)*($Z$7:$Z$42)*($F$10:$F$45))</f>
        <v>0</v>
      </c>
      <c r="BX8" s="115">
        <f>BV8-BW8</f>
        <v>0</v>
      </c>
      <c r="BY8" s="116" t="str">
        <f>BD8</f>
        <v>Duitsland</v>
      </c>
      <c r="BZ8" s="116">
        <v>1</v>
      </c>
      <c r="CA8" s="116">
        <v>1</v>
      </c>
      <c r="CD8" s="115">
        <f>IFERROR(VLOOKUP("112",$AF$7:$AI$42,2,0),0) + IFERROR(VLOOKUP("112",$AJ$7:$AM$42,2,0),0)</f>
        <v>0</v>
      </c>
      <c r="CE8" s="115">
        <f>IFERROR(VLOOKUP("113",$AF$7:$AI$42,2,0),0) + IFERROR(VLOOKUP("113",$AJ$7:$AM$42,2,0),0)</f>
        <v>0</v>
      </c>
      <c r="CF8" s="115">
        <f>IFERROR(VLOOKUP("114",$AF$7:$AI$42,2,0),0) + IFERROR(VLOOKUP("114",$AJ$7:$AM$42,2,0),0)</f>
        <v>0</v>
      </c>
      <c r="CG8" s="116">
        <f>SUM(CC8:CF8)</f>
        <v>0</v>
      </c>
      <c r="CI8" s="115">
        <f>IFERROR(VLOOKUP("112",$AF$7:$AI$42,3,0),0) + IFERROR(VLOOKUP("112",$AJ$7:$AM$42,3,0),0)</f>
        <v>0</v>
      </c>
      <c r="CJ8" s="115">
        <f>IFERROR(VLOOKUP("113",$AF$7:$AI$42,3,0),0) + IFERROR(VLOOKUP("113",$AJ$7:$AM$42,3,0),0)</f>
        <v>0</v>
      </c>
      <c r="CK8" s="115">
        <f>IFERROR(VLOOKUP("114",$AF$7:$AI$42,3,0),0) + IFERROR(VLOOKUP("114",$AJ$7:$AM$42,3,0),0)</f>
        <v>0</v>
      </c>
      <c r="CL8" s="116">
        <f>SUM(CH8:CK8)</f>
        <v>0</v>
      </c>
      <c r="CM8" s="116">
        <f>RANK(CL8,CL8:CL11)</f>
        <v>1</v>
      </c>
      <c r="CO8" s="115">
        <f>IFERROR(VLOOKUP("112",$AF$7:$AI$42,4,0),0) + IFERROR(VLOOKUP("112",$AJ$7:$AM$42,4,0),0)</f>
        <v>0</v>
      </c>
      <c r="CP8" s="115">
        <f>IFERROR(VLOOKUP("113",$AF$7:$AI$42,4,0),0) + IFERROR(VLOOKUP("113",$AJ$7:$AM$42,4,0),0)</f>
        <v>0</v>
      </c>
      <c r="CQ8" s="115">
        <f>IFERROR(VLOOKUP("114",$AF$7:$AI$42,4,0),0) + IFERROR(VLOOKUP("114",$AJ$7:$AM$42,4,0),0)</f>
        <v>0</v>
      </c>
      <c r="CR8" s="116">
        <f>SUM(CN8:CQ8)</f>
        <v>0</v>
      </c>
      <c r="CT8" s="115">
        <f>IF(CD12=CG8,CD8,0)</f>
        <v>0</v>
      </c>
      <c r="CU8" s="115">
        <f>IF(CE12=CG8,CE8,0)</f>
        <v>0</v>
      </c>
      <c r="CV8" s="115">
        <f>IF(CF12=CG8,CF8,0)</f>
        <v>0</v>
      </c>
      <c r="CW8" s="116">
        <f>SUM(CS8:CV8)</f>
        <v>0</v>
      </c>
      <c r="CY8" s="115">
        <f>IF(CD12=CG8,CI8,0)</f>
        <v>0</v>
      </c>
      <c r="CZ8" s="115">
        <f>IF(CE12=CG8,CJ8,0)</f>
        <v>0</v>
      </c>
      <c r="DA8" s="115">
        <f>IF(CF12=CG8,CK8,0)</f>
        <v>0</v>
      </c>
      <c r="DB8" s="116">
        <f>SUM(CX8:DA8)</f>
        <v>0</v>
      </c>
      <c r="DC8" s="116">
        <f>RANK(DB8,DB8:DB11)</f>
        <v>1</v>
      </c>
      <c r="DE8" s="115">
        <f>IF(CD12=CG8,CO8,0)</f>
        <v>0</v>
      </c>
      <c r="DF8" s="115">
        <f>IF(CE12=CG8,CP8,0)</f>
        <v>0</v>
      </c>
      <c r="DG8" s="115">
        <f>IF(CF12=CG8,CQ8,0)</f>
        <v>0</v>
      </c>
      <c r="DH8" s="116">
        <f>SUM(DD8:DG8)</f>
        <v>0</v>
      </c>
      <c r="DI8" s="116">
        <f>CG8*10000+CW8*100+(5-DC8)+DH8/10</f>
        <v>4</v>
      </c>
      <c r="DJ8" s="116">
        <f>RANK(DI8,DI8:DI11)</f>
        <v>1</v>
      </c>
      <c r="DL8" s="115">
        <f>IF(DL12=DJ8,CD8,0)</f>
        <v>0</v>
      </c>
      <c r="DM8" s="115">
        <f>IF(DM12=DJ8,CE8,0)</f>
        <v>0</v>
      </c>
      <c r="DN8" s="115">
        <f>IF(DN12=DJ8,CF8,0)</f>
        <v>0</v>
      </c>
      <c r="DO8" s="116">
        <f>SUM(DK8:DN8)</f>
        <v>0</v>
      </c>
      <c r="DP8" s="116">
        <f>(5-DJ8)*10000+DO8*100+(5-CM8)+CR8/10+(5-DX8)/100+BQ8/10000</f>
        <v>40004.040008043397</v>
      </c>
      <c r="DQ8" s="116">
        <f>RANK(DP8,DP8:DP11)</f>
        <v>1</v>
      </c>
      <c r="DT8" s="115">
        <f>IFERROR(VLOOKUP("112",$AX$7:$AY$42,2,0),0) + IFERROR(VLOOKUP("112",$AZ$7:$BA$42,2,0),0)</f>
        <v>0</v>
      </c>
      <c r="DU8" s="115">
        <f>IFERROR(VLOOKUP("113",$AX$7:$AY$42,2,0),0) + IFERROR(VLOOKUP("113",$AZ$7:$BA$42,2,0),0)</f>
        <v>0</v>
      </c>
      <c r="DV8" s="115">
        <f>IFERROR(VLOOKUP("114",$AX$7:$AY$42,2,0),0) + IFERROR(VLOOKUP("114",$AZ$7:$BA$42,2,0),0)</f>
        <v>0</v>
      </c>
      <c r="DW8" s="116">
        <f>SUM(DS8:DV8)</f>
        <v>0</v>
      </c>
      <c r="DX8" s="116">
        <f>RANK(DW8,DW8:DW11)</f>
        <v>1</v>
      </c>
      <c r="DZ8" s="116" t="str">
        <f>BD8</f>
        <v>Duitsland</v>
      </c>
      <c r="EA8" s="116">
        <f>EI8*10000+EO8*100+ET8</f>
        <v>100</v>
      </c>
      <c r="EB8" s="115">
        <f>COUNTIF(EA8:EA11,EA8)</f>
        <v>4</v>
      </c>
      <c r="EC8" s="115">
        <f>COUNTIF(CG8:CG11,CG8)</f>
        <v>4</v>
      </c>
      <c r="ED8" s="116">
        <f>IF(AND(EB8&gt;=2,EC8=2),EA8,-EA8-0.4)</f>
        <v>-100.4</v>
      </c>
      <c r="EF8" s="115">
        <f>IFERROR(VLOOKUP("112",$AO$7:$AR$42,2,0),0) + IFERROR(VLOOKUP("112",$AS$7:$AV$42,2,0),0)</f>
        <v>0</v>
      </c>
      <c r="EG8" s="115">
        <f>IFERROR(VLOOKUP("113",$AO$7:$AR$42,2,0),0) + IFERROR(VLOOKUP("113",$AS$7:$AV$42,2,0),0)</f>
        <v>0</v>
      </c>
      <c r="EH8" s="115">
        <f>IFERROR(VLOOKUP("114",$AO$7:$AR$42,2,0),0) + IFERROR(VLOOKUP("114",$AS$7:$AV$42,2,0),0)</f>
        <v>0</v>
      </c>
      <c r="EI8" s="116">
        <f>SUM(EE8:EH8)</f>
        <v>0</v>
      </c>
      <c r="EK8" s="115">
        <f>IFERROR(VLOOKUP("112",$AO$7:$AR$42,3,0),0) + IFERROR(VLOOKUP("112",$AS$7:$AV$42,3,0),0)</f>
        <v>0</v>
      </c>
      <c r="EL8" s="115">
        <f>IFERROR(VLOOKUP("113",$AO$7:$AR$42,3,0),0) + IFERROR(VLOOKUP("113",$AS$7:$AV$42,3,0),0)</f>
        <v>0</v>
      </c>
      <c r="EM8" s="115">
        <f>IFERROR(VLOOKUP("114",$AO$7:$AR$42,3,0),0) + IFERROR(VLOOKUP("114",$AS$7:$AV$42,3,0),0)</f>
        <v>0</v>
      </c>
      <c r="EN8" s="116">
        <f>SUM(EJ8:EM8)</f>
        <v>0</v>
      </c>
      <c r="EO8" s="116">
        <f>RANK(EN8,EN8:EN11)</f>
        <v>1</v>
      </c>
      <c r="EQ8" s="115">
        <f>IFERROR(VLOOKUP("112",$AO$7:$AR$42,4,0),0) + IFERROR(VLOOKUP("112",$AS$7:$AV$42,4,0),0)</f>
        <v>0</v>
      </c>
      <c r="ER8" s="115">
        <f>IFERROR(VLOOKUP("113",$AO$7:$AR$42,4,0),0) + IFERROR(VLOOKUP("113",$AS$7:$AV$42,4,0),0)</f>
        <v>0</v>
      </c>
      <c r="ES8" s="115">
        <f>IFERROR(VLOOKUP("114",$AO$7:$AR$42,4,0),0) + IFERROR(VLOOKUP("114",$AS$7:$AV$42,4,0),0)</f>
        <v>0</v>
      </c>
      <c r="ET8" s="116">
        <f>SUM(EP8:ES8)</f>
        <v>0</v>
      </c>
      <c r="FD8" s="63"/>
      <c r="FE8" s="63"/>
      <c r="FF8" s="63"/>
      <c r="FK8" s="63"/>
      <c r="FL8" s="63"/>
      <c r="FM8" s="63"/>
      <c r="FN8" s="63"/>
      <c r="FO8" s="63"/>
      <c r="FP8" s="63"/>
      <c r="FQ8" s="63"/>
      <c r="FR8" s="63"/>
      <c r="FS8" s="63"/>
      <c r="FT8" s="63"/>
      <c r="FU8" s="63"/>
    </row>
    <row r="9" spans="1:177" ht="12.75" customHeight="1">
      <c r="A9" s="194"/>
      <c r="B9" s="194"/>
      <c r="C9" s="194"/>
      <c r="D9" s="194"/>
      <c r="E9" s="194"/>
      <c r="F9" s="194"/>
      <c r="G9" s="194"/>
      <c r="H9" s="194"/>
      <c r="I9" s="194"/>
      <c r="J9" s="194"/>
      <c r="K9" s="194"/>
      <c r="L9" s="60"/>
      <c r="M9" s="60"/>
      <c r="O9" s="64" t="str">
        <f>VLOOKUP(1,BC8:BM11,2,0)</f>
        <v>Duitsland</v>
      </c>
      <c r="P9" s="65">
        <f>Q9+R9+S9</f>
        <v>0</v>
      </c>
      <c r="Q9" s="65">
        <f>VLOOKUP(1,BC8:BM11,3,0)</f>
        <v>0</v>
      </c>
      <c r="R9" s="65">
        <f>VLOOKUP(1,BC8:BM11,4,0)</f>
        <v>0</v>
      </c>
      <c r="S9" s="65">
        <f>VLOOKUP(1,BC8:BM11,5,0)</f>
        <v>0</v>
      </c>
      <c r="T9" s="65" t="str">
        <f>VLOOKUP(1,BC8:BM11,6,0) &amp; " - " &amp; VLOOKUP(1,BC8:BM11,7,0)</f>
        <v>0 - 0</v>
      </c>
      <c r="U9" s="66">
        <f>Q9*3+R9</f>
        <v>0</v>
      </c>
      <c r="W9" s="115">
        <f>DATE(2024,6,15)+TIME(5,0,0)+gmt_delta</f>
        <v>45458.75</v>
      </c>
      <c r="X9" s="117" t="str">
        <f t="shared" si="0"/>
        <v/>
      </c>
      <c r="Y9" s="117" t="str">
        <f t="shared" si="1"/>
        <v/>
      </c>
      <c r="Z9" s="116">
        <f t="shared" si="2"/>
        <v>0</v>
      </c>
      <c r="AA9" s="115">
        <f t="shared" si="3"/>
        <v>0</v>
      </c>
      <c r="AB9" s="115">
        <f t="shared" si="4"/>
        <v>0</v>
      </c>
      <c r="AC9" s="115">
        <f t="shared" si="5"/>
        <v>2</v>
      </c>
      <c r="AD9" s="115">
        <f t="shared" si="6"/>
        <v>1</v>
      </c>
      <c r="AE9" s="115">
        <f t="shared" si="7"/>
        <v>3</v>
      </c>
      <c r="AF9" s="115" t="str">
        <f t="shared" si="8"/>
        <v>213</v>
      </c>
      <c r="AG9" s="115">
        <f t="shared" si="9"/>
        <v>0</v>
      </c>
      <c r="AH9" s="115">
        <f t="shared" si="10"/>
        <v>0</v>
      </c>
      <c r="AI9" s="115">
        <f t="shared" si="11"/>
        <v>0</v>
      </c>
      <c r="AJ9" s="115" t="str">
        <f t="shared" si="12"/>
        <v>231</v>
      </c>
      <c r="AK9" s="115">
        <f t="shared" si="13"/>
        <v>0</v>
      </c>
      <c r="AL9" s="115">
        <f t="shared" si="14"/>
        <v>0</v>
      </c>
      <c r="AM9" s="115">
        <f t="shared" si="15"/>
        <v>0</v>
      </c>
      <c r="AO9" s="115" t="str">
        <f t="shared" si="16"/>
        <v>213</v>
      </c>
      <c r="AP9" s="115">
        <f t="shared" si="17"/>
        <v>0</v>
      </c>
      <c r="AQ9" s="115">
        <f t="shared" si="18"/>
        <v>0</v>
      </c>
      <c r="AR9" s="115">
        <f t="shared" si="19"/>
        <v>0</v>
      </c>
      <c r="AS9" s="115" t="str">
        <f t="shared" si="20"/>
        <v>231</v>
      </c>
      <c r="AT9" s="115">
        <f t="shared" si="21"/>
        <v>0</v>
      </c>
      <c r="AU9" s="115">
        <f t="shared" si="22"/>
        <v>0</v>
      </c>
      <c r="AV9" s="115">
        <f t="shared" si="23"/>
        <v>0</v>
      </c>
      <c r="AX9" s="115" t="str">
        <f t="shared" si="24"/>
        <v>213</v>
      </c>
      <c r="AY9" s="115">
        <v>0</v>
      </c>
      <c r="AZ9" s="115" t="str">
        <f t="shared" si="25"/>
        <v>231</v>
      </c>
      <c r="BA9" s="115">
        <v>0</v>
      </c>
      <c r="BC9" s="115">
        <f>DQ9</f>
        <v>2</v>
      </c>
      <c r="BD9" s="116" t="str">
        <f>INDEX(T,50,lang)</f>
        <v>Schotland</v>
      </c>
      <c r="BE9" s="115">
        <f>COUNTIF($X$7:$Y$42,"=" &amp; BD9 &amp; "_win")</f>
        <v>0</v>
      </c>
      <c r="BF9" s="115">
        <f>COUNTIF($X$7:$Y$42,"=" &amp; BD9 &amp; "_draw")</f>
        <v>0</v>
      </c>
      <c r="BG9" s="115">
        <f>COUNTIF($X$7:$Y$42,"=" &amp; BD9 &amp; "_lose")</f>
        <v>0</v>
      </c>
      <c r="BH9" s="115">
        <f>SUMIF($E$10:$E$45,$BD9,$F$10:$F$45) + SUMIF($H$10:$H$45,$BD9,$G$10:$G$45)</f>
        <v>0</v>
      </c>
      <c r="BI9" s="115">
        <f>SUMIF($E$10:$E$45,$BD9,$G$10:$G$45) + SUMIF($H$10:$H$45,$BD9,$F$10:$F$45)</f>
        <v>0</v>
      </c>
      <c r="BJ9" s="115">
        <f>BM9*10000</f>
        <v>0</v>
      </c>
      <c r="BK9" s="115">
        <f>BH9-BI9</f>
        <v>0</v>
      </c>
      <c r="BL9" s="115">
        <f>(BK9-BK13)/BK12</f>
        <v>0</v>
      </c>
      <c r="BM9" s="115">
        <f>BE9*3+BF9</f>
        <v>0</v>
      </c>
      <c r="BN9" s="115">
        <f>BT9/BT12*10+BU9/BU12+BX9/BX12*0.1+BV9/BV12*0.01</f>
        <v>0</v>
      </c>
      <c r="BO9" s="115">
        <f>RANK(BN9,$BN$8:$BN$11)</f>
        <v>1</v>
      </c>
      <c r="BP9" s="115">
        <f>IF(VLOOKUP(BD9,db_fifarank,2,0)="",MIN(db_fifarank),VLOOKUP(BD9,db_fifarank,2,0))</f>
        <v>36.049999999999997</v>
      </c>
      <c r="BQ9" s="115">
        <f t="shared" ref="BQ9:BQ11" si="26">0.1*((BP9-$BP$44)/$BP$46-(COUNTIF($BP$8:$BP$41,BP9)-1)/(100-ROW(BP9)))</f>
        <v>2.8484913691458752E-2</v>
      </c>
      <c r="BR9" s="116">
        <f>10000000*BM9/BM12+100000*BN9/BN12+100*BL9+10*BH9/BH12+1*BN9/BN12+BQ9</f>
        <v>2.8484913691458752E-2</v>
      </c>
      <c r="BS9" s="116" t="str">
        <f>IF(SUM(BE8:BG11)=12,O10,INDEX(T,71,lang))</f>
        <v>A2</v>
      </c>
      <c r="BT9" s="115">
        <f>SUMPRODUCT(($X$7:$X$42=BD9&amp;"_win")*($Z$7:$Z$42))+SUMPRODUCT(($Y$7:$Y$42=BD9&amp;"_win")*($Z$7:$Z$42))</f>
        <v>0</v>
      </c>
      <c r="BU9" s="115">
        <f>SUMPRODUCT(($X$7:$X$42=BD9&amp;"_draw")*($Z$7:$Z$42))+SUMPRODUCT(($Y$7:$Y$42=BD9&amp;"_draw")*($Z$7:$Z$42))</f>
        <v>0</v>
      </c>
      <c r="BV9" s="115">
        <f>SUMPRODUCT(($E$10:$E$45=BD9)*($Z$7:$Z$42)*($F$10:$F$45))+SUMPRODUCT(($H$10:$H$45=BD9)*($Z$7:$Z$42)*($G$10:$G$45))</f>
        <v>0</v>
      </c>
      <c r="BW9" s="115">
        <f>SUMPRODUCT(($E$10:$E$45=BD9)*($Z$7:$Z$42)*($G$10:$G$45))+SUMPRODUCT(($H$10:$H$45=BD9)*($Z$7:$Z$42)*($F$10:$F$45))</f>
        <v>0</v>
      </c>
      <c r="BX9" s="115">
        <f>BV9-BW9</f>
        <v>0</v>
      </c>
      <c r="BY9" s="116" t="str">
        <f>BD9</f>
        <v>Schotland</v>
      </c>
      <c r="BZ9" s="116">
        <v>1</v>
      </c>
      <c r="CA9" s="116">
        <v>2</v>
      </c>
      <c r="CC9" s="115">
        <f>IFERROR(VLOOKUP("121",$AF$7:$AI$42,2,0),0) + IFERROR(VLOOKUP("121",$AJ$7:$AM$42,2,0),0)</f>
        <v>0</v>
      </c>
      <c r="CE9" s="115">
        <f>IFERROR(VLOOKUP("123",$AF$7:$AI$42,2,0),0) + IFERROR(VLOOKUP("123",$AJ$7:$AM$42,2,0),0)</f>
        <v>0</v>
      </c>
      <c r="CF9" s="115">
        <f>IFERROR(VLOOKUP("124",$AF$7:$AI$42,2,0),0) + IFERROR(VLOOKUP("124",$AJ$7:$AM$42,2,0),0)</f>
        <v>0</v>
      </c>
      <c r="CG9" s="116">
        <f>SUM(CC9:CF9)</f>
        <v>0</v>
      </c>
      <c r="CH9" s="115">
        <f>IFERROR(VLOOKUP("121",$AF$7:$AI$42,3,0),0) + IFERROR(VLOOKUP("121",$AJ$7:$AM$42,3,0),0)</f>
        <v>0</v>
      </c>
      <c r="CJ9" s="115">
        <f>IFERROR(VLOOKUP("123",$AF$7:$AI$42,3,0),0) + IFERROR(VLOOKUP("123",$AJ$7:$AM$42,3,0),0)</f>
        <v>0</v>
      </c>
      <c r="CK9" s="115">
        <f>IFERROR(VLOOKUP("124",$AF$7:$AI$42,3,0),0) + IFERROR(VLOOKUP("124",$AJ$7:$AM$42,3,0),0)</f>
        <v>0</v>
      </c>
      <c r="CL9" s="116">
        <f>SUM(CH9:CK9)</f>
        <v>0</v>
      </c>
      <c r="CM9" s="116">
        <f>RANK(CL9,CL8:CL11)</f>
        <v>1</v>
      </c>
      <c r="CN9" s="115">
        <f>IFERROR(VLOOKUP("121",$AF$7:$AI$42,4,0),0) + IFERROR(VLOOKUP("121",$AJ$7:$AM$42,4,0),0)</f>
        <v>0</v>
      </c>
      <c r="CP9" s="115">
        <f>IFERROR(VLOOKUP("123",$AF$7:$AI$42,4,0),0) + IFERROR(VLOOKUP("123",$AJ$7:$AM$42,4,0),0)</f>
        <v>0</v>
      </c>
      <c r="CQ9" s="115">
        <f>IFERROR(VLOOKUP("124",$AF$7:$AI$42,4,0),0) + IFERROR(VLOOKUP("124",$AJ$7:$AM$42,4,0),0)</f>
        <v>0</v>
      </c>
      <c r="CR9" s="116">
        <f>SUM(CN9:CQ9)</f>
        <v>0</v>
      </c>
      <c r="CS9" s="115">
        <f>IF(CC12=CG9,CC9,0)</f>
        <v>0</v>
      </c>
      <c r="CU9" s="115">
        <f>IF(CE12=CG9,CE9,0)</f>
        <v>0</v>
      </c>
      <c r="CV9" s="115">
        <f>IF(CF12=CG9,CF9,0)</f>
        <v>0</v>
      </c>
      <c r="CW9" s="116">
        <f>SUM(CS9:CV9)</f>
        <v>0</v>
      </c>
      <c r="CX9" s="115">
        <f>IF(CC12=CG9,CH9,0)</f>
        <v>0</v>
      </c>
      <c r="CZ9" s="115">
        <f>IF(CE12=CG9,CJ9,0)</f>
        <v>0</v>
      </c>
      <c r="DA9" s="115">
        <f>IF(CF12=CG9,CK9,0)</f>
        <v>0</v>
      </c>
      <c r="DB9" s="116">
        <f>SUM(CX9:DA9)</f>
        <v>0</v>
      </c>
      <c r="DC9" s="116">
        <f>RANK(DB9,DB8:DB11)</f>
        <v>1</v>
      </c>
      <c r="DD9" s="115">
        <f>IF(CC12=CG9,CN9,0)</f>
        <v>0</v>
      </c>
      <c r="DF9" s="115">
        <f>IF(CE12=CG9,CP9,0)</f>
        <v>0</v>
      </c>
      <c r="DG9" s="115">
        <f>IF(CF12=CG9,CQ9,0)</f>
        <v>0</v>
      </c>
      <c r="DH9" s="116">
        <f>SUM(DD9:DG9)</f>
        <v>0</v>
      </c>
      <c r="DI9" s="116">
        <f>CG9*10000+CW9*100+(5-DC9)+DH9/10</f>
        <v>4</v>
      </c>
      <c r="DJ9" s="116">
        <f>RANK(DI9,DI8:DI11)</f>
        <v>1</v>
      </c>
      <c r="DK9" s="115">
        <f>IF(DK12=DJ9,CC9,0)</f>
        <v>0</v>
      </c>
      <c r="DM9" s="115">
        <f>IF(DM12=DJ9,CE9,0)</f>
        <v>0</v>
      </c>
      <c r="DN9" s="115">
        <f>IF(DN12=DJ9,CF9,0)</f>
        <v>0</v>
      </c>
      <c r="DO9" s="116">
        <f>SUM(DK9:DN9)</f>
        <v>0</v>
      </c>
      <c r="DP9" s="116">
        <f>(5-DJ9)*10000+DO9*100+(5-CM9)+CR9/10+(5-DX9)/100+BQ9/10000</f>
        <v>40004.040002848495</v>
      </c>
      <c r="DQ9" s="116">
        <f>RANK(DP9,DP8:DP11)</f>
        <v>2</v>
      </c>
      <c r="DS9" s="115">
        <f>IFERROR(VLOOKUP("121",$AX$7:$AY$42,2,0),0) + IFERROR(VLOOKUP("121",$AZ$7:$BA$42,2,0),0)</f>
        <v>0</v>
      </c>
      <c r="DU9" s="115">
        <f>IFERROR(VLOOKUP("123",$AX$7:$AY$42,2,0),0) + IFERROR(VLOOKUP("123",$AZ$7:$BA$42,2,0),0)</f>
        <v>0</v>
      </c>
      <c r="DV9" s="115">
        <f>IFERROR(VLOOKUP("124",$AX$7:$AY$42,2,0),0) + IFERROR(VLOOKUP("124",$AZ$7:$BA$42,2,0),0)</f>
        <v>0</v>
      </c>
      <c r="DW9" s="116">
        <f>SUM(DS9:DV9)</f>
        <v>0</v>
      </c>
      <c r="DX9" s="116">
        <f>RANK(DW9,DW8:DW11)</f>
        <v>1</v>
      </c>
      <c r="DZ9" s="116" t="str">
        <f>BD9</f>
        <v>Schotland</v>
      </c>
      <c r="EA9" s="116">
        <f>EI9*10000+EO9*100+ET9</f>
        <v>100</v>
      </c>
      <c r="EB9" s="115">
        <f>COUNTIF(EA8:EA11,EA9)</f>
        <v>4</v>
      </c>
      <c r="EC9" s="115">
        <f>COUNTIF(CG8:CG11,CG9)</f>
        <v>4</v>
      </c>
      <c r="ED9" s="116">
        <f>IF(AND(EB9&gt;=2,EC9=2),EA9,-EA9-0.3)</f>
        <v>-100.3</v>
      </c>
      <c r="EE9" s="115">
        <f>IFERROR(VLOOKUP("121",$AO$7:$AR$42,2,0),0) + IFERROR(VLOOKUP("121",$AS$7:$AV$42,2,0),0)</f>
        <v>0</v>
      </c>
      <c r="EG9" s="115">
        <f>IFERROR(VLOOKUP("123",$AO$7:$AR$42,2,0),0) + IFERROR(VLOOKUP("123",$AS$7:$AV$42,2,0),0)</f>
        <v>0</v>
      </c>
      <c r="EH9" s="115">
        <f>IFERROR(VLOOKUP("124",$AO$7:$AR$42,2,0),0) + IFERROR(VLOOKUP("124",$AS$7:$AV$42,2,0),0)</f>
        <v>0</v>
      </c>
      <c r="EI9" s="116">
        <f>SUM(EE9:EH9)</f>
        <v>0</v>
      </c>
      <c r="EJ9" s="115">
        <f>IFERROR(VLOOKUP("121",$AO$7:$AR$42,3,0),0) + IFERROR(VLOOKUP("121",$AS$7:$AV$42,3,0),0)</f>
        <v>0</v>
      </c>
      <c r="EL9" s="115">
        <f>IFERROR(VLOOKUP("123",$AO$7:$AR$42,3,0),0) + IFERROR(VLOOKUP("123",$AS$7:$AV$42,3,0),0)</f>
        <v>0</v>
      </c>
      <c r="EM9" s="115">
        <f>IFERROR(VLOOKUP("124",$AO$7:$AR$42,3,0),0) + IFERROR(VLOOKUP("124",$AS$7:$AV$42,3,0),0)</f>
        <v>0</v>
      </c>
      <c r="EN9" s="116">
        <f>SUM(EJ9:EM9)</f>
        <v>0</v>
      </c>
      <c r="EO9" s="116">
        <f>RANK(EN9,EN8:EN11)</f>
        <v>1</v>
      </c>
      <c r="EP9" s="115">
        <f>IFERROR(VLOOKUP("121",$AO$7:$AR$42,4,0),0) + IFERROR(VLOOKUP("121",$AS$7:$AV$42,4,0),0)</f>
        <v>0</v>
      </c>
      <c r="ER9" s="115">
        <f>IFERROR(VLOOKUP("123",$AO$7:$AR$42,4,0),0) + IFERROR(VLOOKUP("123",$AS$7:$AV$42,4,0),0)</f>
        <v>0</v>
      </c>
      <c r="ES9" s="115">
        <f>IFERROR(VLOOKUP("124",$AO$7:$AR$42,4,0),0) + IFERROR(VLOOKUP("124",$AS$7:$AV$42,4,0),0)</f>
        <v>0</v>
      </c>
      <c r="ET9" s="116">
        <f>SUM(EP9:ES9)</f>
        <v>0</v>
      </c>
      <c r="EV9" s="111" t="str">
        <f>VLOOKUP(EV10,$Z$46:$AC$53,2,0)</f>
        <v>Jul 1, 2024   21:00</v>
      </c>
      <c r="EW9" s="63"/>
      <c r="EX9" s="63"/>
      <c r="EY9" s="63"/>
      <c r="EZ9" s="67" t="str">
        <f>INDEX(T,106,lang)</f>
        <v>Frankfurt</v>
      </c>
      <c r="FA9" s="63"/>
      <c r="FB9" s="63"/>
      <c r="FC9" s="63"/>
      <c r="FD9" s="63"/>
      <c r="FE9" s="63"/>
      <c r="FF9" s="63"/>
      <c r="FG9" s="63"/>
      <c r="FH9" s="63"/>
      <c r="FI9" s="63"/>
      <c r="FJ9" s="63"/>
      <c r="FK9" s="63"/>
      <c r="FL9" s="63"/>
      <c r="FM9" s="63"/>
      <c r="FN9" s="63"/>
      <c r="FO9" s="63"/>
      <c r="FP9" s="63"/>
      <c r="FQ9" s="63"/>
      <c r="FR9" s="63"/>
      <c r="FS9" s="63"/>
      <c r="FT9" s="63"/>
      <c r="FU9" s="63"/>
    </row>
    <row r="10" spans="1:177">
      <c r="A10" s="68">
        <v>1</v>
      </c>
      <c r="B10" s="69" t="str">
        <f t="shared" ref="B10:B45" si="27">INDEX(T,18+INT(MOD(W7-1,7)),lang)</f>
        <v>Vr</v>
      </c>
      <c r="C10" s="70" t="str">
        <f t="shared" ref="C10:C45" si="28">INDEX(T,24+MONTH(W7),lang) &amp; " " &amp; DAY(W7) &amp; ", " &amp; YEAR(W7)</f>
        <v>Jun 14, 2024</v>
      </c>
      <c r="D10" s="71">
        <f t="shared" ref="D10:D45" si="29">TIME(HOUR(W7),MINUTE(W7),0)</f>
        <v>0.875</v>
      </c>
      <c r="E10" s="72" t="str">
        <f>BD8</f>
        <v>Duitsland</v>
      </c>
      <c r="F10" s="73"/>
      <c r="G10" s="74"/>
      <c r="H10" s="75" t="str">
        <f>BD9</f>
        <v>Schotland</v>
      </c>
      <c r="I10" s="195" t="str">
        <f>INDEX(T,103,lang)</f>
        <v>München</v>
      </c>
      <c r="J10" s="195"/>
      <c r="K10" s="195"/>
      <c r="L10" s="60"/>
      <c r="M10" s="60"/>
      <c r="O10" s="76" t="str">
        <f>VLOOKUP(2,BC8:BM11,2,0)</f>
        <v>Schotland</v>
      </c>
      <c r="P10" s="77">
        <f>Q10+R10+S10</f>
        <v>0</v>
      </c>
      <c r="Q10" s="77">
        <f>VLOOKUP(2,BC8:BM11,3,0)</f>
        <v>0</v>
      </c>
      <c r="R10" s="77">
        <f>VLOOKUP(2,BC8:BM11,4,0)</f>
        <v>0</v>
      </c>
      <c r="S10" s="77">
        <f>VLOOKUP(2,BC8:BM11,5,0)</f>
        <v>0</v>
      </c>
      <c r="T10" s="77" t="str">
        <f>VLOOKUP(2,BC8:BM11,6,0) &amp; " - " &amp; VLOOKUP(2,BC8:BM11,7,0)</f>
        <v>0 - 0</v>
      </c>
      <c r="U10" s="78">
        <f>Q10*3+R10</f>
        <v>0</v>
      </c>
      <c r="W10" s="115">
        <f>DATE(2024,6,15)+TIME(8,0,0)+gmt_delta</f>
        <v>45458.875</v>
      </c>
      <c r="X10" s="117" t="str">
        <f t="shared" si="0"/>
        <v/>
      </c>
      <c r="Y10" s="117" t="str">
        <f t="shared" si="1"/>
        <v/>
      </c>
      <c r="Z10" s="116">
        <f t="shared" si="2"/>
        <v>0</v>
      </c>
      <c r="AA10" s="115">
        <f t="shared" si="3"/>
        <v>0</v>
      </c>
      <c r="AB10" s="115">
        <f t="shared" si="4"/>
        <v>0</v>
      </c>
      <c r="AC10" s="115">
        <f t="shared" si="5"/>
        <v>2</v>
      </c>
      <c r="AD10" s="115">
        <f t="shared" si="6"/>
        <v>2</v>
      </c>
      <c r="AE10" s="115">
        <f t="shared" si="7"/>
        <v>4</v>
      </c>
      <c r="AF10" s="115" t="str">
        <f t="shared" si="8"/>
        <v>224</v>
      </c>
      <c r="AG10" s="115">
        <f t="shared" si="9"/>
        <v>0</v>
      </c>
      <c r="AH10" s="115">
        <f t="shared" si="10"/>
        <v>0</v>
      </c>
      <c r="AI10" s="115">
        <f t="shared" si="11"/>
        <v>0</v>
      </c>
      <c r="AJ10" s="115" t="str">
        <f t="shared" si="12"/>
        <v>242</v>
      </c>
      <c r="AK10" s="115">
        <f t="shared" si="13"/>
        <v>0</v>
      </c>
      <c r="AL10" s="115">
        <f t="shared" si="14"/>
        <v>0</v>
      </c>
      <c r="AM10" s="115">
        <f t="shared" si="15"/>
        <v>0</v>
      </c>
      <c r="AO10" s="115" t="str">
        <f t="shared" si="16"/>
        <v>224</v>
      </c>
      <c r="AP10" s="115">
        <f t="shared" si="17"/>
        <v>0</v>
      </c>
      <c r="AQ10" s="115">
        <f t="shared" si="18"/>
        <v>0</v>
      </c>
      <c r="AR10" s="115">
        <f t="shared" si="19"/>
        <v>0</v>
      </c>
      <c r="AS10" s="115" t="str">
        <f t="shared" si="20"/>
        <v>242</v>
      </c>
      <c r="AT10" s="115">
        <f t="shared" si="21"/>
        <v>0</v>
      </c>
      <c r="AU10" s="115">
        <f t="shared" si="22"/>
        <v>0</v>
      </c>
      <c r="AV10" s="115">
        <f t="shared" si="23"/>
        <v>0</v>
      </c>
      <c r="AX10" s="115" t="str">
        <f t="shared" si="24"/>
        <v>224</v>
      </c>
      <c r="AY10" s="115">
        <v>0</v>
      </c>
      <c r="AZ10" s="115" t="str">
        <f t="shared" si="25"/>
        <v>242</v>
      </c>
      <c r="BA10" s="115">
        <v>0</v>
      </c>
      <c r="BC10" s="115">
        <f>DQ10</f>
        <v>3</v>
      </c>
      <c r="BD10" s="116" t="str">
        <f>INDEX(T,57,lang)</f>
        <v>Zwitserland</v>
      </c>
      <c r="BE10" s="115">
        <f>COUNTIF($X$7:$Y$42,"=" &amp; BD10 &amp; "_win")</f>
        <v>0</v>
      </c>
      <c r="BF10" s="115">
        <f>COUNTIF($X$7:$Y$42,"=" &amp; BD10 &amp; "_draw")</f>
        <v>0</v>
      </c>
      <c r="BG10" s="115">
        <f>COUNTIF($X$7:$Y$42,"=" &amp; BD10 &amp; "_lose")</f>
        <v>0</v>
      </c>
      <c r="BH10" s="115">
        <f>SUMIF($E$10:$E$45,$BD10,$F$10:$F$45) + SUMIF($H$10:$H$45,$BD10,$G$10:$G$45)</f>
        <v>0</v>
      </c>
      <c r="BI10" s="115">
        <f>SUMIF($E$10:$E$45,$BD10,$G$10:$G$45) + SUMIF($H$10:$H$45,$BD10,$F$10:$F$45)</f>
        <v>0</v>
      </c>
      <c r="BJ10" s="115">
        <f>BM10*10000</f>
        <v>0</v>
      </c>
      <c r="BK10" s="115">
        <f>BH10-BI10</f>
        <v>0</v>
      </c>
      <c r="BL10" s="115">
        <f>(BK10-BK13)/BK12</f>
        <v>0</v>
      </c>
      <c r="BM10" s="115">
        <f>BE10*3+BF10</f>
        <v>0</v>
      </c>
      <c r="BN10" s="115">
        <f>BT10/BT12*10+BU10/BU12+BX10/BX12*0.1+BV10/BV12*0.01</f>
        <v>0</v>
      </c>
      <c r="BO10" s="115">
        <f>RANK(BN10,$BN$8:$BN$11)</f>
        <v>1</v>
      </c>
      <c r="BP10" s="115">
        <f>IF(VLOOKUP(BD10,db_fifarank,2,0)="",MIN(db_fifarank),VLOOKUP(BD10,db_fifarank,2,0))</f>
        <v>32.975000000000001</v>
      </c>
      <c r="BQ10" s="115">
        <f t="shared" si="26"/>
        <v>2.6411356883459892E-2</v>
      </c>
      <c r="BR10" s="116">
        <f>10000000*BM10/BM12+100000*BN10/BN12+100*BL10+10*BH10/BH12+1*BN10/BN12+BQ10</f>
        <v>2.6411356883459892E-2</v>
      </c>
      <c r="BS10" s="116" t="str">
        <f>IF(SUM(BE8:BG11)&gt;0,O11,"3A")</f>
        <v>3A</v>
      </c>
      <c r="BT10" s="115">
        <f>SUMPRODUCT(($X$7:$X$42=BD10&amp;"_win")*($Z$7:$Z$42))+SUMPRODUCT(($Y$7:$Y$42=BD10&amp;"_win")*($Z$7:$Z$42))</f>
        <v>0</v>
      </c>
      <c r="BU10" s="115">
        <f>SUMPRODUCT(($X$7:$X$42=BD10&amp;"_draw")*($Z$7:$Z$42))+SUMPRODUCT(($Y$7:$Y$42=BD10&amp;"_draw")*($Z$7:$Z$42))</f>
        <v>0</v>
      </c>
      <c r="BV10" s="115">
        <f>SUMPRODUCT(($E$10:$E$45=BD10)*($Z$7:$Z$42)*($F$10:$F$45))+SUMPRODUCT(($H$10:$H$45=BD10)*($Z$7:$Z$42)*($G$10:$G$45))</f>
        <v>0</v>
      </c>
      <c r="BW10" s="115">
        <f>SUMPRODUCT(($E$10:$E$45=BD10)*($Z$7:$Z$42)*($G$10:$G$45))+SUMPRODUCT(($H$10:$H$45=BD10)*($Z$7:$Z$42)*($F$10:$F$45))</f>
        <v>0</v>
      </c>
      <c r="BX10" s="115">
        <f>BV10-BW10</f>
        <v>0</v>
      </c>
      <c r="BY10" s="116" t="str">
        <f>BD10</f>
        <v>Zwitserland</v>
      </c>
      <c r="BZ10" s="116">
        <v>1</v>
      </c>
      <c r="CA10" s="116">
        <v>3</v>
      </c>
      <c r="CC10" s="115">
        <f>IFERROR(VLOOKUP("131",$AF$7:$AI$42,2,0),0) + IFERROR(VLOOKUP("131",$AJ$7:$AM$42,2,0),0)</f>
        <v>0</v>
      </c>
      <c r="CD10" s="115">
        <f>IFERROR(VLOOKUP("132",$AF$7:$AI$42,2,0),0) + IFERROR(VLOOKUP("132",$AJ$7:$AM$42,2,0),0)</f>
        <v>0</v>
      </c>
      <c r="CF10" s="115">
        <f>IFERROR(VLOOKUP("134",$AF$7:$AI$42,2,0),0) + IFERROR(VLOOKUP("134",$AJ$7:$AM$42,2,0),0)</f>
        <v>0</v>
      </c>
      <c r="CG10" s="116">
        <f>SUM(CC10:CF10)</f>
        <v>0</v>
      </c>
      <c r="CH10" s="115">
        <f>IFERROR(VLOOKUP("131",$AF$7:$AI$42,3,0),0) + IFERROR(VLOOKUP("131",$AJ$7:$AM$42,3,0),0)</f>
        <v>0</v>
      </c>
      <c r="CI10" s="115">
        <f>IFERROR(VLOOKUP("132",$AF$7:$AI$42,3,0),0) + IFERROR(VLOOKUP("132",$AJ$7:$AM$42,3,0),0)</f>
        <v>0</v>
      </c>
      <c r="CK10" s="115">
        <f>IFERROR(VLOOKUP("134",$AF$7:$AI$42,3,0),0) + IFERROR(VLOOKUP("134",$AJ$7:$AM$42,3,0),0)</f>
        <v>0</v>
      </c>
      <c r="CL10" s="116">
        <f>SUM(CH10:CK10)</f>
        <v>0</v>
      </c>
      <c r="CM10" s="116">
        <f>RANK(CL10,CL8:CL11)</f>
        <v>1</v>
      </c>
      <c r="CN10" s="115">
        <f>IFERROR(VLOOKUP("131",$AF$7:$AI$42,4,0),0) + IFERROR(VLOOKUP("131",$AJ$7:$AM$42,4,0),0)</f>
        <v>0</v>
      </c>
      <c r="CO10" s="115">
        <f>IFERROR(VLOOKUP("132",$AF$7:$AI$42,4,0),0) + IFERROR(VLOOKUP("132",$AJ$7:$AM$42,4,0),0)</f>
        <v>0</v>
      </c>
      <c r="CQ10" s="115">
        <f>IFERROR(VLOOKUP("134",$AF$7:$AI$42,4,0),0) + IFERROR(VLOOKUP("134",$AJ$7:$AM$42,4,0),0)</f>
        <v>0</v>
      </c>
      <c r="CR10" s="116">
        <f>SUM(CN10:CQ10)</f>
        <v>0</v>
      </c>
      <c r="CS10" s="115">
        <f>IF(CC12=CG10,CC10,0)</f>
        <v>0</v>
      </c>
      <c r="CT10" s="115">
        <f>IF(CD12=CG10,CD10,0)</f>
        <v>0</v>
      </c>
      <c r="CV10" s="115">
        <f>IF(CF12=CG10,CF10,0)</f>
        <v>0</v>
      </c>
      <c r="CW10" s="116">
        <f>SUM(CS10:CV10)</f>
        <v>0</v>
      </c>
      <c r="CX10" s="115">
        <f>IF(CC12=CG10,CH10,0)</f>
        <v>0</v>
      </c>
      <c r="CY10" s="115">
        <f>IF(CD12=CG10,CI10,0)</f>
        <v>0</v>
      </c>
      <c r="DA10" s="115">
        <f>IF(CF12=CG10,CK10,0)</f>
        <v>0</v>
      </c>
      <c r="DB10" s="116">
        <f>SUM(CX10:DA10)</f>
        <v>0</v>
      </c>
      <c r="DC10" s="116">
        <f>RANK(DB10,DB8:DB11)</f>
        <v>1</v>
      </c>
      <c r="DD10" s="115">
        <f>IF(CC12=CG10,CN10,0)</f>
        <v>0</v>
      </c>
      <c r="DE10" s="115">
        <f>IF(CD12=CG10,CO10,0)</f>
        <v>0</v>
      </c>
      <c r="DG10" s="115">
        <f>IF(CF12=CG10,CQ10,0)</f>
        <v>0</v>
      </c>
      <c r="DH10" s="116">
        <f>SUM(DD10:DG10)</f>
        <v>0</v>
      </c>
      <c r="DI10" s="116">
        <f>CG10*10000+CW10*100+(5-DC10)+DH10/10</f>
        <v>4</v>
      </c>
      <c r="DJ10" s="116">
        <f>RANK(DI10,DI8:DI11)</f>
        <v>1</v>
      </c>
      <c r="DK10" s="115">
        <f>IF(DK12=DJ10,CC10,0)</f>
        <v>0</v>
      </c>
      <c r="DL10" s="115">
        <f>IF(DL12=DJ10,CD10,0)</f>
        <v>0</v>
      </c>
      <c r="DN10" s="115">
        <f>IF(DN12=DJ10,CF10,0)</f>
        <v>0</v>
      </c>
      <c r="DO10" s="116">
        <f>SUM(DK10:DN10)</f>
        <v>0</v>
      </c>
      <c r="DP10" s="116">
        <f>(5-DJ10)*10000+DO10*100+(5-CM10)+CR10/10+(5-DX10)/100+BQ10/10000</f>
        <v>40004.040002641137</v>
      </c>
      <c r="DQ10" s="116">
        <f>RANK(DP10,DP8:DP11)</f>
        <v>3</v>
      </c>
      <c r="DS10" s="115">
        <f>IFERROR(VLOOKUP("131",$AX$7:$AY$42,2,0),0) + IFERROR(VLOOKUP("131",$AZ$7:$BA$42,2,0),0)</f>
        <v>0</v>
      </c>
      <c r="DT10" s="115">
        <f>IFERROR(VLOOKUP("132",$AX$7:$AY$42,2,0),0) + IFERROR(VLOOKUP("132",$AZ$7:$BA$42,2,0),0)</f>
        <v>0</v>
      </c>
      <c r="DV10" s="115">
        <f>IFERROR(VLOOKUP("134",$AX$7:$AY$42,2,0),0) + IFERROR(VLOOKUP("134",$AZ$7:$BA$42,2,0),0)</f>
        <v>0</v>
      </c>
      <c r="DW10" s="116">
        <f>SUM(DS10:DV10)</f>
        <v>0</v>
      </c>
      <c r="DX10" s="116">
        <f>RANK(DW10,DW8:DW11)</f>
        <v>1</v>
      </c>
      <c r="DZ10" s="116" t="str">
        <f>BD10</f>
        <v>Zwitserland</v>
      </c>
      <c r="EA10" s="116">
        <f>EI10*10000+EO10*100+ET10</f>
        <v>100</v>
      </c>
      <c r="EB10" s="115">
        <f>COUNTIF(EA8:EA11,EA10)</f>
        <v>4</v>
      </c>
      <c r="EC10" s="115">
        <f>COUNTIF(CG8:CG11,CG10)</f>
        <v>4</v>
      </c>
      <c r="ED10" s="116">
        <f>IF(AND(EB10&gt;=2,EC10=2),EA10,-EA10-0.2)</f>
        <v>-100.2</v>
      </c>
      <c r="EE10" s="115">
        <f>IFERROR(VLOOKUP("131",$AO$7:$AR$42,2,0),0) + IFERROR(VLOOKUP("131",$AS$7:$AV$42,2,0),0)</f>
        <v>0</v>
      </c>
      <c r="EF10" s="115">
        <f>IFERROR(VLOOKUP("132",$AO$7:$AR$42,2,0),0) + IFERROR(VLOOKUP("132",$AS$7:$AV$42,2,0),0)</f>
        <v>0</v>
      </c>
      <c r="EH10" s="115">
        <f>IFERROR(VLOOKUP("134",$AO$7:$AR$42,2,0),0) + IFERROR(VLOOKUP("134",$AS$7:$AV$42,2,0),0)</f>
        <v>0</v>
      </c>
      <c r="EI10" s="116">
        <f>SUM(EE10:EH10)</f>
        <v>0</v>
      </c>
      <c r="EJ10" s="115">
        <f>IFERROR(VLOOKUP("131",$AO$7:$AR$42,3,0),0) + IFERROR(VLOOKUP("131",$AS$7:$AV$42,3,0),0)</f>
        <v>0</v>
      </c>
      <c r="EK10" s="115">
        <f>IFERROR(VLOOKUP("132",$AO$7:$AR$42,3,0),0) + IFERROR(VLOOKUP("132",$AS$7:$AV$42,3,0),0)</f>
        <v>0</v>
      </c>
      <c r="EM10" s="115">
        <f>IFERROR(VLOOKUP("134",$AO$7:$AR$42,3,0),0) + IFERROR(VLOOKUP("134",$AS$7:$AV$42,3,0),0)</f>
        <v>0</v>
      </c>
      <c r="EN10" s="116">
        <f>SUM(EJ10:EM10)</f>
        <v>0</v>
      </c>
      <c r="EO10" s="116">
        <f>RANK(EN10,EN8:EN11)</f>
        <v>1</v>
      </c>
      <c r="EP10" s="115">
        <f>IFERROR(VLOOKUP("131",$AO$7:$AR$42,4,0),0) + IFERROR(VLOOKUP("131",$AS$7:$AV$42,4,0),0)</f>
        <v>0</v>
      </c>
      <c r="EQ10" s="115">
        <f>IFERROR(VLOOKUP("132",$AO$7:$AR$42,4,0),0) + IFERROR(VLOOKUP("132",$AS$7:$AV$42,4,0),0)</f>
        <v>0</v>
      </c>
      <c r="ES10" s="115">
        <f>IFERROR(VLOOKUP("134",$AO$7:$AR$42,4,0),0) + IFERROR(VLOOKUP("134",$AS$7:$AV$42,4,0),0)</f>
        <v>0</v>
      </c>
      <c r="ET10" s="116">
        <f>SUM(EP10:ES10)</f>
        <v>0</v>
      </c>
      <c r="EV10" s="192">
        <v>6</v>
      </c>
      <c r="EW10" s="79" t="str">
        <f>VLOOKUP(EV10,$Z$46:$AC$53,3,0)</f>
        <v>F1</v>
      </c>
      <c r="EX10" s="80"/>
      <c r="EY10" s="81"/>
      <c r="EZ10" s="82"/>
      <c r="FA10" s="63"/>
      <c r="FB10" s="63"/>
      <c r="FC10" s="63"/>
      <c r="FD10" s="63"/>
      <c r="FE10" s="63"/>
      <c r="FF10" s="63"/>
      <c r="FG10" s="63"/>
      <c r="FH10" s="63"/>
      <c r="FI10" s="63"/>
      <c r="FJ10" s="63"/>
      <c r="FK10" s="63"/>
      <c r="FL10" s="63"/>
      <c r="FM10" s="63"/>
      <c r="FN10" s="63"/>
      <c r="FO10" s="63"/>
      <c r="FP10" s="63"/>
      <c r="FQ10" s="63"/>
      <c r="FR10" s="63"/>
      <c r="FS10" s="63"/>
      <c r="FT10" s="63"/>
      <c r="FU10" s="63"/>
    </row>
    <row r="11" spans="1:177">
      <c r="A11" s="83">
        <v>2</v>
      </c>
      <c r="B11" s="84" t="str">
        <f t="shared" si="27"/>
        <v>Za</v>
      </c>
      <c r="C11" s="85" t="str">
        <f t="shared" si="28"/>
        <v>Jun 15, 2024</v>
      </c>
      <c r="D11" s="86">
        <f t="shared" si="29"/>
        <v>0.625</v>
      </c>
      <c r="E11" s="87" t="str">
        <f>BD11</f>
        <v>Hongarije</v>
      </c>
      <c r="F11" s="73"/>
      <c r="G11" s="74"/>
      <c r="H11" s="88" t="str">
        <f>BD10</f>
        <v>Zwitserland</v>
      </c>
      <c r="I11" s="186" t="str">
        <f>INDEX(T,104,lang)</f>
        <v>Keulen</v>
      </c>
      <c r="J11" s="186"/>
      <c r="K11" s="186"/>
      <c r="L11" s="60"/>
      <c r="M11" s="60"/>
      <c r="O11" s="76" t="str">
        <f>VLOOKUP(3,BC8:BM11,2,0)</f>
        <v>Zwitserland</v>
      </c>
      <c r="P11" s="77">
        <f>Q11+R11+S11</f>
        <v>0</v>
      </c>
      <c r="Q11" s="77">
        <f>VLOOKUP(3,BC8:BM11,3,0)</f>
        <v>0</v>
      </c>
      <c r="R11" s="77">
        <f>VLOOKUP(3,BC8:BM11,4,0)</f>
        <v>0</v>
      </c>
      <c r="S11" s="77">
        <f>VLOOKUP(3,BC8:BM11,5,0)</f>
        <v>0</v>
      </c>
      <c r="T11" s="77" t="str">
        <f>VLOOKUP(3,BC8:BM11,6,0) &amp; " - " &amp; VLOOKUP(3,BC8:BM11,7,0)</f>
        <v>0 - 0</v>
      </c>
      <c r="U11" s="78">
        <f>Q11*3+R11</f>
        <v>0</v>
      </c>
      <c r="W11" s="115">
        <f>DATE(2024,6,16)+TIME(2,0,0)+gmt_delta</f>
        <v>45459.625</v>
      </c>
      <c r="X11" s="117" t="str">
        <f t="shared" si="0"/>
        <v/>
      </c>
      <c r="Y11" s="117" t="str">
        <f t="shared" si="1"/>
        <v/>
      </c>
      <c r="Z11" s="116">
        <f t="shared" si="2"/>
        <v>0</v>
      </c>
      <c r="AA11" s="115">
        <f t="shared" si="3"/>
        <v>0</v>
      </c>
      <c r="AB11" s="115">
        <f t="shared" si="4"/>
        <v>0</v>
      </c>
      <c r="AC11" s="115">
        <f t="shared" si="5"/>
        <v>4</v>
      </c>
      <c r="AD11" s="115">
        <f t="shared" si="6"/>
        <v>4</v>
      </c>
      <c r="AE11" s="115">
        <f t="shared" si="7"/>
        <v>2</v>
      </c>
      <c r="AF11" s="115" t="str">
        <f t="shared" si="8"/>
        <v>442</v>
      </c>
      <c r="AG11" s="115">
        <f t="shared" si="9"/>
        <v>0</v>
      </c>
      <c r="AH11" s="115">
        <f t="shared" si="10"/>
        <v>0</v>
      </c>
      <c r="AI11" s="115">
        <f t="shared" si="11"/>
        <v>0</v>
      </c>
      <c r="AJ11" s="115" t="str">
        <f t="shared" si="12"/>
        <v>424</v>
      </c>
      <c r="AK11" s="115">
        <f t="shared" si="13"/>
        <v>0</v>
      </c>
      <c r="AL11" s="115">
        <f t="shared" si="14"/>
        <v>0</v>
      </c>
      <c r="AM11" s="115">
        <f t="shared" si="15"/>
        <v>0</v>
      </c>
      <c r="AO11" s="115" t="str">
        <f t="shared" si="16"/>
        <v>442</v>
      </c>
      <c r="AP11" s="115">
        <f t="shared" si="17"/>
        <v>0</v>
      </c>
      <c r="AQ11" s="115">
        <f t="shared" si="18"/>
        <v>0</v>
      </c>
      <c r="AR11" s="115">
        <f t="shared" si="19"/>
        <v>0</v>
      </c>
      <c r="AS11" s="115" t="str">
        <f t="shared" si="20"/>
        <v>424</v>
      </c>
      <c r="AT11" s="115">
        <f t="shared" si="21"/>
        <v>0</v>
      </c>
      <c r="AU11" s="115">
        <f t="shared" si="22"/>
        <v>0</v>
      </c>
      <c r="AV11" s="115">
        <f t="shared" si="23"/>
        <v>0</v>
      </c>
      <c r="AX11" s="115" t="str">
        <f t="shared" si="24"/>
        <v>442</v>
      </c>
      <c r="AY11" s="115">
        <v>0</v>
      </c>
      <c r="AZ11" s="115" t="str">
        <f t="shared" si="25"/>
        <v>424</v>
      </c>
      <c r="BA11" s="115">
        <v>0</v>
      </c>
      <c r="BC11" s="115">
        <f>DQ11</f>
        <v>4</v>
      </c>
      <c r="BD11" s="116" t="str">
        <f>INDEX(T,43,lang)</f>
        <v>Hongarije</v>
      </c>
      <c r="BE11" s="115">
        <f>COUNTIF($X$7:$Y$42,"=" &amp; BD11 &amp; "_win")</f>
        <v>0</v>
      </c>
      <c r="BF11" s="115">
        <f>COUNTIF($X$7:$Y$42,"=" &amp; BD11 &amp; "_draw")</f>
        <v>0</v>
      </c>
      <c r="BG11" s="115">
        <f>COUNTIF($X$7:$Y$42,"=" &amp; BD11 &amp; "_lose")</f>
        <v>0</v>
      </c>
      <c r="BH11" s="115">
        <f>SUMIF($E$10:$E$45,$BD11,$F$10:$F$45) + SUMIF($H$10:$H$45,$BD11,$G$10:$G$45)</f>
        <v>0</v>
      </c>
      <c r="BI11" s="115">
        <f>SUMIF($E$10:$E$45,$BD11,$G$10:$G$45) + SUMIF($H$10:$H$45,$BD11,$F$10:$F$45)</f>
        <v>0</v>
      </c>
      <c r="BJ11" s="115">
        <f>BM11*10000</f>
        <v>0</v>
      </c>
      <c r="BK11" s="115">
        <f>BH11-BI11</f>
        <v>0</v>
      </c>
      <c r="BL11" s="115">
        <f>(BK11-BK13)/BK12</f>
        <v>0</v>
      </c>
      <c r="BM11" s="115">
        <f>BE11*3+BF11</f>
        <v>0</v>
      </c>
      <c r="BN11" s="115">
        <f>BT11/BT12*10+BU11/BU12+BX11/BX12*0.1+BV11/BV12*0.01</f>
        <v>0</v>
      </c>
      <c r="BO11" s="115">
        <f>RANK(BN11,$BN$8:$BN$11)</f>
        <v>1</v>
      </c>
      <c r="BP11" s="115">
        <f>IF(VLOOKUP(BD11,db_fifarank,2,0)="",MIN(db_fifarank),VLOOKUP(BD11,db_fifarank,2,0))</f>
        <v>21.875</v>
      </c>
      <c r="BQ11" s="115">
        <f t="shared" si="26"/>
        <v>1.4959557609772203E-2</v>
      </c>
      <c r="BR11" s="116">
        <f>10000000*BM11/BM12+100000*BN11/BN12+100*BL11+10*BH11/BH12+1*BN11/BN12+BQ11</f>
        <v>1.4959557609772203E-2</v>
      </c>
      <c r="BT11" s="115">
        <f>SUMPRODUCT(($X$7:$X$42=BD11&amp;"_win")*($Z$7:$Z$42))+SUMPRODUCT(($Y$7:$Y$42=BD11&amp;"_win")*($Z$7:$Z$42))</f>
        <v>0</v>
      </c>
      <c r="BU11" s="115">
        <f>SUMPRODUCT(($X$7:$X$42=BD11&amp;"_draw")*($Z$7:$Z$42))+SUMPRODUCT(($Y$7:$Y$42=BD11&amp;"_draw")*($Z$7:$Z$42))</f>
        <v>0</v>
      </c>
      <c r="BV11" s="115">
        <f>SUMPRODUCT(($E$10:$E$45=BD11)*($Z$7:$Z$42)*($F$10:$F$45))+SUMPRODUCT(($H$10:$H$45=BD11)*($Z$7:$Z$42)*($G$10:$G$45))</f>
        <v>0</v>
      </c>
      <c r="BW11" s="115">
        <f>SUMPRODUCT(($E$10:$E$45=BD11)*($Z$7:$Z$42)*($G$10:$G$45))+SUMPRODUCT(($H$10:$H$45=BD11)*($Z$7:$Z$42)*($F$10:$F$45))</f>
        <v>0</v>
      </c>
      <c r="BX11" s="115">
        <f>BV11-BW11</f>
        <v>0</v>
      </c>
      <c r="BY11" s="116" t="str">
        <f>BD11</f>
        <v>Hongarije</v>
      </c>
      <c r="BZ11" s="116">
        <v>1</v>
      </c>
      <c r="CA11" s="116">
        <v>4</v>
      </c>
      <c r="CC11" s="115">
        <f>IFERROR(VLOOKUP("141",$AF$7:$AI$42,2,0),0) + IFERROR(VLOOKUP("141",$AJ$7:$AM$42,2,0),0)</f>
        <v>0</v>
      </c>
      <c r="CD11" s="115">
        <f>IFERROR(VLOOKUP("142",$AF$7:$AI$42,2,0),0) + IFERROR(VLOOKUP("142",$AJ$7:$AM$42,2,0),0)</f>
        <v>0</v>
      </c>
      <c r="CE11" s="115">
        <f>IFERROR(VLOOKUP("143",$AF$7:$AI$42,2,0),0) + IFERROR(VLOOKUP("143",$AJ$7:$AM$42,2,0),0)</f>
        <v>0</v>
      </c>
      <c r="CG11" s="116">
        <f>SUM(CC11:CF11)</f>
        <v>0</v>
      </c>
      <c r="CH11" s="115">
        <f>IFERROR(VLOOKUP("141",$AF$7:$AI$42,3,0),0) + IFERROR(VLOOKUP("141",$AJ$7:$AM$42,3,0),0)</f>
        <v>0</v>
      </c>
      <c r="CI11" s="115">
        <f>IFERROR(VLOOKUP("142",$AF$7:$AI$42,3,0),0) + IFERROR(VLOOKUP("142",$AJ$7:$AM$42,3,0),0)</f>
        <v>0</v>
      </c>
      <c r="CJ11" s="115">
        <f>IFERROR(VLOOKUP("143",$AF$7:$AI$42,3,0),0) + IFERROR(VLOOKUP("143",$AJ$7:$AM$42,3,0),0)</f>
        <v>0</v>
      </c>
      <c r="CL11" s="116">
        <f>SUM(CH11:CK11)</f>
        <v>0</v>
      </c>
      <c r="CM11" s="116">
        <f>RANK(CL11,CL8:CL11)</f>
        <v>1</v>
      </c>
      <c r="CN11" s="115">
        <f>IFERROR(VLOOKUP("141",$AF$7:$AI$42,4,0),0) + IFERROR(VLOOKUP("141",$AJ$7:$AM$42,4,0),0)</f>
        <v>0</v>
      </c>
      <c r="CO11" s="115">
        <f>IFERROR(VLOOKUP("142",$AF$7:$AI$42,4,0),0) + IFERROR(VLOOKUP("142",$AJ$7:$AM$42,4,0),0)</f>
        <v>0</v>
      </c>
      <c r="CP11" s="115">
        <f>IFERROR(VLOOKUP("143",$AF$7:$AI$42,4,0),0) + IFERROR(VLOOKUP("143",$AJ$7:$AM$42,4,0),0)</f>
        <v>0</v>
      </c>
      <c r="CR11" s="116">
        <f>SUM(CN11:CQ11)</f>
        <v>0</v>
      </c>
      <c r="CS11" s="115">
        <f>IF(CC12=CG11,CC11,0)</f>
        <v>0</v>
      </c>
      <c r="CT11" s="115">
        <f>IF(CD12=CG11,CD11,0)</f>
        <v>0</v>
      </c>
      <c r="CU11" s="115">
        <f>IF(CE12=CG11,CE11,0)</f>
        <v>0</v>
      </c>
      <c r="CW11" s="116">
        <f>SUM(CS11:CV11)</f>
        <v>0</v>
      </c>
      <c r="CX11" s="115">
        <f>IF(CC12=CG11,CH11,0)</f>
        <v>0</v>
      </c>
      <c r="CY11" s="115">
        <f>IF(CD12=CG11,CI11,0)</f>
        <v>0</v>
      </c>
      <c r="CZ11" s="115">
        <f>IF(CE12=CG11,CJ11,0)</f>
        <v>0</v>
      </c>
      <c r="DB11" s="116">
        <f>SUM(CX11:DA11)</f>
        <v>0</v>
      </c>
      <c r="DC11" s="116">
        <f>RANK(DB11,DB8:DB11)</f>
        <v>1</v>
      </c>
      <c r="DD11" s="115">
        <f>IF(CC12=CG11,CN11,0)</f>
        <v>0</v>
      </c>
      <c r="DE11" s="115">
        <f>IF(CD12=CG11,CO11,0)</f>
        <v>0</v>
      </c>
      <c r="DF11" s="115">
        <f>IF(CE12=CG11,CP11,0)</f>
        <v>0</v>
      </c>
      <c r="DH11" s="116">
        <f>SUM(DD11:DG11)</f>
        <v>0</v>
      </c>
      <c r="DI11" s="116">
        <f>CG11*10000+CW11*100+(5-DC11)+DH11/10</f>
        <v>4</v>
      </c>
      <c r="DJ11" s="116">
        <f>RANK(DI11,DI8:DI11)</f>
        <v>1</v>
      </c>
      <c r="DK11" s="115">
        <f>IF(DK12=DJ11,CC11,0)</f>
        <v>0</v>
      </c>
      <c r="DL11" s="115">
        <f>IF(DL12=DJ11,CD11,0)</f>
        <v>0</v>
      </c>
      <c r="DM11" s="115">
        <f>IF(DM12=DJ11,CE11,0)</f>
        <v>0</v>
      </c>
      <c r="DO11" s="116">
        <f>SUM(DK11:DN11)</f>
        <v>0</v>
      </c>
      <c r="DP11" s="116">
        <f>(5-DJ11)*10000+DO11*100+(5-CM11)+CR11/10+(5-DX11)/100+BQ11/10000</f>
        <v>40004.04000149596</v>
      </c>
      <c r="DQ11" s="116">
        <f>RANK(DP11,DP8:DP11)</f>
        <v>4</v>
      </c>
      <c r="DS11" s="115">
        <f>IFERROR(VLOOKUP("141",$AX$7:$AY$42,2,0),0) + IFERROR(VLOOKUP("141",$AZ$7:$BA$42,2,0),0)</f>
        <v>0</v>
      </c>
      <c r="DT11" s="115">
        <f>IFERROR(VLOOKUP("142",$AX$7:$AY$42,2,0),0) + IFERROR(VLOOKUP("142",$AZ$7:$BA$42,2,0),0)</f>
        <v>0</v>
      </c>
      <c r="DU11" s="115">
        <f>IFERROR(VLOOKUP("143",$AX$7:$AY$42,2,0),0) + IFERROR(VLOOKUP("143",$AZ$7:$BA$42,2,0),0)</f>
        <v>0</v>
      </c>
      <c r="DW11" s="116">
        <f>SUM(DS11:DV11)</f>
        <v>0</v>
      </c>
      <c r="DX11" s="116">
        <f>RANK(DW11,DW8:DW11)</f>
        <v>1</v>
      </c>
      <c r="DZ11" s="116" t="str">
        <f>BD11</f>
        <v>Hongarije</v>
      </c>
      <c r="EA11" s="116">
        <f>EI11*10000+EO11*100+ET11</f>
        <v>100</v>
      </c>
      <c r="EB11" s="115">
        <f>COUNTIF(EA8:EA11,EA11)</f>
        <v>4</v>
      </c>
      <c r="EC11" s="115">
        <f>COUNTIF(CG8:CG11,CG11)</f>
        <v>4</v>
      </c>
      <c r="ED11" s="116">
        <f>IF(AND(EB11&gt;=2,EC11=2),EA11,-EA11-0.1)</f>
        <v>-100.1</v>
      </c>
      <c r="EE11" s="115">
        <f>IFERROR(VLOOKUP("141",$AO$7:$AR$42,2,0),0) + IFERROR(VLOOKUP("141",$AS$7:$AV$42,2,0),0)</f>
        <v>0</v>
      </c>
      <c r="EF11" s="115">
        <f>IFERROR(VLOOKUP("142",$AO$7:$AR$42,2,0),0) + IFERROR(VLOOKUP("142",$AS$7:$AV$42,2,0),0)</f>
        <v>0</v>
      </c>
      <c r="EG11" s="115">
        <f>IFERROR(VLOOKUP("143",$AO$7:$AR$42,2,0),0) + IFERROR(VLOOKUP("143",$AS$7:$AV$42,2,0),0)</f>
        <v>0</v>
      </c>
      <c r="EI11" s="116">
        <f>SUM(EE11:EH11)</f>
        <v>0</v>
      </c>
      <c r="EJ11" s="115">
        <f>IFERROR(VLOOKUP("141",$AO$7:$AR$42,3,0),0) + IFERROR(VLOOKUP("141",$AS$7:$AV$42,3,0),0)</f>
        <v>0</v>
      </c>
      <c r="EK11" s="115">
        <f>IFERROR(VLOOKUP("142",$AO$7:$AR$42,3,0),0) + IFERROR(VLOOKUP("142",$AS$7:$AV$42,3,0),0)</f>
        <v>0</v>
      </c>
      <c r="EL11" s="115">
        <f>IFERROR(VLOOKUP("143",$AO$7:$AR$42,3,0),0) + IFERROR(VLOOKUP("143",$AS$7:$AV$42,3,0),0)</f>
        <v>0</v>
      </c>
      <c r="EN11" s="116">
        <f>SUM(EJ11:EM11)</f>
        <v>0</v>
      </c>
      <c r="EO11" s="116">
        <f>RANK(EN11,EN8:EN11)</f>
        <v>1</v>
      </c>
      <c r="EP11" s="115">
        <f>IFERROR(VLOOKUP("141",$AO$7:$AR$42,4,0),0) + IFERROR(VLOOKUP("141",$AS$7:$AV$42,4,0),0)</f>
        <v>0</v>
      </c>
      <c r="EQ11" s="115">
        <f>IFERROR(VLOOKUP("142",$AO$7:$AR$42,4,0),0) + IFERROR(VLOOKUP("142",$AS$7:$AV$42,4,0),0)</f>
        <v>0</v>
      </c>
      <c r="ER11" s="115">
        <f>IFERROR(VLOOKUP("143",$AO$7:$AR$42,4,0),0) + IFERROR(VLOOKUP("143",$AS$7:$AV$42,4,0),0)</f>
        <v>0</v>
      </c>
      <c r="ET11" s="116">
        <f>SUM(EP11:ES11)</f>
        <v>0</v>
      </c>
      <c r="EV11" s="192"/>
      <c r="EW11" s="89" t="str">
        <f>VLOOKUP(EV10,$Z$46:$AC$53,4,0)</f>
        <v>3C</v>
      </c>
      <c r="EX11" s="90"/>
      <c r="EY11" s="91"/>
      <c r="EZ11" s="92"/>
      <c r="FA11" s="93"/>
      <c r="FB11" s="63"/>
      <c r="FC11" s="63" t="str">
        <f>INDEX(T,24+MONTH(W57),lang) &amp; " " &amp; DAY(W57) &amp; ", " &amp; YEAR(W57) &amp; "   " &amp; TEXT(HOUR(W57),"00") &amp; ":" &amp; TEXT(MINUTE(W57),"00")</f>
        <v>Jul 5, 2024   21:00</v>
      </c>
      <c r="FD11" s="63"/>
      <c r="FE11" s="63"/>
      <c r="FF11" s="63"/>
      <c r="FG11" s="67" t="str">
        <f>INDEX(T,109,lang)</f>
        <v>Hamburg</v>
      </c>
      <c r="FH11" s="63"/>
      <c r="FI11" s="63"/>
      <c r="FJ11" s="63"/>
      <c r="FK11" s="63"/>
      <c r="FL11" s="63"/>
      <c r="FM11" s="63"/>
      <c r="FN11" s="63"/>
      <c r="FO11" s="63"/>
      <c r="FP11" s="63"/>
      <c r="FQ11" s="63"/>
      <c r="FR11" s="63"/>
      <c r="FS11" s="63"/>
      <c r="FT11" s="63"/>
      <c r="FU11" s="63"/>
    </row>
    <row r="12" spans="1:177">
      <c r="A12" s="83">
        <v>3</v>
      </c>
      <c r="B12" s="84" t="str">
        <f t="shared" si="27"/>
        <v>Za</v>
      </c>
      <c r="C12" s="85" t="str">
        <f t="shared" si="28"/>
        <v>Jun 15, 2024</v>
      </c>
      <c r="D12" s="86">
        <f t="shared" si="29"/>
        <v>0.75</v>
      </c>
      <c r="E12" s="87" t="str">
        <f>BD14</f>
        <v>Spanje</v>
      </c>
      <c r="F12" s="73"/>
      <c r="G12" s="74"/>
      <c r="H12" s="88" t="str">
        <f>BD16</f>
        <v>Kroatië</v>
      </c>
      <c r="I12" s="186" t="str">
        <f>INDEX(T,107,lang)</f>
        <v>Berlijn</v>
      </c>
      <c r="J12" s="186"/>
      <c r="K12" s="186"/>
      <c r="L12" s="60"/>
      <c r="M12" s="60"/>
      <c r="O12" s="94" t="str">
        <f>VLOOKUP(4,BC8:BM11,2,0)</f>
        <v>Hongarije</v>
      </c>
      <c r="P12" s="95">
        <f>Q12+R12+S12</f>
        <v>0</v>
      </c>
      <c r="Q12" s="95">
        <f>VLOOKUP(4,BC8:BM11,3,0)</f>
        <v>0</v>
      </c>
      <c r="R12" s="95">
        <f>VLOOKUP(4,BC8:BM11,4,0)</f>
        <v>0</v>
      </c>
      <c r="S12" s="95">
        <f>VLOOKUP(4,BC8:BM11,5,0)</f>
        <v>0</v>
      </c>
      <c r="T12" s="95" t="str">
        <f>VLOOKUP(4,BC8:BM11,6,0) &amp; " - " &amp; VLOOKUP(4,BC8:BM11,7,0)</f>
        <v>0 - 0</v>
      </c>
      <c r="U12" s="96">
        <f>Q12*3+R12</f>
        <v>0</v>
      </c>
      <c r="W12" s="115">
        <f>DATE(2024,6,16)+TIME(5,0,0)+gmt_delta</f>
        <v>45459.75</v>
      </c>
      <c r="X12" s="117" t="str">
        <f t="shared" si="0"/>
        <v/>
      </c>
      <c r="Y12" s="117" t="str">
        <f t="shared" si="1"/>
        <v/>
      </c>
      <c r="Z12" s="116">
        <f t="shared" si="2"/>
        <v>0</v>
      </c>
      <c r="AA12" s="115">
        <f t="shared" si="3"/>
        <v>0</v>
      </c>
      <c r="AB12" s="115">
        <f t="shared" si="4"/>
        <v>0</v>
      </c>
      <c r="AC12" s="115">
        <f t="shared" si="5"/>
        <v>3</v>
      </c>
      <c r="AD12" s="115">
        <f t="shared" si="6"/>
        <v>4</v>
      </c>
      <c r="AE12" s="115">
        <f t="shared" si="7"/>
        <v>2</v>
      </c>
      <c r="AF12" s="115" t="str">
        <f t="shared" si="8"/>
        <v>342</v>
      </c>
      <c r="AG12" s="115">
        <f t="shared" si="9"/>
        <v>0</v>
      </c>
      <c r="AH12" s="115">
        <f t="shared" si="10"/>
        <v>0</v>
      </c>
      <c r="AI12" s="115">
        <f t="shared" si="11"/>
        <v>0</v>
      </c>
      <c r="AJ12" s="115" t="str">
        <f t="shared" si="12"/>
        <v>324</v>
      </c>
      <c r="AK12" s="115">
        <f t="shared" si="13"/>
        <v>0</v>
      </c>
      <c r="AL12" s="115">
        <f t="shared" si="14"/>
        <v>0</v>
      </c>
      <c r="AM12" s="115">
        <f t="shared" si="15"/>
        <v>0</v>
      </c>
      <c r="AO12" s="115" t="str">
        <f t="shared" si="16"/>
        <v>342</v>
      </c>
      <c r="AP12" s="115">
        <f t="shared" si="17"/>
        <v>0</v>
      </c>
      <c r="AQ12" s="115">
        <f t="shared" si="18"/>
        <v>0</v>
      </c>
      <c r="AR12" s="115">
        <f t="shared" si="19"/>
        <v>0</v>
      </c>
      <c r="AS12" s="115" t="str">
        <f t="shared" si="20"/>
        <v>324</v>
      </c>
      <c r="AT12" s="115">
        <f t="shared" si="21"/>
        <v>0</v>
      </c>
      <c r="AU12" s="115">
        <f t="shared" si="22"/>
        <v>0</v>
      </c>
      <c r="AV12" s="115">
        <f t="shared" si="23"/>
        <v>0</v>
      </c>
      <c r="AX12" s="115" t="str">
        <f t="shared" si="24"/>
        <v>342</v>
      </c>
      <c r="AY12" s="115">
        <v>0</v>
      </c>
      <c r="AZ12" s="115" t="str">
        <f t="shared" si="25"/>
        <v>324</v>
      </c>
      <c r="BA12" s="115">
        <v>0</v>
      </c>
      <c r="BE12" s="115">
        <f>MAX(BE8:BE11)-MIN(BE8:BE11)+1</f>
        <v>1</v>
      </c>
      <c r="BF12" s="115">
        <f>MAX(BF8:BF11)-MIN(BF8:BF11)+1</f>
        <v>1</v>
      </c>
      <c r="BG12" s="115">
        <f>MAX(BG8:BG11)-MIN(BG8:BG11)+1</f>
        <v>1</v>
      </c>
      <c r="BH12" s="115">
        <f>MAX(BH8:BH11)-MIN(BH8:BH11)+1</f>
        <v>1</v>
      </c>
      <c r="BI12" s="115">
        <f>MAX(BI8:BI11)-MIN(BI8:BI11)+1</f>
        <v>1</v>
      </c>
      <c r="BJ12" s="115">
        <f>MAX(BJ8:BJ11)-BJ13+1</f>
        <v>1</v>
      </c>
      <c r="BK12" s="115">
        <f>MAX(BK8:BK11)-BK13+1</f>
        <v>1</v>
      </c>
      <c r="BM12" s="115">
        <f>MAX(BM8:BM11)-MIN(BM8:BM11)+1</f>
        <v>1</v>
      </c>
      <c r="BN12" s="115">
        <f>MAX(BN8:BN11)-MIN(BN8:BN11)+1</f>
        <v>1</v>
      </c>
      <c r="BT12" s="115">
        <f>MAX(BT8:BT11)-MIN(BT8:BT11)+1</f>
        <v>1</v>
      </c>
      <c r="BU12" s="115">
        <f>MAX(BU8:BU11)-MIN(BU8:BU11)+1</f>
        <v>1</v>
      </c>
      <c r="BV12" s="115">
        <f>MAX(BV8:BV11)-MIN(BV8:BV11)+1</f>
        <v>1</v>
      </c>
      <c r="BW12" s="115">
        <f>MAX(BW8:BW11)-MIN(BW8:BW11)+1</f>
        <v>1</v>
      </c>
      <c r="BX12" s="115">
        <f>MAX(BX8:BX11)-MIN(BX8:BX11)+1</f>
        <v>1</v>
      </c>
      <c r="BY12" s="116" t="str">
        <f>BD14</f>
        <v>Spanje</v>
      </c>
      <c r="BZ12" s="116">
        <v>2</v>
      </c>
      <c r="CA12" s="116">
        <v>1</v>
      </c>
      <c r="CC12" s="115">
        <f>CG8</f>
        <v>0</v>
      </c>
      <c r="CD12" s="115">
        <f>CG9</f>
        <v>0</v>
      </c>
      <c r="CE12" s="115">
        <f>CG10</f>
        <v>0</v>
      </c>
      <c r="CF12" s="115">
        <f>CG11</f>
        <v>0</v>
      </c>
      <c r="DK12" s="115">
        <f>DJ8</f>
        <v>1</v>
      </c>
      <c r="DL12" s="115">
        <f>DJ9</f>
        <v>1</v>
      </c>
      <c r="DM12" s="115">
        <f>DJ10</f>
        <v>1</v>
      </c>
      <c r="DN12" s="115">
        <f>DJ11</f>
        <v>1</v>
      </c>
      <c r="DO12" s="116">
        <f>SUM(DK12:DN12)</f>
        <v>4</v>
      </c>
      <c r="DS12" s="115">
        <f>DW8</f>
        <v>0</v>
      </c>
      <c r="DT12" s="115">
        <f>DW9</f>
        <v>0</v>
      </c>
      <c r="DU12" s="115">
        <f>DW10</f>
        <v>0</v>
      </c>
      <c r="DV12" s="115">
        <f>DW11</f>
        <v>0</v>
      </c>
      <c r="EE12" s="115">
        <f>EI8</f>
        <v>0</v>
      </c>
      <c r="EF12" s="115">
        <f>EI9</f>
        <v>0</v>
      </c>
      <c r="EG12" s="115">
        <f>EI10</f>
        <v>0</v>
      </c>
      <c r="EH12" s="115">
        <f>EI11</f>
        <v>0</v>
      </c>
      <c r="EV12" s="111"/>
      <c r="EW12" s="63"/>
      <c r="EX12" s="63"/>
      <c r="EY12" s="63"/>
      <c r="EZ12" s="63"/>
      <c r="FA12" s="97"/>
      <c r="FB12" s="63"/>
      <c r="FC12" s="191"/>
      <c r="FD12" s="79" t="str">
        <f>Y46</f>
        <v>W37</v>
      </c>
      <c r="FE12" s="80"/>
      <c r="FF12" s="81"/>
      <c r="FG12" s="82"/>
      <c r="FH12" s="63"/>
      <c r="FI12" s="63"/>
      <c r="FJ12" s="63"/>
      <c r="FK12" s="63"/>
      <c r="FL12" s="63"/>
      <c r="FM12" s="63"/>
      <c r="FN12" s="63"/>
      <c r="FO12" s="63"/>
      <c r="FP12" s="63"/>
      <c r="FQ12" s="63"/>
      <c r="FR12" s="63"/>
      <c r="FS12" s="63"/>
      <c r="FT12" s="63"/>
      <c r="FU12" s="63"/>
    </row>
    <row r="13" spans="1:177">
      <c r="A13" s="83">
        <v>4</v>
      </c>
      <c r="B13" s="84" t="str">
        <f t="shared" si="27"/>
        <v>Za</v>
      </c>
      <c r="C13" s="85" t="str">
        <f t="shared" si="28"/>
        <v>Jun 15, 2024</v>
      </c>
      <c r="D13" s="86">
        <f t="shared" si="29"/>
        <v>0.875</v>
      </c>
      <c r="E13" s="87" t="str">
        <f>BD15</f>
        <v>Italië</v>
      </c>
      <c r="F13" s="73"/>
      <c r="G13" s="74"/>
      <c r="H13" s="88" t="str">
        <f>BD17</f>
        <v>Albanië</v>
      </c>
      <c r="I13" s="186" t="str">
        <f>INDEX(T,108,lang)</f>
        <v>Dortmund</v>
      </c>
      <c r="J13" s="186"/>
      <c r="K13" s="186"/>
      <c r="L13" s="60"/>
      <c r="M13" s="60"/>
      <c r="W13" s="115">
        <f>DATE(2024,6,16)+TIME(8,0,0)+gmt_delta</f>
        <v>45459.875</v>
      </c>
      <c r="X13" s="117" t="str">
        <f t="shared" si="0"/>
        <v/>
      </c>
      <c r="Y13" s="117" t="str">
        <f t="shared" si="1"/>
        <v/>
      </c>
      <c r="Z13" s="116">
        <f t="shared" si="2"/>
        <v>0</v>
      </c>
      <c r="AA13" s="115">
        <f t="shared" si="3"/>
        <v>0</v>
      </c>
      <c r="AB13" s="115">
        <f t="shared" si="4"/>
        <v>0</v>
      </c>
      <c r="AC13" s="115">
        <f t="shared" si="5"/>
        <v>3</v>
      </c>
      <c r="AD13" s="115">
        <f t="shared" si="6"/>
        <v>3</v>
      </c>
      <c r="AE13" s="115">
        <f t="shared" si="7"/>
        <v>1</v>
      </c>
      <c r="AF13" s="115" t="str">
        <f t="shared" si="8"/>
        <v>331</v>
      </c>
      <c r="AG13" s="115">
        <f t="shared" si="9"/>
        <v>0</v>
      </c>
      <c r="AH13" s="115">
        <f t="shared" si="10"/>
        <v>0</v>
      </c>
      <c r="AI13" s="115">
        <f t="shared" si="11"/>
        <v>0</v>
      </c>
      <c r="AJ13" s="115" t="str">
        <f t="shared" si="12"/>
        <v>313</v>
      </c>
      <c r="AK13" s="115">
        <f t="shared" si="13"/>
        <v>0</v>
      </c>
      <c r="AL13" s="115">
        <f t="shared" si="14"/>
        <v>0</v>
      </c>
      <c r="AM13" s="115">
        <f t="shared" si="15"/>
        <v>0</v>
      </c>
      <c r="AO13" s="115" t="str">
        <f t="shared" si="16"/>
        <v>331</v>
      </c>
      <c r="AP13" s="115">
        <f t="shared" si="17"/>
        <v>0</v>
      </c>
      <c r="AQ13" s="115">
        <f t="shared" si="18"/>
        <v>0</v>
      </c>
      <c r="AR13" s="115">
        <f t="shared" si="19"/>
        <v>0</v>
      </c>
      <c r="AS13" s="115" t="str">
        <f t="shared" si="20"/>
        <v>313</v>
      </c>
      <c r="AT13" s="115">
        <f t="shared" si="21"/>
        <v>0</v>
      </c>
      <c r="AU13" s="115">
        <f t="shared" si="22"/>
        <v>0</v>
      </c>
      <c r="AV13" s="115">
        <f t="shared" si="23"/>
        <v>0</v>
      </c>
      <c r="AX13" s="115" t="str">
        <f t="shared" si="24"/>
        <v>331</v>
      </c>
      <c r="AY13" s="115">
        <v>0</v>
      </c>
      <c r="AZ13" s="115" t="str">
        <f t="shared" si="25"/>
        <v>313</v>
      </c>
      <c r="BA13" s="115">
        <v>0</v>
      </c>
      <c r="BJ13" s="115">
        <f>MIN(BJ8:BJ11)</f>
        <v>0</v>
      </c>
      <c r="BK13" s="115">
        <f>MIN(BK8:BK11)</f>
        <v>0</v>
      </c>
      <c r="BY13" s="116" t="str">
        <f>BD15</f>
        <v>Italië</v>
      </c>
      <c r="BZ13" s="116">
        <v>2</v>
      </c>
      <c r="CA13" s="116">
        <v>2</v>
      </c>
      <c r="EV13" s="111" t="str">
        <f>VLOOKUP(EV14,$Z$46:$AC$53,2,0)</f>
        <v>Jul 1, 2024   18:00</v>
      </c>
      <c r="EW13" s="63"/>
      <c r="EX13" s="63"/>
      <c r="EY13" s="63"/>
      <c r="EZ13" s="67" t="str">
        <f>INDEX(T,111,lang)</f>
        <v>Dusseldorf</v>
      </c>
      <c r="FA13" s="97"/>
      <c r="FB13" s="98"/>
      <c r="FC13" s="191"/>
      <c r="FD13" s="89" t="str">
        <f>Y47</f>
        <v>W39</v>
      </c>
      <c r="FE13" s="90"/>
      <c r="FF13" s="91"/>
      <c r="FG13" s="92"/>
      <c r="FH13" s="93"/>
      <c r="FI13" s="63"/>
      <c r="FJ13" s="63"/>
      <c r="FK13" s="63"/>
      <c r="FL13" s="63"/>
      <c r="FM13" s="63"/>
      <c r="FN13" s="63"/>
      <c r="FO13" s="63"/>
      <c r="FP13" s="63"/>
      <c r="FQ13" s="63"/>
      <c r="FR13" s="63"/>
      <c r="FS13" s="63"/>
      <c r="FT13" s="63"/>
      <c r="FU13" s="63"/>
    </row>
    <row r="14" spans="1:177">
      <c r="A14" s="83">
        <v>5</v>
      </c>
      <c r="B14" s="84" t="str">
        <f t="shared" si="27"/>
        <v>Zo</v>
      </c>
      <c r="C14" s="85" t="str">
        <f t="shared" si="28"/>
        <v>Jun 16, 2024</v>
      </c>
      <c r="D14" s="86">
        <f t="shared" si="29"/>
        <v>0.625</v>
      </c>
      <c r="E14" s="87" t="str">
        <f>BD29</f>
        <v>Polen</v>
      </c>
      <c r="F14" s="73"/>
      <c r="G14" s="74"/>
      <c r="H14" s="88" t="str">
        <f>BD27</f>
        <v>Nederland</v>
      </c>
      <c r="I14" s="186" t="str">
        <f>INDEX(T,109,lang)</f>
        <v>Hamburg</v>
      </c>
      <c r="J14" s="186"/>
      <c r="K14" s="186"/>
      <c r="L14" s="60"/>
      <c r="M14" s="60"/>
      <c r="O14" s="61" t="str">
        <f>INDEX(T,9,lang) &amp; " " &amp; "B"</f>
        <v>Groep B</v>
      </c>
      <c r="P14" s="62" t="str">
        <f>INDEX(T,10,lang)</f>
        <v>WG</v>
      </c>
      <c r="Q14" s="62" t="str">
        <f>INDEX(T,11,lang)</f>
        <v>W</v>
      </c>
      <c r="R14" s="62" t="str">
        <f>INDEX(T,12,lang)</f>
        <v>G</v>
      </c>
      <c r="S14" s="62" t="str">
        <f>INDEX(T,13,lang)</f>
        <v>V</v>
      </c>
      <c r="T14" s="62" t="str">
        <f>INDEX(T,14,lang)</f>
        <v>DV-DT</v>
      </c>
      <c r="U14" s="62" t="str">
        <f>INDEX(T,15,lang)</f>
        <v>PNT</v>
      </c>
      <c r="W14" s="115">
        <f>DATE(2024,6,17)+TIME(2,0,0)+gmt_delta</f>
        <v>45460.625</v>
      </c>
      <c r="X14" s="117" t="str">
        <f t="shared" si="0"/>
        <v/>
      </c>
      <c r="Y14" s="117" t="str">
        <f t="shared" si="1"/>
        <v/>
      </c>
      <c r="Z14" s="116">
        <f t="shared" si="2"/>
        <v>0</v>
      </c>
      <c r="AA14" s="115">
        <f t="shared" si="3"/>
        <v>0</v>
      </c>
      <c r="AB14" s="115">
        <f t="shared" si="4"/>
        <v>0</v>
      </c>
      <c r="AC14" s="115">
        <f t="shared" si="5"/>
        <v>5</v>
      </c>
      <c r="AD14" s="115">
        <f t="shared" si="6"/>
        <v>3</v>
      </c>
      <c r="AE14" s="115">
        <f t="shared" si="7"/>
        <v>2</v>
      </c>
      <c r="AF14" s="115" t="str">
        <f t="shared" si="8"/>
        <v>532</v>
      </c>
      <c r="AG14" s="115">
        <f t="shared" si="9"/>
        <v>0</v>
      </c>
      <c r="AH14" s="115">
        <f t="shared" si="10"/>
        <v>0</v>
      </c>
      <c r="AI14" s="115">
        <f t="shared" si="11"/>
        <v>0</v>
      </c>
      <c r="AJ14" s="115" t="str">
        <f t="shared" si="12"/>
        <v>523</v>
      </c>
      <c r="AK14" s="115">
        <f t="shared" si="13"/>
        <v>0</v>
      </c>
      <c r="AL14" s="115">
        <f t="shared" si="14"/>
        <v>0</v>
      </c>
      <c r="AM14" s="115">
        <f t="shared" si="15"/>
        <v>0</v>
      </c>
      <c r="AO14" s="115" t="str">
        <f t="shared" si="16"/>
        <v>532</v>
      </c>
      <c r="AP14" s="115">
        <f t="shared" si="17"/>
        <v>0</v>
      </c>
      <c r="AQ14" s="115">
        <f t="shared" si="18"/>
        <v>0</v>
      </c>
      <c r="AR14" s="115">
        <f t="shared" si="19"/>
        <v>0</v>
      </c>
      <c r="AS14" s="115" t="str">
        <f t="shared" si="20"/>
        <v>523</v>
      </c>
      <c r="AT14" s="115">
        <f t="shared" si="21"/>
        <v>0</v>
      </c>
      <c r="AU14" s="115">
        <f t="shared" si="22"/>
        <v>0</v>
      </c>
      <c r="AV14" s="115">
        <f t="shared" si="23"/>
        <v>0</v>
      </c>
      <c r="AX14" s="115" t="str">
        <f t="shared" si="24"/>
        <v>532</v>
      </c>
      <c r="AY14" s="115">
        <v>0</v>
      </c>
      <c r="AZ14" s="115" t="str">
        <f t="shared" si="25"/>
        <v>523</v>
      </c>
      <c r="BA14" s="115">
        <v>0</v>
      </c>
      <c r="BC14" s="115">
        <f>DQ14</f>
        <v>1</v>
      </c>
      <c r="BD14" s="116" t="str">
        <f>INDEX(T,40,lang)</f>
        <v>Spanje</v>
      </c>
      <c r="BE14" s="115">
        <f>COUNTIF($X$7:$Y$42,"=" &amp; BD14 &amp; "_win")</f>
        <v>0</v>
      </c>
      <c r="BF14" s="115">
        <f>COUNTIF($X$7:$Y$42,"=" &amp; BD14 &amp; "_draw")</f>
        <v>0</v>
      </c>
      <c r="BG14" s="115">
        <f>COUNTIF($X$7:$Y$42,"=" &amp; BD14 &amp; "_lose")</f>
        <v>0</v>
      </c>
      <c r="BH14" s="115">
        <f>SUMIF($E$10:$E$45,$BD14,$F$10:$F$45) + SUMIF($H$10:$H$45,$BD14,$G$10:$G$45)</f>
        <v>0</v>
      </c>
      <c r="BI14" s="115">
        <f>SUMIF($E$10:$E$45,$BD14,$G$10:$G$45) + SUMIF($H$10:$H$45,$BD14,$F$10:$F$45)</f>
        <v>0</v>
      </c>
      <c r="BJ14" s="115">
        <f>BM14*10000</f>
        <v>0</v>
      </c>
      <c r="BK14" s="115">
        <f>BH14-BI14</f>
        <v>0</v>
      </c>
      <c r="BL14" s="115">
        <f>(BK14-BK19)/BK18</f>
        <v>0</v>
      </c>
      <c r="BM14" s="115">
        <f>BE14*3+BF14</f>
        <v>0</v>
      </c>
      <c r="BN14" s="115">
        <f>BT14/BT18*10+BU14/BU18+BX14/BX18*0.1+BV14/BV18*0.01</f>
        <v>0</v>
      </c>
      <c r="BP14" s="115">
        <f>IF(VLOOKUP(BD14,db_fifarank,2,0)="",MIN(db_fifarank),VLOOKUP(BD14,db_fifarank,2,0))</f>
        <v>88.864000000000004</v>
      </c>
      <c r="BQ14" s="115">
        <f>0.1*((BP14-$BP$44)/$BP$46-(COUNTIF($BP$8:$BP$41,BP14)-1)/(100-ROW(BP14)))</f>
        <v>8.407168207329152E-2</v>
      </c>
      <c r="BR14" s="116">
        <f>10000000*BM14/BM18+100000*BN14/BN18+100*BL14+10*BH14/BH18+1*BN14/BN18+BQ14</f>
        <v>8.407168207329152E-2</v>
      </c>
      <c r="BS14" s="116" t="str">
        <f>IF(SUM(BE14:BG17)=12,O15,INDEX(T,72,lang))</f>
        <v>B1</v>
      </c>
      <c r="BT14" s="115">
        <f>SUMPRODUCT(($X$7:$X$42=BD14&amp;"_win")*($Z$7:$Z$42))+SUMPRODUCT(($Y$7:$Y$42=BD14&amp;"_win")*($Z$7:$Z$42))</f>
        <v>0</v>
      </c>
      <c r="BU14" s="115">
        <f>SUMPRODUCT(($X$7:$X$42=BD14&amp;"_draw")*($Z$7:$Z$42))+SUMPRODUCT(($Y$7:$Y$42=BD14&amp;"_draw")*($Z$7:$Z$42))</f>
        <v>0</v>
      </c>
      <c r="BV14" s="115">
        <f>SUMPRODUCT(($E$10:$E$45=BD14)*($Z$7:$Z$42)*($F$10:$F$45))+SUMPRODUCT(($H$10:$H$45=BD14)*($Z$7:$Z$42)*($G$10:$G$45))</f>
        <v>0</v>
      </c>
      <c r="BW14" s="115">
        <f>SUMPRODUCT(($E$10:$E$45=BD14)*($Z$7:$Z$42)*($G$10:$G$45))+SUMPRODUCT(($H$10:$H$45=BD14)*($Z$7:$Z$42)*($F$10:$F$45))</f>
        <v>0</v>
      </c>
      <c r="BX14" s="115">
        <f>BV14-BW14</f>
        <v>0</v>
      </c>
      <c r="BY14" s="116" t="str">
        <f>BD16</f>
        <v>Kroatië</v>
      </c>
      <c r="BZ14" s="116">
        <v>2</v>
      </c>
      <c r="CA14" s="116">
        <v>3</v>
      </c>
      <c r="CD14" s="115">
        <f>IFERROR(VLOOKUP("212",$AF$7:$AI$42,2,0),0) + IFERROR(VLOOKUP("212",$AJ$7:$AM$42,2,0),0)</f>
        <v>0</v>
      </c>
      <c r="CE14" s="115">
        <f>IFERROR(VLOOKUP("213",$AF$7:$AI$42,2,0),0) + IFERROR(VLOOKUP("213",$AJ$7:$AM$42,2,0),0)</f>
        <v>0</v>
      </c>
      <c r="CF14" s="115">
        <f>IFERROR(VLOOKUP("214",$AF$7:$AI$42,2,0),0) + IFERROR(VLOOKUP("214",$AJ$7:$AM$42,2,0),0)</f>
        <v>0</v>
      </c>
      <c r="CG14" s="116">
        <f>SUM(CC14:CF14)</f>
        <v>0</v>
      </c>
      <c r="CI14" s="115">
        <f>IFERROR(VLOOKUP("212",$AF$7:$AI$42,3,0),0) + IFERROR(VLOOKUP("212",$AJ$7:$AM$42,3,0),0)</f>
        <v>0</v>
      </c>
      <c r="CJ14" s="115">
        <f>IFERROR(VLOOKUP("213",$AF$7:$AI$42,3,0),0) + IFERROR(VLOOKUP("213",$AJ$7:$AM$42,3,0),0)</f>
        <v>0</v>
      </c>
      <c r="CK14" s="115">
        <f>IFERROR(VLOOKUP("214",$AF$7:$AI$42,3,0),0) + IFERROR(VLOOKUP("214",$AJ$7:$AM$42,3,0),0)</f>
        <v>0</v>
      </c>
      <c r="CL14" s="116">
        <f>SUM(CH14:CK14)</f>
        <v>0</v>
      </c>
      <c r="CM14" s="116">
        <f>RANK(CL14,CL14:CL17)</f>
        <v>1</v>
      </c>
      <c r="CO14" s="115">
        <f>IFERROR(VLOOKUP("212",$AF$7:$AI$42,4,0),0) + IFERROR(VLOOKUP("212",$AJ$7:$AM$42,4,0),0)</f>
        <v>0</v>
      </c>
      <c r="CP14" s="115">
        <f>IFERROR(VLOOKUP("213",$AF$7:$AI$42,4,0),0) + IFERROR(VLOOKUP("213",$AJ$7:$AM$42,4,0),0)</f>
        <v>0</v>
      </c>
      <c r="CQ14" s="115">
        <f>IFERROR(VLOOKUP("214",$AF$7:$AI$42,4,0),0) + IFERROR(VLOOKUP("214",$AJ$7:$AM$42,4,0),0)</f>
        <v>0</v>
      </c>
      <c r="CR14" s="116">
        <f>SUM(CN14:CQ14)</f>
        <v>0</v>
      </c>
      <c r="CT14" s="115">
        <f>IF(CD18=CG14,CD14,0)</f>
        <v>0</v>
      </c>
      <c r="CU14" s="115">
        <f>IF(CE18=CG14,CE14,0)</f>
        <v>0</v>
      </c>
      <c r="CV14" s="115">
        <f>IF(CF18=CG14,CF14,0)</f>
        <v>0</v>
      </c>
      <c r="CW14" s="116">
        <f>SUM(CS14:CV14)</f>
        <v>0</v>
      </c>
      <c r="CY14" s="115">
        <f>IF(CD18=CG14,CI14,0)</f>
        <v>0</v>
      </c>
      <c r="CZ14" s="115">
        <f>IF(CE18=CG14,CJ14,0)</f>
        <v>0</v>
      </c>
      <c r="DA14" s="115">
        <f>IF(CF18=CG14,CK14,0)</f>
        <v>0</v>
      </c>
      <c r="DB14" s="116">
        <f>SUM(CX14:DA14)</f>
        <v>0</v>
      </c>
      <c r="DC14" s="116">
        <f>RANK(DB14,DB14:DB17)</f>
        <v>1</v>
      </c>
      <c r="DE14" s="115">
        <f>IF(CD18=CG14,CO14,0)</f>
        <v>0</v>
      </c>
      <c r="DF14" s="115">
        <f>IF(CE18=CG14,CP14,0)</f>
        <v>0</v>
      </c>
      <c r="DG14" s="115">
        <f>IF(CF18=CG14,CQ14,0)</f>
        <v>0</v>
      </c>
      <c r="DH14" s="116">
        <f>SUM(DD14:DG14)</f>
        <v>0</v>
      </c>
      <c r="DI14" s="116">
        <f>CG14*10000+CW14*100+(5-DC14)+DH14/10</f>
        <v>4</v>
      </c>
      <c r="DJ14" s="116">
        <f>RANK(DI14,DI14:DI17)</f>
        <v>1</v>
      </c>
      <c r="DL14" s="115">
        <f>IF(DL18=DJ14,CD14,0)</f>
        <v>0</v>
      </c>
      <c r="DM14" s="115">
        <f>IF(DM18=DJ14,CE14,0)</f>
        <v>0</v>
      </c>
      <c r="DN14" s="115">
        <f>IF(DN18=DJ14,CF14,0)</f>
        <v>0</v>
      </c>
      <c r="DO14" s="116">
        <f>SUM(DK14:DN14)</f>
        <v>0</v>
      </c>
      <c r="DP14" s="116">
        <f>(5-DJ14)*10000+DO14*100+(5-CM14)+CR14/10+(5-DX14)/100+BQ14/10000</f>
        <v>40004.040008407166</v>
      </c>
      <c r="DQ14" s="116">
        <f>RANK(DP14,DP14:DP17)</f>
        <v>1</v>
      </c>
      <c r="DT14" s="115">
        <f>IFERROR(VLOOKUP("212",$AX$7:$AY$42,2,0),0) + IFERROR(VLOOKUP("212",$AZ$7:$BA$42,2,0),0)</f>
        <v>0</v>
      </c>
      <c r="DU14" s="115">
        <f>IFERROR(VLOOKUP("213",$AX$7:$AY$42,2,0),0) + IFERROR(VLOOKUP("213",$AZ$7:$BA$42,2,0),0)</f>
        <v>0</v>
      </c>
      <c r="DV14" s="115">
        <f>IFERROR(VLOOKUP("214",$AX$7:$AY$42,2,0),0) + IFERROR(VLOOKUP("214",$AZ$7:$BA$42,2,0),0)</f>
        <v>0</v>
      </c>
      <c r="DW14" s="116">
        <f>SUM(DS14:DV14)</f>
        <v>0</v>
      </c>
      <c r="DX14" s="116">
        <f>RANK(DW14,DW14:DW17)</f>
        <v>1</v>
      </c>
      <c r="DZ14" s="116" t="str">
        <f>BD14</f>
        <v>Spanje</v>
      </c>
      <c r="EA14" s="116">
        <f>EI14*10000+EO14*100+ET14</f>
        <v>100</v>
      </c>
      <c r="EB14" s="115">
        <f>COUNTIF(EA14:EA17,EA14)</f>
        <v>4</v>
      </c>
      <c r="EC14" s="115">
        <f>COUNTIF(CG14:CG17,CG14)</f>
        <v>4</v>
      </c>
      <c r="ED14" s="116">
        <f>IF(AND(EB14&gt;=2,EC14=2),EA14,-EA14-0.4)</f>
        <v>-100.4</v>
      </c>
      <c r="EF14" s="115">
        <f>IFERROR(VLOOKUP("212",$AO$7:$AR$42,2,0),0) + IFERROR(VLOOKUP("212",$AS$7:$AV$42,2,0),0)</f>
        <v>0</v>
      </c>
      <c r="EG14" s="115">
        <f>IFERROR(VLOOKUP("213",$AO$7:$AR$42,2,0),0) + IFERROR(VLOOKUP("213",$AS$7:$AV$42,2,0),0)</f>
        <v>0</v>
      </c>
      <c r="EH14" s="115">
        <f>IFERROR(VLOOKUP("214",$AO$7:$AR$42,2,0),0) + IFERROR(VLOOKUP("214",$AS$7:$AV$42,2,0),0)</f>
        <v>0</v>
      </c>
      <c r="EI14" s="116">
        <f>SUM(EE14:EH14)</f>
        <v>0</v>
      </c>
      <c r="EK14" s="115">
        <f>IFERROR(VLOOKUP("212",$AO$7:$AR$42,3,0),0) + IFERROR(VLOOKUP("212",$AS$7:$AV$42,3,0),0)</f>
        <v>0</v>
      </c>
      <c r="EL14" s="115">
        <f>IFERROR(VLOOKUP("213",$AO$7:$AR$42,3,0),0) + IFERROR(VLOOKUP("213",$AS$7:$AV$42,3,0),0)</f>
        <v>0</v>
      </c>
      <c r="EM14" s="115">
        <f>IFERROR(VLOOKUP("214",$AO$7:$AR$42,3,0),0) + IFERROR(VLOOKUP("214",$AS$7:$AV$42,3,0),0)</f>
        <v>0</v>
      </c>
      <c r="EN14" s="116">
        <f>SUM(EJ14:EM14)</f>
        <v>0</v>
      </c>
      <c r="EO14" s="116">
        <f>RANK(EN14,EN14:EN17)</f>
        <v>1</v>
      </c>
      <c r="EQ14" s="115">
        <f>IFERROR(VLOOKUP("212",$AO$7:$AR$42,4,0),0) + IFERROR(VLOOKUP("212",$AS$7:$AV$42,4,0),0)</f>
        <v>0</v>
      </c>
      <c r="ER14" s="115">
        <f>IFERROR(VLOOKUP("213",$AO$7:$AR$42,4,0),0) + IFERROR(VLOOKUP("213",$AS$7:$AV$42,4,0),0)</f>
        <v>0</v>
      </c>
      <c r="ES14" s="115">
        <f>IFERROR(VLOOKUP("214",$AO$7:$AR$42,4,0),0) + IFERROR(VLOOKUP("214",$AS$7:$AV$42,4,0),0)</f>
        <v>0</v>
      </c>
      <c r="ET14" s="116">
        <f>SUM(EP14:ES14)</f>
        <v>0</v>
      </c>
      <c r="EV14" s="192">
        <v>5</v>
      </c>
      <c r="EW14" s="79" t="str">
        <f>VLOOKUP(EV14,$Z$46:$AC$53,3,0)</f>
        <v>D2</v>
      </c>
      <c r="EX14" s="80"/>
      <c r="EY14" s="81"/>
      <c r="EZ14" s="82"/>
      <c r="FA14" s="99"/>
      <c r="FB14" s="63"/>
      <c r="FC14" s="63"/>
      <c r="FD14" s="63"/>
      <c r="FE14" s="63"/>
      <c r="FF14" s="63"/>
      <c r="FG14" s="63"/>
      <c r="FH14" s="97"/>
      <c r="FI14" s="63"/>
      <c r="FJ14" s="63"/>
      <c r="FK14" s="63"/>
      <c r="FL14" s="63"/>
      <c r="FM14" s="63"/>
      <c r="FN14" s="100"/>
      <c r="FO14" s="63"/>
      <c r="FP14" s="63"/>
      <c r="FQ14" s="63"/>
      <c r="FR14" s="63"/>
      <c r="FS14" s="63"/>
      <c r="FT14" s="63"/>
      <c r="FU14" s="63"/>
    </row>
    <row r="15" spans="1:177">
      <c r="A15" s="83">
        <v>6</v>
      </c>
      <c r="B15" s="84" t="str">
        <f t="shared" si="27"/>
        <v>Zo</v>
      </c>
      <c r="C15" s="85" t="str">
        <f t="shared" si="28"/>
        <v>Jun 16, 2024</v>
      </c>
      <c r="D15" s="86">
        <f t="shared" si="29"/>
        <v>0.75</v>
      </c>
      <c r="E15" s="87" t="str">
        <f>BD23</f>
        <v>Slovenië</v>
      </c>
      <c r="F15" s="73"/>
      <c r="G15" s="74"/>
      <c r="H15" s="88" t="str">
        <f>BD21</f>
        <v>Denemarken</v>
      </c>
      <c r="I15" s="186" t="str">
        <f>INDEX(T,105,lang)</f>
        <v>Stuttgart</v>
      </c>
      <c r="J15" s="186"/>
      <c r="K15" s="186"/>
      <c r="L15" s="101"/>
      <c r="M15" s="101"/>
      <c r="O15" s="64" t="str">
        <f>VLOOKUP(1,BC14:BM17,2,0)</f>
        <v>Spanje</v>
      </c>
      <c r="P15" s="65">
        <f>Q15+R15+S15</f>
        <v>0</v>
      </c>
      <c r="Q15" s="65">
        <f>VLOOKUP(1,BC14:BM17,3,0)</f>
        <v>0</v>
      </c>
      <c r="R15" s="65">
        <f>VLOOKUP(1,BC14:BM17,4,0)</f>
        <v>0</v>
      </c>
      <c r="S15" s="65">
        <f>VLOOKUP(1,BC14:BM17,5,0)</f>
        <v>0</v>
      </c>
      <c r="T15" s="65" t="str">
        <f>VLOOKUP(1,BC14:BM17,6,0) &amp; " - " &amp; VLOOKUP(1,BC14:BM17,7,0)</f>
        <v>0 - 0</v>
      </c>
      <c r="U15" s="66">
        <f>Q15*3+R15</f>
        <v>0</v>
      </c>
      <c r="W15" s="115">
        <f>DATE(2024,6,17)+TIME(5,0,0)+gmt_delta</f>
        <v>45460.75</v>
      </c>
      <c r="X15" s="117" t="str">
        <f t="shared" si="0"/>
        <v/>
      </c>
      <c r="Y15" s="117" t="str">
        <f t="shared" si="1"/>
        <v/>
      </c>
      <c r="Z15" s="116">
        <f t="shared" si="2"/>
        <v>0</v>
      </c>
      <c r="AA15" s="115">
        <f t="shared" si="3"/>
        <v>0</v>
      </c>
      <c r="AB15" s="115">
        <f t="shared" si="4"/>
        <v>0</v>
      </c>
      <c r="AC15" s="115">
        <f t="shared" si="5"/>
        <v>5</v>
      </c>
      <c r="AD15" s="115">
        <f t="shared" si="6"/>
        <v>1</v>
      </c>
      <c r="AE15" s="115">
        <f t="shared" si="7"/>
        <v>4</v>
      </c>
      <c r="AF15" s="115" t="str">
        <f t="shared" si="8"/>
        <v>514</v>
      </c>
      <c r="AG15" s="115">
        <f t="shared" si="9"/>
        <v>0</v>
      </c>
      <c r="AH15" s="115">
        <f t="shared" si="10"/>
        <v>0</v>
      </c>
      <c r="AI15" s="115">
        <f t="shared" si="11"/>
        <v>0</v>
      </c>
      <c r="AJ15" s="115" t="str">
        <f t="shared" si="12"/>
        <v>541</v>
      </c>
      <c r="AK15" s="115">
        <f t="shared" si="13"/>
        <v>0</v>
      </c>
      <c r="AL15" s="115">
        <f t="shared" si="14"/>
        <v>0</v>
      </c>
      <c r="AM15" s="115">
        <f t="shared" si="15"/>
        <v>0</v>
      </c>
      <c r="AO15" s="115" t="str">
        <f t="shared" si="16"/>
        <v>514</v>
      </c>
      <c r="AP15" s="115">
        <f t="shared" si="17"/>
        <v>0</v>
      </c>
      <c r="AQ15" s="115">
        <f t="shared" si="18"/>
        <v>0</v>
      </c>
      <c r="AR15" s="115">
        <f t="shared" si="19"/>
        <v>0</v>
      </c>
      <c r="AS15" s="115" t="str">
        <f t="shared" si="20"/>
        <v>541</v>
      </c>
      <c r="AT15" s="115">
        <f t="shared" si="21"/>
        <v>0</v>
      </c>
      <c r="AU15" s="115">
        <f t="shared" si="22"/>
        <v>0</v>
      </c>
      <c r="AV15" s="115">
        <f t="shared" si="23"/>
        <v>0</v>
      </c>
      <c r="AX15" s="115" t="str">
        <f t="shared" si="24"/>
        <v>514</v>
      </c>
      <c r="AY15" s="115">
        <v>0</v>
      </c>
      <c r="AZ15" s="115" t="str">
        <f t="shared" si="25"/>
        <v>541</v>
      </c>
      <c r="BA15" s="115">
        <v>0</v>
      </c>
      <c r="BC15" s="115">
        <f>DQ15</f>
        <v>2</v>
      </c>
      <c r="BD15" s="116" t="str">
        <f>INDEX(T,41,lang)</f>
        <v>Italië</v>
      </c>
      <c r="BE15" s="115">
        <f>COUNTIF($X$7:$Y$42,"=" &amp; BD15 &amp; "_win")</f>
        <v>0</v>
      </c>
      <c r="BF15" s="115">
        <f>COUNTIF($X$7:$Y$42,"=" &amp; BD15 &amp; "_draw")</f>
        <v>0</v>
      </c>
      <c r="BG15" s="115">
        <f>COUNTIF($X$7:$Y$42,"=" &amp; BD15 &amp; "_lose")</f>
        <v>0</v>
      </c>
      <c r="BH15" s="115">
        <f>SUMIF($E$10:$E$45,$BD15,$F$10:$F$45) + SUMIF($H$10:$H$45,$BD15,$G$10:$G$45)</f>
        <v>0</v>
      </c>
      <c r="BI15" s="115">
        <f>SUMIF($E$10:$E$45,$BD15,$G$10:$G$45) + SUMIF($H$10:$H$45,$BD15,$F$10:$F$45)</f>
        <v>0</v>
      </c>
      <c r="BJ15" s="115">
        <f>BM15*10000</f>
        <v>0</v>
      </c>
      <c r="BK15" s="115">
        <f>BH15-BI15</f>
        <v>0</v>
      </c>
      <c r="BL15" s="115">
        <f>(BK15-BK19)/BK18</f>
        <v>0</v>
      </c>
      <c r="BM15" s="115">
        <f>BE15*3+BF15</f>
        <v>0</v>
      </c>
      <c r="BN15" s="115">
        <f>BT15/BT18*10+BU15/BU18+BX15/BX18*0.1+BV15/BV18*0.01</f>
        <v>0</v>
      </c>
      <c r="BP15" s="115">
        <f>IF(VLOOKUP(BD15,db_fifarank,2,0)="",MIN(db_fifarank),VLOOKUP(BD15,db_fifarank,2,0))</f>
        <v>88.712000000000003</v>
      </c>
      <c r="BQ15" s="115">
        <f t="shared" ref="BQ15:BQ17" si="30">0.1*((BP15-$BP$44)/$BP$46-(COUNTIF($BP$8:$BP$41,BP15)-1)/(100-ROW(BP15)))</f>
        <v>8.3914864641795983E-2</v>
      </c>
      <c r="BR15" s="116">
        <f>10000000*BM15/BM18+100000*BN15/BN18+100*BL15+10*BH15/BH18+1*BN15/BN18+BQ15</f>
        <v>8.3914864641795983E-2</v>
      </c>
      <c r="BS15" s="116" t="str">
        <f>IF(SUM(BE14:BG17)=12,O16,INDEX(T,73,lang))</f>
        <v>B2</v>
      </c>
      <c r="BT15" s="115">
        <f>SUMPRODUCT(($X$7:$X$42=BD15&amp;"_win")*($Z$7:$Z$42))+SUMPRODUCT(($Y$7:$Y$42=BD15&amp;"_win")*($Z$7:$Z$42))</f>
        <v>0</v>
      </c>
      <c r="BU15" s="115">
        <f>SUMPRODUCT(($X$7:$X$42=BD15&amp;"_draw")*($Z$7:$Z$42))+SUMPRODUCT(($Y$7:$Y$42=BD15&amp;"_draw")*($Z$7:$Z$42))</f>
        <v>0</v>
      </c>
      <c r="BV15" s="115">
        <f>SUMPRODUCT(($E$10:$E$45=BD15)*($Z$7:$Z$42)*($F$10:$F$45))+SUMPRODUCT(($H$10:$H$45=BD15)*($Z$7:$Z$42)*($G$10:$G$45))</f>
        <v>0</v>
      </c>
      <c r="BW15" s="115">
        <f>SUMPRODUCT(($E$10:$E$45=BD15)*($Z$7:$Z$42)*($G$10:$G$45))+SUMPRODUCT(($H$10:$H$45=BD15)*($Z$7:$Z$42)*($F$10:$F$45))</f>
        <v>0</v>
      </c>
      <c r="BX15" s="115">
        <f>BV15-BW15</f>
        <v>0</v>
      </c>
      <c r="BY15" s="116" t="str">
        <f>BD17</f>
        <v>Albanië</v>
      </c>
      <c r="BZ15" s="116">
        <v>2</v>
      </c>
      <c r="CA15" s="116">
        <v>4</v>
      </c>
      <c r="CC15" s="115">
        <f>IFERROR(VLOOKUP("221",$AF$7:$AI$42,2,0),0) + IFERROR(VLOOKUP("221",$AJ$7:$AM$42,2,0),0)</f>
        <v>0</v>
      </c>
      <c r="CE15" s="115">
        <f>IFERROR(VLOOKUP("223",$AF$7:$AI$42,2,0),0) + IFERROR(VLOOKUP("223",$AJ$7:$AM$42,2,0),0)</f>
        <v>0</v>
      </c>
      <c r="CF15" s="115">
        <f>IFERROR(VLOOKUP("224",$AF$7:$AI$42,2,0),0) + IFERROR(VLOOKUP("224",$AJ$7:$AM$42,2,0),0)</f>
        <v>0</v>
      </c>
      <c r="CG15" s="116">
        <f>SUM(CC15:CF15)</f>
        <v>0</v>
      </c>
      <c r="CH15" s="115">
        <f>IFERROR(VLOOKUP("221",$AF$7:$AI$42,3,0),0) + IFERROR(VLOOKUP("221",$AJ$7:$AM$42,3,0),0)</f>
        <v>0</v>
      </c>
      <c r="CJ15" s="115">
        <f>IFERROR(VLOOKUP("223",$AF$7:$AI$42,3,0),0) + IFERROR(VLOOKUP("223",$AJ$7:$AM$42,3,0),0)</f>
        <v>0</v>
      </c>
      <c r="CK15" s="115">
        <f>IFERROR(VLOOKUP("224",$AF$7:$AI$42,3,0),0) + IFERROR(VLOOKUP("224",$AJ$7:$AM$42,3,0),0)</f>
        <v>0</v>
      </c>
      <c r="CL15" s="116">
        <f>SUM(CH15:CK15)</f>
        <v>0</v>
      </c>
      <c r="CM15" s="116">
        <f>RANK(CL15,CL14:CL17)</f>
        <v>1</v>
      </c>
      <c r="CN15" s="115">
        <f>IFERROR(VLOOKUP("221",$AF$7:$AI$42,4,0),0) + IFERROR(VLOOKUP("221",$AJ$7:$AM$42,4,0),0)</f>
        <v>0</v>
      </c>
      <c r="CP15" s="115">
        <f>IFERROR(VLOOKUP("223",$AF$7:$AI$42,4,0),0) + IFERROR(VLOOKUP("223",$AJ$7:$AM$42,4,0),0)</f>
        <v>0</v>
      </c>
      <c r="CQ15" s="115">
        <f>IFERROR(VLOOKUP("224",$AF$7:$AI$42,4,0),0) + IFERROR(VLOOKUP("224",$AJ$7:$AM$42,4,0),0)</f>
        <v>0</v>
      </c>
      <c r="CR15" s="116">
        <f>SUM(CN15:CQ15)</f>
        <v>0</v>
      </c>
      <c r="CS15" s="115">
        <f>IF(CC18=CG15,CC15,0)</f>
        <v>0</v>
      </c>
      <c r="CU15" s="115">
        <f>IF(CE18=CG15,CE15,0)</f>
        <v>0</v>
      </c>
      <c r="CV15" s="115">
        <f>IF(CF18=CG15,CF15,0)</f>
        <v>0</v>
      </c>
      <c r="CW15" s="116">
        <f>SUM(CS15:CV15)</f>
        <v>0</v>
      </c>
      <c r="CX15" s="115">
        <f>IF(CC18=CG15,CH15,0)</f>
        <v>0</v>
      </c>
      <c r="CZ15" s="115">
        <f>IF(CE18=CG15,CJ15,0)</f>
        <v>0</v>
      </c>
      <c r="DA15" s="115">
        <f>IF(CF18=CG15,CK15,0)</f>
        <v>0</v>
      </c>
      <c r="DB15" s="116">
        <f>SUM(CX15:DA15)</f>
        <v>0</v>
      </c>
      <c r="DC15" s="116">
        <f>RANK(DB15,DB14:DB17)</f>
        <v>1</v>
      </c>
      <c r="DD15" s="115">
        <f>IF(CC18=CG15,CN15,0)</f>
        <v>0</v>
      </c>
      <c r="DF15" s="115">
        <f>IF(CE18=CG15,CP15,0)</f>
        <v>0</v>
      </c>
      <c r="DG15" s="115">
        <f>IF(CF18=CG15,CQ15,0)</f>
        <v>0</v>
      </c>
      <c r="DH15" s="116">
        <f>SUM(DD15:DG15)</f>
        <v>0</v>
      </c>
      <c r="DI15" s="116">
        <f>CG15*10000+CW15*100+(5-DC15)+DH15/10</f>
        <v>4</v>
      </c>
      <c r="DJ15" s="116">
        <f>RANK(DI15,DI14:DI17)</f>
        <v>1</v>
      </c>
      <c r="DK15" s="115">
        <f>IF(DK18=DJ15,CC15,0)</f>
        <v>0</v>
      </c>
      <c r="DM15" s="115">
        <f>IF(DM18=DJ15,CE15,0)</f>
        <v>0</v>
      </c>
      <c r="DN15" s="115">
        <f>IF(DN18=DJ15,CF15,0)</f>
        <v>0</v>
      </c>
      <c r="DO15" s="116">
        <f>SUM(DK15:DN15)</f>
        <v>0</v>
      </c>
      <c r="DP15" s="116">
        <f>(5-DJ15)*10000+DO15*100+(5-CM15)+CR15/10+(5-DX15)/100+BQ15/10000</f>
        <v>40004.040008391486</v>
      </c>
      <c r="DQ15" s="116">
        <f>RANK(DP15,DP14:DP17)</f>
        <v>2</v>
      </c>
      <c r="DS15" s="115">
        <f>IFERROR(VLOOKUP("221",$AX$7:$AY$42,2,0),0) + IFERROR(VLOOKUP("221",$AZ$7:$BA$42,2,0),0)</f>
        <v>0</v>
      </c>
      <c r="DU15" s="115">
        <f>IFERROR(VLOOKUP("223",$AX$7:$AY$42,2,0),0) + IFERROR(VLOOKUP("223",$AZ$7:$BA$42,2,0),0)</f>
        <v>0</v>
      </c>
      <c r="DV15" s="115">
        <f>IFERROR(VLOOKUP("224",$AX$7:$AY$42,2,0),0) + IFERROR(VLOOKUP("224",$AZ$7:$BA$42,2,0),0)</f>
        <v>0</v>
      </c>
      <c r="DW15" s="116">
        <f>SUM(DS15:DV15)</f>
        <v>0</v>
      </c>
      <c r="DX15" s="116">
        <f>RANK(DW15,DW14:DW17)</f>
        <v>1</v>
      </c>
      <c r="DZ15" s="116" t="str">
        <f>BD15</f>
        <v>Italië</v>
      </c>
      <c r="EA15" s="116">
        <f>EI15*10000+EO15*100+ET15</f>
        <v>100</v>
      </c>
      <c r="EB15" s="115">
        <f>COUNTIF(EA14:EA17,EA15)</f>
        <v>4</v>
      </c>
      <c r="EC15" s="115">
        <f>COUNTIF(CG14:CG17,CG15)</f>
        <v>4</v>
      </c>
      <c r="ED15" s="116">
        <f>IF(AND(EB15&gt;=2,EC15=2),EA15,-EA15-0.3)</f>
        <v>-100.3</v>
      </c>
      <c r="EE15" s="115">
        <f>IFERROR(VLOOKUP("221",$AO$7:$AR$42,2,0),0) + IFERROR(VLOOKUP("221",$AS$7:$AV$42,2,0),0)</f>
        <v>0</v>
      </c>
      <c r="EG15" s="115">
        <f>IFERROR(VLOOKUP("223",$AO$7:$AR$42,2,0),0) + IFERROR(VLOOKUP("223",$AS$7:$AV$42,2,0),0)</f>
        <v>0</v>
      </c>
      <c r="EH15" s="115">
        <f>IFERROR(VLOOKUP("224",$AO$7:$AR$42,2,0),0) + IFERROR(VLOOKUP("224",$AS$7:$AV$42,2,0),0)</f>
        <v>0</v>
      </c>
      <c r="EI15" s="116">
        <f>SUM(EE15:EH15)</f>
        <v>0</v>
      </c>
      <c r="EJ15" s="115">
        <f>IFERROR(VLOOKUP("221",$AO$7:$AR$42,3,0),0) + IFERROR(VLOOKUP("221",$AS$7:$AV$42,3,0),0)</f>
        <v>0</v>
      </c>
      <c r="EL15" s="115">
        <f>IFERROR(VLOOKUP("223",$AO$7:$AR$42,3,0),0) + IFERROR(VLOOKUP("223",$AS$7:$AV$42,3,0),0)</f>
        <v>0</v>
      </c>
      <c r="EM15" s="115">
        <f>IFERROR(VLOOKUP("224",$AO$7:$AR$42,3,0),0) + IFERROR(VLOOKUP("224",$AS$7:$AV$42,3,0),0)</f>
        <v>0</v>
      </c>
      <c r="EN15" s="116">
        <f>SUM(EJ15:EM15)</f>
        <v>0</v>
      </c>
      <c r="EO15" s="116">
        <f>RANK(EN15,EN14:EN17)</f>
        <v>1</v>
      </c>
      <c r="EP15" s="115">
        <f>IFERROR(VLOOKUP("221",$AO$7:$AR$42,4,0),0) + IFERROR(VLOOKUP("221",$AS$7:$AV$42,4,0),0)</f>
        <v>0</v>
      </c>
      <c r="ER15" s="115">
        <f>IFERROR(VLOOKUP("223",$AO$7:$AR$42,4,0),0) + IFERROR(VLOOKUP("223",$AS$7:$AV$42,4,0),0)</f>
        <v>0</v>
      </c>
      <c r="ES15" s="115">
        <f>IFERROR(VLOOKUP("224",$AO$7:$AR$42,4,0),0) + IFERROR(VLOOKUP("224",$AS$7:$AV$42,4,0),0)</f>
        <v>0</v>
      </c>
      <c r="ET15" s="116">
        <f>SUM(EP15:ES15)</f>
        <v>0</v>
      </c>
      <c r="EV15" s="192"/>
      <c r="EW15" s="89" t="str">
        <f>VLOOKUP(EV14,$Z$46:$AC$53,4,0)</f>
        <v>E2</v>
      </c>
      <c r="EX15" s="90"/>
      <c r="EY15" s="91"/>
      <c r="EZ15" s="92"/>
      <c r="FA15" s="63"/>
      <c r="FB15" s="63"/>
      <c r="FC15" s="63"/>
      <c r="FD15" s="63"/>
      <c r="FE15" s="63"/>
      <c r="FF15" s="63"/>
      <c r="FG15" s="63"/>
      <c r="FH15" s="97"/>
      <c r="FI15" s="63"/>
      <c r="FJ15" s="63" t="str">
        <f>INDEX(T,24+MONTH(W64),lang) &amp; " " &amp; DAY(W64) &amp; ", " &amp; YEAR(W64) &amp; "   " &amp; TEXT(HOUR(W64),"00") &amp; ":" &amp; TEXT(MINUTE(W64),"00")</f>
        <v>Jul 9, 2024   21:00</v>
      </c>
      <c r="FK15" s="63"/>
      <c r="FL15" s="63"/>
      <c r="FM15" s="63"/>
      <c r="FN15" s="67" t="str">
        <f>INDEX(T,103,lang)</f>
        <v>München</v>
      </c>
      <c r="FO15" s="63"/>
      <c r="FP15" s="63"/>
      <c r="FQ15" s="63"/>
      <c r="FR15" s="63"/>
      <c r="FS15" s="63"/>
      <c r="FT15" s="63"/>
      <c r="FU15" s="63"/>
    </row>
    <row r="16" spans="1:177">
      <c r="A16" s="83">
        <v>7</v>
      </c>
      <c r="B16" s="84" t="str">
        <f t="shared" si="27"/>
        <v>Zo</v>
      </c>
      <c r="C16" s="85" t="str">
        <f t="shared" si="28"/>
        <v>Jun 16, 2024</v>
      </c>
      <c r="D16" s="86">
        <f t="shared" si="29"/>
        <v>0.875</v>
      </c>
      <c r="E16" s="87" t="str">
        <f>BD22</f>
        <v>Servië</v>
      </c>
      <c r="F16" s="73"/>
      <c r="G16" s="74"/>
      <c r="H16" s="88" t="str">
        <f>BD20</f>
        <v>Engeland</v>
      </c>
      <c r="I16" s="186" t="str">
        <f>INDEX(T,110,lang)</f>
        <v>Gelsenkirchen</v>
      </c>
      <c r="J16" s="186"/>
      <c r="K16" s="186"/>
      <c r="L16" s="101"/>
      <c r="M16" s="101"/>
      <c r="O16" s="76" t="str">
        <f>VLOOKUP(2,BC14:BM17,2,0)</f>
        <v>Italië</v>
      </c>
      <c r="P16" s="77">
        <f>Q16+R16+S16</f>
        <v>0</v>
      </c>
      <c r="Q16" s="77">
        <f>VLOOKUP(2,BC14:BM17,3,0)</f>
        <v>0</v>
      </c>
      <c r="R16" s="77">
        <f>VLOOKUP(2,BC14:BM17,4,0)</f>
        <v>0</v>
      </c>
      <c r="S16" s="77">
        <f>VLOOKUP(2,BC14:BM17,5,0)</f>
        <v>0</v>
      </c>
      <c r="T16" s="77" t="str">
        <f>VLOOKUP(2,BC14:BM17,6,0) &amp; " - " &amp; VLOOKUP(2,BC14:BM17,7,0)</f>
        <v>0 - 0</v>
      </c>
      <c r="U16" s="78">
        <f>Q16*3+R16</f>
        <v>0</v>
      </c>
      <c r="W16" s="115">
        <f>DATE(2024,6,17)+TIME(8,0,0)+gmt_delta</f>
        <v>45460.875</v>
      </c>
      <c r="X16" s="117" t="str">
        <f t="shared" si="0"/>
        <v/>
      </c>
      <c r="Y16" s="117" t="str">
        <f t="shared" si="1"/>
        <v/>
      </c>
      <c r="Z16" s="116">
        <f t="shared" si="2"/>
        <v>0</v>
      </c>
      <c r="AA16" s="115">
        <f t="shared" si="3"/>
        <v>0</v>
      </c>
      <c r="AB16" s="115">
        <f t="shared" si="4"/>
        <v>0</v>
      </c>
      <c r="AC16" s="115">
        <f t="shared" si="5"/>
        <v>4</v>
      </c>
      <c r="AD16" s="115">
        <f t="shared" si="6"/>
        <v>3</v>
      </c>
      <c r="AE16" s="115">
        <f t="shared" si="7"/>
        <v>1</v>
      </c>
      <c r="AF16" s="115" t="str">
        <f t="shared" si="8"/>
        <v>431</v>
      </c>
      <c r="AG16" s="115">
        <f t="shared" si="9"/>
        <v>0</v>
      </c>
      <c r="AH16" s="115">
        <f t="shared" si="10"/>
        <v>0</v>
      </c>
      <c r="AI16" s="115">
        <f t="shared" si="11"/>
        <v>0</v>
      </c>
      <c r="AJ16" s="115" t="str">
        <f t="shared" si="12"/>
        <v>413</v>
      </c>
      <c r="AK16" s="115">
        <f t="shared" si="13"/>
        <v>0</v>
      </c>
      <c r="AL16" s="115">
        <f t="shared" si="14"/>
        <v>0</v>
      </c>
      <c r="AM16" s="115">
        <f t="shared" si="15"/>
        <v>0</v>
      </c>
      <c r="AO16" s="115" t="str">
        <f t="shared" si="16"/>
        <v>431</v>
      </c>
      <c r="AP16" s="115">
        <f t="shared" si="17"/>
        <v>0</v>
      </c>
      <c r="AQ16" s="115">
        <f t="shared" si="18"/>
        <v>0</v>
      </c>
      <c r="AR16" s="115">
        <f t="shared" si="19"/>
        <v>0</v>
      </c>
      <c r="AS16" s="115" t="str">
        <f t="shared" si="20"/>
        <v>413</v>
      </c>
      <c r="AT16" s="115">
        <f t="shared" si="21"/>
        <v>0</v>
      </c>
      <c r="AU16" s="115">
        <f t="shared" si="22"/>
        <v>0</v>
      </c>
      <c r="AV16" s="115">
        <f t="shared" si="23"/>
        <v>0</v>
      </c>
      <c r="AX16" s="115" t="str">
        <f t="shared" si="24"/>
        <v>431</v>
      </c>
      <c r="AY16" s="115">
        <v>0</v>
      </c>
      <c r="AZ16" s="115" t="str">
        <f t="shared" si="25"/>
        <v>413</v>
      </c>
      <c r="BA16" s="115">
        <v>0</v>
      </c>
      <c r="BC16" s="115">
        <f>DQ16</f>
        <v>3</v>
      </c>
      <c r="BD16" s="116" t="str">
        <f>INDEX(T,55,lang)</f>
        <v>Kroatië</v>
      </c>
      <c r="BE16" s="115">
        <f>COUNTIF($X$7:$Y$42,"=" &amp; BD16 &amp; "_win")</f>
        <v>0</v>
      </c>
      <c r="BF16" s="115">
        <f>COUNTIF($X$7:$Y$42,"=" &amp; BD16 &amp; "_draw")</f>
        <v>0</v>
      </c>
      <c r="BG16" s="115">
        <f>COUNTIF($X$7:$Y$42,"=" &amp; BD16 &amp; "_lose")</f>
        <v>0</v>
      </c>
      <c r="BH16" s="115">
        <f>SUMIF($E$10:$E$45,$BD16,$F$10:$F$45) + SUMIF($H$10:$H$45,$BD16,$G$10:$G$45)</f>
        <v>0</v>
      </c>
      <c r="BI16" s="115">
        <f>SUMIF($E$10:$E$45,$BD16,$G$10:$G$45) + SUMIF($H$10:$H$45,$BD16,$F$10:$F$45)</f>
        <v>0</v>
      </c>
      <c r="BJ16" s="115">
        <f>BM16*10000</f>
        <v>0</v>
      </c>
      <c r="BK16" s="115">
        <f>BH16-BI16</f>
        <v>0</v>
      </c>
      <c r="BL16" s="115">
        <f>(BK16-BK19)/BK18</f>
        <v>0</v>
      </c>
      <c r="BM16" s="115">
        <f>BE16*3+BF16</f>
        <v>0</v>
      </c>
      <c r="BN16" s="115">
        <f>BT16/BT18*10+BU16/BU18+BX16/BX18*0.1+BV16/BV18*0.01</f>
        <v>0</v>
      </c>
      <c r="BP16" s="115">
        <f>IF(VLOOKUP(BD16,db_fifarank,2,0)="",MIN(db_fifarank),VLOOKUP(BD16,db_fifarank,2,0))</f>
        <v>25.524999999999999</v>
      </c>
      <c r="BQ16" s="115">
        <f t="shared" si="30"/>
        <v>1.8725239352921755E-2</v>
      </c>
      <c r="BR16" s="116">
        <f>10000000*BM16/BM18+100000*BN16/BN18+100*BL16+10*BH16/BH18+1*BN16/BN18+BQ16</f>
        <v>1.8725239352921755E-2</v>
      </c>
      <c r="BS16" s="116" t="str">
        <f>IF(SUM(BE14:BG17)&gt;0,O17,"3B")</f>
        <v>3B</v>
      </c>
      <c r="BT16" s="115">
        <f>SUMPRODUCT(($X$7:$X$42=BD16&amp;"_win")*($Z$7:$Z$42))+SUMPRODUCT(($Y$7:$Y$42=BD16&amp;"_win")*($Z$7:$Z$42))</f>
        <v>0</v>
      </c>
      <c r="BU16" s="115">
        <f>SUMPRODUCT(($X$7:$X$42=BD16&amp;"_draw")*($Z$7:$Z$42))+SUMPRODUCT(($Y$7:$Y$42=BD16&amp;"_draw")*($Z$7:$Z$42))</f>
        <v>0</v>
      </c>
      <c r="BV16" s="115">
        <f>SUMPRODUCT(($E$10:$E$45=BD16)*($Z$7:$Z$42)*($F$10:$F$45))+SUMPRODUCT(($H$10:$H$45=BD16)*($Z$7:$Z$42)*($G$10:$G$45))</f>
        <v>0</v>
      </c>
      <c r="BW16" s="115">
        <f>SUMPRODUCT(($E$10:$E$45=BD16)*($Z$7:$Z$42)*($G$10:$G$45))+SUMPRODUCT(($H$10:$H$45=BD16)*($Z$7:$Z$42)*($F$10:$F$45))</f>
        <v>0</v>
      </c>
      <c r="BX16" s="115">
        <f>BV16-BW16</f>
        <v>0</v>
      </c>
      <c r="BY16" s="116" t="str">
        <f>BD20</f>
        <v>Engeland</v>
      </c>
      <c r="BZ16" s="116">
        <v>3</v>
      </c>
      <c r="CA16" s="116">
        <v>1</v>
      </c>
      <c r="CC16" s="115">
        <f>IFERROR(VLOOKUP("231",$AF$7:$AI$42,2,0),0) + IFERROR(VLOOKUP("231",$AJ$7:$AM$42,2,0),0)</f>
        <v>0</v>
      </c>
      <c r="CD16" s="115">
        <f>IFERROR(VLOOKUP("232",$AF$7:$AI$42,2,0),0) + IFERROR(VLOOKUP("232",$AJ$7:$AM$42,2,0),0)</f>
        <v>0</v>
      </c>
      <c r="CF16" s="115">
        <f>IFERROR(VLOOKUP("234",$AF$7:$AI$42,2,0),0) + IFERROR(VLOOKUP("234",$AJ$7:$AM$42,2,0),0)</f>
        <v>0</v>
      </c>
      <c r="CG16" s="116">
        <f>SUM(CC16:CF16)</f>
        <v>0</v>
      </c>
      <c r="CH16" s="115">
        <f>IFERROR(VLOOKUP("231",$AF$7:$AI$42,3,0),0) + IFERROR(VLOOKUP("231",$AJ$7:$AM$42,3,0),0)</f>
        <v>0</v>
      </c>
      <c r="CI16" s="115">
        <f>IFERROR(VLOOKUP("232",$AF$7:$AI$42,3,0),0) + IFERROR(VLOOKUP("232",$AJ$7:$AM$42,3,0),0)</f>
        <v>0</v>
      </c>
      <c r="CK16" s="115">
        <f>IFERROR(VLOOKUP("234",$AF$7:$AI$42,3,0),0) + IFERROR(VLOOKUP("234",$AJ$7:$AM$42,3,0),0)</f>
        <v>0</v>
      </c>
      <c r="CL16" s="116">
        <f>SUM(CH16:CK16)</f>
        <v>0</v>
      </c>
      <c r="CM16" s="116">
        <f>RANK(CL16,CL14:CL17)</f>
        <v>1</v>
      </c>
      <c r="CN16" s="115">
        <f>IFERROR(VLOOKUP("231",$AF$7:$AI$42,4,0),0) + IFERROR(VLOOKUP("231",$AJ$7:$AM$42,4,0),0)</f>
        <v>0</v>
      </c>
      <c r="CO16" s="115">
        <f>IFERROR(VLOOKUP("232",$AF$7:$AI$42,4,0),0) + IFERROR(VLOOKUP("232",$AJ$7:$AM$42,4,0),0)</f>
        <v>0</v>
      </c>
      <c r="CQ16" s="115">
        <f>IFERROR(VLOOKUP("234",$AF$7:$AI$42,4,0),0) + IFERROR(VLOOKUP("234",$AJ$7:$AM$42,4,0),0)</f>
        <v>0</v>
      </c>
      <c r="CR16" s="116">
        <f>SUM(CN16:CQ16)</f>
        <v>0</v>
      </c>
      <c r="CS16" s="115">
        <f>IF(CC18=CG16,CC16,0)</f>
        <v>0</v>
      </c>
      <c r="CT16" s="115">
        <f>IF(CD18=CG16,CD16,0)</f>
        <v>0</v>
      </c>
      <c r="CV16" s="115">
        <f>IF(CF18=CG16,CF16,0)</f>
        <v>0</v>
      </c>
      <c r="CW16" s="116">
        <f>SUM(CS16:CV16)</f>
        <v>0</v>
      </c>
      <c r="CX16" s="115">
        <f>IF(CC18=CG16,CH16,0)</f>
        <v>0</v>
      </c>
      <c r="CY16" s="115">
        <f>IF(CD18=CG16,CI16,0)</f>
        <v>0</v>
      </c>
      <c r="DA16" s="115">
        <f>IF(CF18=CG16,CK16,0)</f>
        <v>0</v>
      </c>
      <c r="DB16" s="116">
        <f>SUM(CX16:DA16)</f>
        <v>0</v>
      </c>
      <c r="DC16" s="116">
        <f>RANK(DB16,DB14:DB17)</f>
        <v>1</v>
      </c>
      <c r="DD16" s="115">
        <f>IF(CC18=CG16,CN16,0)</f>
        <v>0</v>
      </c>
      <c r="DE16" s="115">
        <f>IF(CD18=CG16,CO16,0)</f>
        <v>0</v>
      </c>
      <c r="DG16" s="115">
        <f>IF(CF18=CG16,CQ16,0)</f>
        <v>0</v>
      </c>
      <c r="DH16" s="116">
        <f>SUM(DD16:DG16)</f>
        <v>0</v>
      </c>
      <c r="DI16" s="116">
        <f>CG16*10000+CW16*100+(5-DC16)+DH16/10</f>
        <v>4</v>
      </c>
      <c r="DJ16" s="116">
        <f>RANK(DI16,DI14:DI17)</f>
        <v>1</v>
      </c>
      <c r="DK16" s="115">
        <f>IF(DK18=DJ16,CC16,0)</f>
        <v>0</v>
      </c>
      <c r="DL16" s="115">
        <f>IF(DL18=DJ16,CD16,0)</f>
        <v>0</v>
      </c>
      <c r="DN16" s="115">
        <f>IF(DN18=DJ16,CF16,0)</f>
        <v>0</v>
      </c>
      <c r="DO16" s="116">
        <f>SUM(DK16:DN16)</f>
        <v>0</v>
      </c>
      <c r="DP16" s="116">
        <f>(5-DJ16)*10000+DO16*100+(5-CM16)+CR16/10+(5-DX16)/100+BQ16/10000</f>
        <v>40004.040001872527</v>
      </c>
      <c r="DQ16" s="116">
        <f>RANK(DP16,DP14:DP17)</f>
        <v>3</v>
      </c>
      <c r="DS16" s="115">
        <f>IFERROR(VLOOKUP("231",$AX$7:$AY$42,2,0),0) + IFERROR(VLOOKUP("231",$AZ$7:$BA$42,2,0),0)</f>
        <v>0</v>
      </c>
      <c r="DT16" s="115">
        <f>IFERROR(VLOOKUP("232",$AX$7:$AY$42,2,0),0) + IFERROR(VLOOKUP("232",$AZ$7:$BA$42,2,0),0)</f>
        <v>0</v>
      </c>
      <c r="DV16" s="115">
        <f>IFERROR(VLOOKUP("234",$AX$7:$AY$42,2,0),0) + IFERROR(VLOOKUP("234",$AZ$7:$BA$42,2,0),0)</f>
        <v>0</v>
      </c>
      <c r="DW16" s="116">
        <f>SUM(DS16:DV16)</f>
        <v>0</v>
      </c>
      <c r="DX16" s="116">
        <f>RANK(DW16,DW14:DW17)</f>
        <v>1</v>
      </c>
      <c r="DZ16" s="116" t="str">
        <f>BD16</f>
        <v>Kroatië</v>
      </c>
      <c r="EA16" s="116">
        <f>EI16*10000+EO16*100+ET16</f>
        <v>100</v>
      </c>
      <c r="EB16" s="115">
        <f>COUNTIF(EA14:EA17,EA16)</f>
        <v>4</v>
      </c>
      <c r="EC16" s="115">
        <f>COUNTIF(CG14:CG17,CG16)</f>
        <v>4</v>
      </c>
      <c r="ED16" s="116">
        <f>IF(AND(EB16&gt;=2,EC16=2),EA16,-EA16-0.2)</f>
        <v>-100.2</v>
      </c>
      <c r="EE16" s="115">
        <f>IFERROR(VLOOKUP("231",$AO$7:$AR$42,2,0),0) + IFERROR(VLOOKUP("231",$AS$7:$AV$42,2,0),0)</f>
        <v>0</v>
      </c>
      <c r="EF16" s="115">
        <f>IFERROR(VLOOKUP("232",$AO$7:$AR$42,2,0),0) + IFERROR(VLOOKUP("232",$AS$7:$AV$42,2,0),0)</f>
        <v>0</v>
      </c>
      <c r="EH16" s="115">
        <f>IFERROR(VLOOKUP("234",$AO$7:$AR$42,2,0),0) + IFERROR(VLOOKUP("234",$AS$7:$AV$42,2,0),0)</f>
        <v>0</v>
      </c>
      <c r="EI16" s="116">
        <f>SUM(EE16:EH16)</f>
        <v>0</v>
      </c>
      <c r="EJ16" s="115">
        <f>IFERROR(VLOOKUP("231",$AO$7:$AR$42,3,0),0) + IFERROR(VLOOKUP("231",$AS$7:$AV$42,3,0),0)</f>
        <v>0</v>
      </c>
      <c r="EK16" s="115">
        <f>IFERROR(VLOOKUP("232",$AO$7:$AR$42,3,0),0) + IFERROR(VLOOKUP("232",$AS$7:$AV$42,3,0),0)</f>
        <v>0</v>
      </c>
      <c r="EM16" s="115">
        <f>IFERROR(VLOOKUP("234",$AO$7:$AR$42,3,0),0) + IFERROR(VLOOKUP("234",$AS$7:$AV$42,3,0),0)</f>
        <v>0</v>
      </c>
      <c r="EN16" s="116">
        <f>SUM(EJ16:EM16)</f>
        <v>0</v>
      </c>
      <c r="EO16" s="116">
        <f>RANK(EN16,EN14:EN17)</f>
        <v>1</v>
      </c>
      <c r="EP16" s="115">
        <f>IFERROR(VLOOKUP("231",$AO$7:$AR$42,4,0),0) + IFERROR(VLOOKUP("231",$AS$7:$AV$42,4,0),0)</f>
        <v>0</v>
      </c>
      <c r="EQ16" s="115">
        <f>IFERROR(VLOOKUP("232",$AO$7:$AR$42,4,0),0) + IFERROR(VLOOKUP("232",$AS$7:$AV$42,4,0),0)</f>
        <v>0</v>
      </c>
      <c r="ES16" s="115">
        <f>IFERROR(VLOOKUP("234",$AO$7:$AR$42,4,0),0) + IFERROR(VLOOKUP("234",$AS$7:$AV$42,4,0),0)</f>
        <v>0</v>
      </c>
      <c r="ET16" s="116">
        <f>SUM(EP16:ES16)</f>
        <v>0</v>
      </c>
      <c r="EV16" s="111"/>
      <c r="EW16" s="63"/>
      <c r="EX16" s="63"/>
      <c r="EY16" s="63"/>
      <c r="EZ16" s="63"/>
      <c r="FA16" s="63"/>
      <c r="FB16" s="63"/>
      <c r="FC16" s="63"/>
      <c r="FD16" s="63"/>
      <c r="FE16" s="63"/>
      <c r="FF16" s="63"/>
      <c r="FG16" s="63"/>
      <c r="FH16" s="97"/>
      <c r="FI16" s="63"/>
      <c r="FJ16" s="191"/>
      <c r="FK16" s="79" t="str">
        <f>Y57</f>
        <v>W45</v>
      </c>
      <c r="FL16" s="80"/>
      <c r="FM16" s="81"/>
      <c r="FN16" s="82"/>
      <c r="FO16" s="63"/>
      <c r="FP16" s="63"/>
      <c r="FQ16" s="63"/>
      <c r="FR16" s="63"/>
      <c r="FS16" s="63"/>
      <c r="FT16" s="63"/>
      <c r="FU16" s="63"/>
    </row>
    <row r="17" spans="1:177">
      <c r="A17" s="83">
        <v>8</v>
      </c>
      <c r="B17" s="84" t="str">
        <f t="shared" si="27"/>
        <v>Ma</v>
      </c>
      <c r="C17" s="85" t="str">
        <f t="shared" si="28"/>
        <v>Jun 17, 2024</v>
      </c>
      <c r="D17" s="86">
        <f t="shared" si="29"/>
        <v>0.625</v>
      </c>
      <c r="E17" s="87" t="str">
        <f>BD34</f>
        <v>Roemenië</v>
      </c>
      <c r="F17" s="73"/>
      <c r="G17" s="74"/>
      <c r="H17" s="88" t="str">
        <f>BD33</f>
        <v>Oekraïne</v>
      </c>
      <c r="I17" s="186" t="str">
        <f>INDEX(T,103,lang)</f>
        <v>München</v>
      </c>
      <c r="J17" s="186"/>
      <c r="K17" s="186"/>
      <c r="L17" s="60"/>
      <c r="M17" s="60"/>
      <c r="O17" s="76" t="str">
        <f>VLOOKUP(3,BC14:BM17,2,0)</f>
        <v>Kroatië</v>
      </c>
      <c r="P17" s="77">
        <f>Q17+R17+S17</f>
        <v>0</v>
      </c>
      <c r="Q17" s="77">
        <f>VLOOKUP(3,BC14:BM17,3,0)</f>
        <v>0</v>
      </c>
      <c r="R17" s="77">
        <f>VLOOKUP(3,BC14:BM17,4,0)</f>
        <v>0</v>
      </c>
      <c r="S17" s="77">
        <f>VLOOKUP(3,BC14:BM17,5,0)</f>
        <v>0</v>
      </c>
      <c r="T17" s="77" t="str">
        <f>VLOOKUP(3,BC14:BM17,6,0) &amp; " - " &amp; VLOOKUP(3,BC14:BM17,7,0)</f>
        <v>0 - 0</v>
      </c>
      <c r="U17" s="78">
        <f>Q17*3+R17</f>
        <v>0</v>
      </c>
      <c r="W17" s="115">
        <f>DATE(2024,6,18)+TIME(5,0,0)+gmt_delta</f>
        <v>45461.75</v>
      </c>
      <c r="X17" s="117" t="str">
        <f t="shared" si="0"/>
        <v/>
      </c>
      <c r="Y17" s="117" t="str">
        <f t="shared" si="1"/>
        <v/>
      </c>
      <c r="Z17" s="116">
        <f t="shared" si="2"/>
        <v>0</v>
      </c>
      <c r="AA17" s="115">
        <f t="shared" si="3"/>
        <v>0</v>
      </c>
      <c r="AB17" s="115">
        <f t="shared" si="4"/>
        <v>0</v>
      </c>
      <c r="AC17" s="115">
        <f t="shared" si="5"/>
        <v>6</v>
      </c>
      <c r="AD17" s="115">
        <f t="shared" si="6"/>
        <v>2</v>
      </c>
      <c r="AE17" s="115">
        <f t="shared" si="7"/>
        <v>4</v>
      </c>
      <c r="AF17" s="115" t="str">
        <f t="shared" si="8"/>
        <v>624</v>
      </c>
      <c r="AG17" s="115">
        <f t="shared" si="9"/>
        <v>0</v>
      </c>
      <c r="AH17" s="115">
        <f t="shared" si="10"/>
        <v>0</v>
      </c>
      <c r="AI17" s="115">
        <f t="shared" si="11"/>
        <v>0</v>
      </c>
      <c r="AJ17" s="115" t="str">
        <f t="shared" si="12"/>
        <v>642</v>
      </c>
      <c r="AK17" s="115">
        <f t="shared" si="13"/>
        <v>0</v>
      </c>
      <c r="AL17" s="115">
        <f t="shared" si="14"/>
        <v>0</v>
      </c>
      <c r="AM17" s="115">
        <f t="shared" si="15"/>
        <v>0</v>
      </c>
      <c r="AO17" s="115" t="str">
        <f t="shared" si="16"/>
        <v>624</v>
      </c>
      <c r="AP17" s="115">
        <f t="shared" si="17"/>
        <v>0</v>
      </c>
      <c r="AQ17" s="115">
        <f t="shared" si="18"/>
        <v>0</v>
      </c>
      <c r="AR17" s="115">
        <f t="shared" si="19"/>
        <v>0</v>
      </c>
      <c r="AS17" s="115" t="str">
        <f t="shared" si="20"/>
        <v>642</v>
      </c>
      <c r="AT17" s="115">
        <f t="shared" si="21"/>
        <v>0</v>
      </c>
      <c r="AU17" s="115">
        <f t="shared" si="22"/>
        <v>0</v>
      </c>
      <c r="AV17" s="115">
        <f t="shared" si="23"/>
        <v>0</v>
      </c>
      <c r="AX17" s="115" t="str">
        <f t="shared" si="24"/>
        <v>624</v>
      </c>
      <c r="AY17" s="115">
        <v>0</v>
      </c>
      <c r="AZ17" s="115" t="str">
        <f t="shared" si="25"/>
        <v>642</v>
      </c>
      <c r="BA17" s="115">
        <v>0</v>
      </c>
      <c r="BC17" s="115">
        <f>DQ17</f>
        <v>4</v>
      </c>
      <c r="BD17" s="116" t="str">
        <f>INDEX(T,38,lang)</f>
        <v>Albanië</v>
      </c>
      <c r="BE17" s="115">
        <f>COUNTIF($X$7:$Y$42,"=" &amp; BD17 &amp; "_win")</f>
        <v>0</v>
      </c>
      <c r="BF17" s="115">
        <f>COUNTIF($X$7:$Y$42,"=" &amp; BD17 &amp; "_draw")</f>
        <v>0</v>
      </c>
      <c r="BG17" s="115">
        <f>COUNTIF($X$7:$Y$42,"=" &amp; BD17 &amp; "_lose")</f>
        <v>0</v>
      </c>
      <c r="BH17" s="115">
        <f>SUMIF($E$10:$E$45,$BD17,$F$10:$F$45) + SUMIF($H$10:$H$45,$BD17,$G$10:$G$45)</f>
        <v>0</v>
      </c>
      <c r="BI17" s="115">
        <f>SUMIF($E$10:$E$45,$BD17,$G$10:$G$45) + SUMIF($H$10:$H$45,$BD17,$F$10:$F$45)</f>
        <v>0</v>
      </c>
      <c r="BJ17" s="115">
        <f>BM17*10000</f>
        <v>0</v>
      </c>
      <c r="BK17" s="115">
        <f>BH17-BI17</f>
        <v>0</v>
      </c>
      <c r="BL17" s="115">
        <f>(BK17-BK19)/BK18</f>
        <v>0</v>
      </c>
      <c r="BM17" s="115">
        <f>BE17*3+BF17</f>
        <v>0</v>
      </c>
      <c r="BN17" s="115">
        <f>BT17/BT18*10+BU17/BU18+BX17/BX18*0.1+BV17/BV18*0.01</f>
        <v>0</v>
      </c>
      <c r="BP17" s="115">
        <f>IF(VLOOKUP(BD17,db_fifarank,2,0)="",MIN(db_fifarank),VLOOKUP(BD17,db_fifarank,2,0))</f>
        <v>7.375</v>
      </c>
      <c r="BQ17" s="115">
        <f t="shared" si="30"/>
        <v>0</v>
      </c>
      <c r="BR17" s="116">
        <f>10000000*BM17/BM18+100000*BN17/BN18+100*BL17+10*BH17/BH18+1*BN17/BN18+BQ17</f>
        <v>0</v>
      </c>
      <c r="BT17" s="115">
        <f>SUMPRODUCT(($X$7:$X$42=BD17&amp;"_win")*($Z$7:$Z$42))+SUMPRODUCT(($Y$7:$Y$42=BD17&amp;"_win")*($Z$7:$Z$42))</f>
        <v>0</v>
      </c>
      <c r="BU17" s="115">
        <f>SUMPRODUCT(($X$7:$X$42=BD17&amp;"_draw")*($Z$7:$Z$42))+SUMPRODUCT(($Y$7:$Y$42=BD17&amp;"_draw")*($Z$7:$Z$42))</f>
        <v>0</v>
      </c>
      <c r="BV17" s="115">
        <f>SUMPRODUCT(($E$10:$E$45=BD17)*($Z$7:$Z$42)*($F$10:$F$45))+SUMPRODUCT(($H$10:$H$45=BD17)*($Z$7:$Z$42)*($G$10:$G$45))</f>
        <v>0</v>
      </c>
      <c r="BW17" s="115">
        <f>SUMPRODUCT(($E$10:$E$45=BD17)*($Z$7:$Z$42)*($G$10:$G$45))+SUMPRODUCT(($H$10:$H$45=BD17)*($Z$7:$Z$42)*($F$10:$F$45))</f>
        <v>0</v>
      </c>
      <c r="BX17" s="115">
        <f>BV17-BW17</f>
        <v>0</v>
      </c>
      <c r="BY17" s="116" t="str">
        <f>BD21</f>
        <v>Denemarken</v>
      </c>
      <c r="BZ17" s="116">
        <v>3</v>
      </c>
      <c r="CA17" s="116">
        <v>2</v>
      </c>
      <c r="CC17" s="115">
        <f>IFERROR(VLOOKUP("241",$AF$7:$AI$42,2,0),0) + IFERROR(VLOOKUP("241",$AJ$7:$AM$42,2,0),0)</f>
        <v>0</v>
      </c>
      <c r="CD17" s="115">
        <f>IFERROR(VLOOKUP("242",$AF$7:$AI$42,2,0),0) + IFERROR(VLOOKUP("242",$AJ$7:$AM$42,2,0),0)</f>
        <v>0</v>
      </c>
      <c r="CE17" s="115">
        <f>IFERROR(VLOOKUP("243",$AF$7:$AI$42,2,0),0) + IFERROR(VLOOKUP("243",$AJ$7:$AM$42,2,0),0)</f>
        <v>0</v>
      </c>
      <c r="CG17" s="116">
        <f>SUM(CC17:CF17)</f>
        <v>0</v>
      </c>
      <c r="CH17" s="115">
        <f>IFERROR(VLOOKUP("241",$AF$7:$AI$42,3,0),0) + IFERROR(VLOOKUP("241",$AJ$7:$AM$42,3,0),0)</f>
        <v>0</v>
      </c>
      <c r="CI17" s="115">
        <f>IFERROR(VLOOKUP("242",$AF$7:$AI$42,3,0),0) + IFERROR(VLOOKUP("242",$AJ$7:$AM$42,3,0),0)</f>
        <v>0</v>
      </c>
      <c r="CJ17" s="115">
        <f>IFERROR(VLOOKUP("243",$AF$7:$AI$42,3,0),0) + IFERROR(VLOOKUP("243",$AJ$7:$AM$42,3,0),0)</f>
        <v>0</v>
      </c>
      <c r="CL17" s="116">
        <f>SUM(CH17:CK17)</f>
        <v>0</v>
      </c>
      <c r="CM17" s="116">
        <f>RANK(CL17,CL14:CL17)</f>
        <v>1</v>
      </c>
      <c r="CN17" s="115">
        <f>IFERROR(VLOOKUP("241",$AF$7:$AI$42,4,0),0) + IFERROR(VLOOKUP("241",$AJ$7:$AM$42,4,0),0)</f>
        <v>0</v>
      </c>
      <c r="CO17" s="115">
        <f>IFERROR(VLOOKUP("242",$AF$7:$AI$42,4,0),0) + IFERROR(VLOOKUP("242",$AJ$7:$AM$42,4,0),0)</f>
        <v>0</v>
      </c>
      <c r="CP17" s="115">
        <f>IFERROR(VLOOKUP("243",$AF$7:$AI$42,4,0),0) + IFERROR(VLOOKUP("243",$AJ$7:$AM$42,4,0),0)</f>
        <v>0</v>
      </c>
      <c r="CR17" s="116">
        <f>SUM(CN17:CQ17)</f>
        <v>0</v>
      </c>
      <c r="CS17" s="115">
        <f>IF(CC18=CG17,CC17,0)</f>
        <v>0</v>
      </c>
      <c r="CT17" s="115">
        <f>IF(CD18=CG17,CD17,0)</f>
        <v>0</v>
      </c>
      <c r="CU17" s="115">
        <f>IF(CE18=CG17,CE17,0)</f>
        <v>0</v>
      </c>
      <c r="CW17" s="116">
        <f>SUM(CS17:CV17)</f>
        <v>0</v>
      </c>
      <c r="CX17" s="115">
        <f>IF(CC18=CG17,CH17,0)</f>
        <v>0</v>
      </c>
      <c r="CY17" s="115">
        <f>IF(CD18=CG17,CI17,0)</f>
        <v>0</v>
      </c>
      <c r="CZ17" s="115">
        <f>IF(CE18=CG17,CJ17,0)</f>
        <v>0</v>
      </c>
      <c r="DB17" s="116">
        <f>SUM(CX17:DA17)</f>
        <v>0</v>
      </c>
      <c r="DC17" s="116">
        <f>RANK(DB17,DB14:DB17)</f>
        <v>1</v>
      </c>
      <c r="DD17" s="115">
        <f>IF(CC18=CG17,CN17,0)</f>
        <v>0</v>
      </c>
      <c r="DE17" s="115">
        <f>IF(CD18=CG17,CO17,0)</f>
        <v>0</v>
      </c>
      <c r="DF17" s="115">
        <f>IF(CE18=CG17,CP17,0)</f>
        <v>0</v>
      </c>
      <c r="DH17" s="116">
        <f>SUM(DD17:DG17)</f>
        <v>0</v>
      </c>
      <c r="DI17" s="116">
        <f>CG17*10000+CW17*100+(5-DC17)+DH17/10</f>
        <v>4</v>
      </c>
      <c r="DJ17" s="116">
        <f>RANK(DI17,DI14:DI17)</f>
        <v>1</v>
      </c>
      <c r="DK17" s="115">
        <f>IF(DK18=DJ17,CC17,0)</f>
        <v>0</v>
      </c>
      <c r="DL17" s="115">
        <f>IF(DL18=DJ17,CD17,0)</f>
        <v>0</v>
      </c>
      <c r="DM17" s="115">
        <f>IF(DM18=DJ17,CE17,0)</f>
        <v>0</v>
      </c>
      <c r="DO17" s="116">
        <f>SUM(DK17:DN17)</f>
        <v>0</v>
      </c>
      <c r="DP17" s="116">
        <f>(5-DJ17)*10000+DO17*100+(5-CM17)+CR17/10+(5-DX17)/100+BQ17/10000</f>
        <v>40004.04</v>
      </c>
      <c r="DQ17" s="116">
        <f>RANK(DP17,DP14:DP17)</f>
        <v>4</v>
      </c>
      <c r="DS17" s="115">
        <f>IFERROR(VLOOKUP("241",$AX$7:$AY$42,2,0),0) + IFERROR(VLOOKUP("241",$AZ$7:$BA$42,2,0),0)</f>
        <v>0</v>
      </c>
      <c r="DT17" s="115">
        <f>IFERROR(VLOOKUP("242",$AX$7:$AY$42,2,0),0) + IFERROR(VLOOKUP("242",$AZ$7:$BA$42,2,0),0)</f>
        <v>0</v>
      </c>
      <c r="DU17" s="115">
        <f>IFERROR(VLOOKUP("243",$AX$7:$AY$42,2,0),0) + IFERROR(VLOOKUP("243",$AZ$7:$BA$42,2,0),0)</f>
        <v>0</v>
      </c>
      <c r="DW17" s="116">
        <f>SUM(DS17:DV17)</f>
        <v>0</v>
      </c>
      <c r="DX17" s="116">
        <f>RANK(DW17,DW14:DW17)</f>
        <v>1</v>
      </c>
      <c r="DZ17" s="116" t="str">
        <f>BD17</f>
        <v>Albanië</v>
      </c>
      <c r="EA17" s="116">
        <f>EI17*10000+EO17*100+ET17</f>
        <v>100</v>
      </c>
      <c r="EB17" s="115">
        <f>COUNTIF(EA14:EA17,EA17)</f>
        <v>4</v>
      </c>
      <c r="EC17" s="115">
        <f>COUNTIF(CG14:CG17,CG17)</f>
        <v>4</v>
      </c>
      <c r="ED17" s="116">
        <f>IF(AND(EB17&gt;=2,EC17=2),EA17,-EA17-0.1)</f>
        <v>-100.1</v>
      </c>
      <c r="EE17" s="115">
        <f>IFERROR(VLOOKUP("241",$AO$7:$AR$42,2,0),0) + IFERROR(VLOOKUP("241",$AS$7:$AV$42,2,0),0)</f>
        <v>0</v>
      </c>
      <c r="EF17" s="115">
        <f>IFERROR(VLOOKUP("242",$AO$7:$AR$42,2,0),0) + IFERROR(VLOOKUP("242",$AS$7:$AV$42,2,0),0)</f>
        <v>0</v>
      </c>
      <c r="EG17" s="115">
        <f>IFERROR(VLOOKUP("243",$AO$7:$AR$42,2,0),0) + IFERROR(VLOOKUP("243",$AS$7:$AV$42,2,0),0)</f>
        <v>0</v>
      </c>
      <c r="EI17" s="116">
        <f>SUM(EE17:EH17)</f>
        <v>0</v>
      </c>
      <c r="EJ17" s="115">
        <f>IFERROR(VLOOKUP("241",$AO$7:$AR$42,3,0),0) + IFERROR(VLOOKUP("241",$AS$7:$AV$42,3,0),0)</f>
        <v>0</v>
      </c>
      <c r="EK17" s="115">
        <f>IFERROR(VLOOKUP("242",$AO$7:$AR$42,3,0),0) + IFERROR(VLOOKUP("242",$AS$7:$AV$42,3,0),0)</f>
        <v>0</v>
      </c>
      <c r="EL17" s="115">
        <f>IFERROR(VLOOKUP("243",$AO$7:$AR$42,3,0),0) + IFERROR(VLOOKUP("243",$AS$7:$AV$42,3,0),0)</f>
        <v>0</v>
      </c>
      <c r="EN17" s="116">
        <f>SUM(EJ17:EM17)</f>
        <v>0</v>
      </c>
      <c r="EO17" s="116">
        <f>RANK(EN17,EN14:EN17)</f>
        <v>1</v>
      </c>
      <c r="EP17" s="115">
        <f>IFERROR(VLOOKUP("241",$AO$7:$AR$42,4,0),0) + IFERROR(VLOOKUP("241",$AS$7:$AV$42,4,0),0)</f>
        <v>0</v>
      </c>
      <c r="EQ17" s="115">
        <f>IFERROR(VLOOKUP("242",$AO$7:$AR$42,4,0),0) + IFERROR(VLOOKUP("242",$AS$7:$AV$42,4,0),0)</f>
        <v>0</v>
      </c>
      <c r="ER17" s="115">
        <f>IFERROR(VLOOKUP("243",$AO$7:$AR$42,4,0),0) + IFERROR(VLOOKUP("243",$AS$7:$AV$42,4,0),0)</f>
        <v>0</v>
      </c>
      <c r="ET17" s="116">
        <f>SUM(EP17:ES17)</f>
        <v>0</v>
      </c>
      <c r="EV17" s="111" t="str">
        <f>VLOOKUP(EV18,$Z$46:$AC$53,2,0)</f>
        <v>Jun 29, 2024   21:00</v>
      </c>
      <c r="EW17" s="63"/>
      <c r="EX17" s="63"/>
      <c r="EY17" s="63"/>
      <c r="EZ17" s="67" t="str">
        <f>INDEX(T,108,lang)</f>
        <v>Dortmund</v>
      </c>
      <c r="FA17" s="63"/>
      <c r="FB17" s="63"/>
      <c r="FC17" s="63"/>
      <c r="FD17" s="63"/>
      <c r="FE17" s="63"/>
      <c r="FF17" s="63"/>
      <c r="FG17" s="63"/>
      <c r="FH17" s="97"/>
      <c r="FI17" s="98"/>
      <c r="FJ17" s="191"/>
      <c r="FK17" s="89" t="str">
        <f>Y58</f>
        <v>W46</v>
      </c>
      <c r="FL17" s="90"/>
      <c r="FM17" s="91"/>
      <c r="FN17" s="92"/>
      <c r="FO17" s="93"/>
      <c r="FP17" s="102"/>
      <c r="FQ17" s="63"/>
      <c r="FR17" s="63"/>
      <c r="FS17" s="63"/>
      <c r="FT17" s="63"/>
      <c r="FU17" s="63"/>
    </row>
    <row r="18" spans="1:177">
      <c r="A18" s="83">
        <v>9</v>
      </c>
      <c r="B18" s="84" t="str">
        <f t="shared" si="27"/>
        <v>Ma</v>
      </c>
      <c r="C18" s="85" t="str">
        <f t="shared" si="28"/>
        <v>Jun 17, 2024</v>
      </c>
      <c r="D18" s="86">
        <f t="shared" si="29"/>
        <v>0.75</v>
      </c>
      <c r="E18" s="87" t="str">
        <f>BD32</f>
        <v>België</v>
      </c>
      <c r="F18" s="73"/>
      <c r="G18" s="74"/>
      <c r="H18" s="88" t="str">
        <f>BD35</f>
        <v>Slowakije</v>
      </c>
      <c r="I18" s="186" t="str">
        <f>INDEX(T,106,lang)</f>
        <v>Frankfurt</v>
      </c>
      <c r="J18" s="186"/>
      <c r="K18" s="186"/>
      <c r="L18" s="60"/>
      <c r="M18" s="60"/>
      <c r="O18" s="94" t="str">
        <f>VLOOKUP(4,BC14:BM17,2,0)</f>
        <v>Albanië</v>
      </c>
      <c r="P18" s="95">
        <f>Q18+R18+S18</f>
        <v>0</v>
      </c>
      <c r="Q18" s="95">
        <f>VLOOKUP(4,BC14:BM17,3,0)</f>
        <v>0</v>
      </c>
      <c r="R18" s="95">
        <f>VLOOKUP(4,BC14:BM17,4,0)</f>
        <v>0</v>
      </c>
      <c r="S18" s="95">
        <f>VLOOKUP(4,BC14:BM17,5,0)</f>
        <v>0</v>
      </c>
      <c r="T18" s="95" t="str">
        <f>VLOOKUP(4,BC14:BM17,6,0) &amp; " - " &amp; VLOOKUP(4,BC14:BM17,7,0)</f>
        <v>0 - 0</v>
      </c>
      <c r="U18" s="96">
        <f>Q18*3+R18</f>
        <v>0</v>
      </c>
      <c r="W18" s="115">
        <f>DATE(2024,6,18)+TIME(8,0,0)+gmt_delta</f>
        <v>45461.875</v>
      </c>
      <c r="X18" s="117" t="str">
        <f t="shared" si="0"/>
        <v/>
      </c>
      <c r="Y18" s="117" t="str">
        <f t="shared" si="1"/>
        <v/>
      </c>
      <c r="Z18" s="116">
        <f t="shared" si="2"/>
        <v>0</v>
      </c>
      <c r="AA18" s="115">
        <f t="shared" si="3"/>
        <v>0</v>
      </c>
      <c r="AB18" s="115">
        <f t="shared" si="4"/>
        <v>0</v>
      </c>
      <c r="AC18" s="115">
        <f t="shared" si="5"/>
        <v>6</v>
      </c>
      <c r="AD18" s="115">
        <f t="shared" si="6"/>
        <v>1</v>
      </c>
      <c r="AE18" s="115">
        <f t="shared" si="7"/>
        <v>3</v>
      </c>
      <c r="AF18" s="115" t="str">
        <f t="shared" si="8"/>
        <v>613</v>
      </c>
      <c r="AG18" s="115">
        <f t="shared" si="9"/>
        <v>0</v>
      </c>
      <c r="AH18" s="115">
        <f t="shared" si="10"/>
        <v>0</v>
      </c>
      <c r="AI18" s="115">
        <f t="shared" si="11"/>
        <v>0</v>
      </c>
      <c r="AJ18" s="115" t="str">
        <f t="shared" si="12"/>
        <v>631</v>
      </c>
      <c r="AK18" s="115">
        <f t="shared" si="13"/>
        <v>0</v>
      </c>
      <c r="AL18" s="115">
        <f t="shared" si="14"/>
        <v>0</v>
      </c>
      <c r="AM18" s="115">
        <f t="shared" si="15"/>
        <v>0</v>
      </c>
      <c r="AO18" s="115" t="str">
        <f t="shared" si="16"/>
        <v>613</v>
      </c>
      <c r="AP18" s="115">
        <f t="shared" si="17"/>
        <v>0</v>
      </c>
      <c r="AQ18" s="115">
        <f t="shared" si="18"/>
        <v>0</v>
      </c>
      <c r="AR18" s="115">
        <f t="shared" si="19"/>
        <v>0</v>
      </c>
      <c r="AS18" s="115" t="str">
        <f t="shared" si="20"/>
        <v>631</v>
      </c>
      <c r="AT18" s="115">
        <f t="shared" si="21"/>
        <v>0</v>
      </c>
      <c r="AU18" s="115">
        <f t="shared" si="22"/>
        <v>0</v>
      </c>
      <c r="AV18" s="115">
        <f t="shared" si="23"/>
        <v>0</v>
      </c>
      <c r="AX18" s="115" t="str">
        <f t="shared" si="24"/>
        <v>613</v>
      </c>
      <c r="AY18" s="115">
        <v>0</v>
      </c>
      <c r="AZ18" s="115" t="str">
        <f t="shared" si="25"/>
        <v>631</v>
      </c>
      <c r="BA18" s="115">
        <v>0</v>
      </c>
      <c r="BE18" s="115">
        <f>MAX(BE14:BE17)-MIN(BE14:BE17)+1</f>
        <v>1</v>
      </c>
      <c r="BF18" s="115">
        <f>MAX(BF14:BF17)-MIN(BF14:BF17)+1</f>
        <v>1</v>
      </c>
      <c r="BG18" s="115">
        <f>MAX(BG14:BG17)-MIN(BG14:BG17)+1</f>
        <v>1</v>
      </c>
      <c r="BH18" s="115">
        <f>MAX(BH14:BH17)-MIN(BH14:BH17)+1</f>
        <v>1</v>
      </c>
      <c r="BI18" s="115">
        <f>MAX(BI14:BI17)-MIN(BI14:BI17)+1</f>
        <v>1</v>
      </c>
      <c r="BJ18" s="115">
        <f>MAX(BJ14:BJ17)-BJ19+1</f>
        <v>1</v>
      </c>
      <c r="BK18" s="115">
        <f>MAX(BK14:BK17)-BK19+1</f>
        <v>1</v>
      </c>
      <c r="BM18" s="115">
        <f>MAX(BM14:BM17)-MIN(BM14:BM17)+1</f>
        <v>1</v>
      </c>
      <c r="BN18" s="115">
        <f>MAX(BN14:BN17)-MIN(BN14:BN17)+1</f>
        <v>1</v>
      </c>
      <c r="BT18" s="115">
        <f>MAX(BT14:BT17)-MIN(BT14:BT17)+1</f>
        <v>1</v>
      </c>
      <c r="BU18" s="115">
        <f>MAX(BU14:BU17)-MIN(BU14:BU17)+1</f>
        <v>1</v>
      </c>
      <c r="BV18" s="115">
        <f>MAX(BV14:BV17)-MIN(BV14:BV17)+1</f>
        <v>1</v>
      </c>
      <c r="BW18" s="115">
        <f>MAX(BW14:BW17)-MIN(BW14:BW17)+1</f>
        <v>1</v>
      </c>
      <c r="BX18" s="115">
        <f>MAX(BX14:BX17)-MIN(BX14:BX17)+1</f>
        <v>1</v>
      </c>
      <c r="BY18" s="116" t="str">
        <f>BD22</f>
        <v>Servië</v>
      </c>
      <c r="BZ18" s="116">
        <v>3</v>
      </c>
      <c r="CA18" s="116">
        <v>3</v>
      </c>
      <c r="CC18" s="115">
        <f>CG14</f>
        <v>0</v>
      </c>
      <c r="CD18" s="115">
        <f>CG15</f>
        <v>0</v>
      </c>
      <c r="CE18" s="115">
        <f>CG16</f>
        <v>0</v>
      </c>
      <c r="CF18" s="115">
        <f>CG17</f>
        <v>0</v>
      </c>
      <c r="DK18" s="115">
        <f>DJ14</f>
        <v>1</v>
      </c>
      <c r="DL18" s="115">
        <f>DJ15</f>
        <v>1</v>
      </c>
      <c r="DM18" s="115">
        <f>DJ16</f>
        <v>1</v>
      </c>
      <c r="DN18" s="115">
        <f>DJ17</f>
        <v>1</v>
      </c>
      <c r="DO18" s="116">
        <f>SUM(DK18:DN18)</f>
        <v>4</v>
      </c>
      <c r="DS18" s="115">
        <f>DW14</f>
        <v>0</v>
      </c>
      <c r="DT18" s="115">
        <f>DW15</f>
        <v>0</v>
      </c>
      <c r="DU18" s="115">
        <f>DW16</f>
        <v>0</v>
      </c>
      <c r="DV18" s="115">
        <f>DW17</f>
        <v>0</v>
      </c>
      <c r="EE18" s="115">
        <f>EI14</f>
        <v>0</v>
      </c>
      <c r="EF18" s="115">
        <f>EI15</f>
        <v>0</v>
      </c>
      <c r="EG18" s="115">
        <f>EI16</f>
        <v>0</v>
      </c>
      <c r="EH18" s="115">
        <f>EI17</f>
        <v>0</v>
      </c>
      <c r="EV18" s="192">
        <v>2</v>
      </c>
      <c r="EW18" s="79" t="str">
        <f>VLOOKUP(EV18,$Z$46:$AC$53,3,0)</f>
        <v>A1</v>
      </c>
      <c r="EX18" s="80"/>
      <c r="EY18" s="81"/>
      <c r="EZ18" s="82"/>
      <c r="FA18" s="63"/>
      <c r="FB18" s="63"/>
      <c r="FC18" s="63"/>
      <c r="FD18" s="63"/>
      <c r="FE18" s="63"/>
      <c r="FF18" s="63"/>
      <c r="FG18" s="63"/>
      <c r="FH18" s="97"/>
      <c r="FI18" s="63"/>
      <c r="FJ18" s="63"/>
      <c r="FK18" s="63"/>
      <c r="FL18" s="63"/>
      <c r="FM18" s="63"/>
      <c r="FN18" s="63"/>
      <c r="FO18" s="97"/>
      <c r="FP18" s="63"/>
      <c r="FQ18" s="63"/>
      <c r="FR18" s="63"/>
      <c r="FS18" s="63"/>
      <c r="FT18" s="63"/>
      <c r="FU18" s="63"/>
    </row>
    <row r="19" spans="1:177">
      <c r="A19" s="83">
        <v>10</v>
      </c>
      <c r="B19" s="84" t="str">
        <f t="shared" si="27"/>
        <v>Ma</v>
      </c>
      <c r="C19" s="85" t="str">
        <f t="shared" si="28"/>
        <v>Jun 17, 2024</v>
      </c>
      <c r="D19" s="86">
        <f t="shared" si="29"/>
        <v>0.875</v>
      </c>
      <c r="E19" s="87" t="str">
        <f>BD28</f>
        <v>Oostenrijk</v>
      </c>
      <c r="F19" s="73"/>
      <c r="G19" s="74"/>
      <c r="H19" s="88" t="str">
        <f>BD26</f>
        <v>Frankrijk</v>
      </c>
      <c r="I19" s="186" t="str">
        <f>INDEX(T,111,lang)</f>
        <v>Dusseldorf</v>
      </c>
      <c r="J19" s="186"/>
      <c r="K19" s="186"/>
      <c r="L19" s="60"/>
      <c r="M19" s="60"/>
      <c r="W19" s="115">
        <f>DATE(2024,6,19)+TIME(2,0,0)+gmt_delta</f>
        <v>45462.625</v>
      </c>
      <c r="X19" s="117" t="str">
        <f t="shared" si="0"/>
        <v/>
      </c>
      <c r="Y19" s="117" t="str">
        <f t="shared" si="1"/>
        <v/>
      </c>
      <c r="Z19" s="116">
        <f t="shared" si="2"/>
        <v>0</v>
      </c>
      <c r="AA19" s="115">
        <f t="shared" si="3"/>
        <v>0</v>
      </c>
      <c r="AB19" s="115">
        <f t="shared" si="4"/>
        <v>0</v>
      </c>
      <c r="AC19" s="115">
        <f t="shared" si="5"/>
        <v>2</v>
      </c>
      <c r="AD19" s="115">
        <f t="shared" si="6"/>
        <v>3</v>
      </c>
      <c r="AE19" s="115">
        <f t="shared" si="7"/>
        <v>4</v>
      </c>
      <c r="AF19" s="115" t="str">
        <f t="shared" si="8"/>
        <v>234</v>
      </c>
      <c r="AG19" s="115">
        <f t="shared" si="9"/>
        <v>0</v>
      </c>
      <c r="AH19" s="115">
        <f t="shared" si="10"/>
        <v>0</v>
      </c>
      <c r="AI19" s="115">
        <f t="shared" si="11"/>
        <v>0</v>
      </c>
      <c r="AJ19" s="115" t="str">
        <f t="shared" si="12"/>
        <v>243</v>
      </c>
      <c r="AK19" s="115">
        <f t="shared" si="13"/>
        <v>0</v>
      </c>
      <c r="AL19" s="115">
        <f t="shared" si="14"/>
        <v>0</v>
      </c>
      <c r="AM19" s="115">
        <f t="shared" si="15"/>
        <v>0</v>
      </c>
      <c r="AO19" s="115" t="str">
        <f t="shared" si="16"/>
        <v>234</v>
      </c>
      <c r="AP19" s="115">
        <f t="shared" si="17"/>
        <v>0</v>
      </c>
      <c r="AQ19" s="115">
        <f t="shared" si="18"/>
        <v>0</v>
      </c>
      <c r="AR19" s="115">
        <f t="shared" si="19"/>
        <v>0</v>
      </c>
      <c r="AS19" s="115" t="str">
        <f t="shared" si="20"/>
        <v>243</v>
      </c>
      <c r="AT19" s="115">
        <f t="shared" si="21"/>
        <v>0</v>
      </c>
      <c r="AU19" s="115">
        <f t="shared" si="22"/>
        <v>0</v>
      </c>
      <c r="AV19" s="115">
        <f t="shared" si="23"/>
        <v>0</v>
      </c>
      <c r="AX19" s="115" t="str">
        <f t="shared" si="24"/>
        <v>234</v>
      </c>
      <c r="AY19" s="115">
        <v>0</v>
      </c>
      <c r="AZ19" s="115" t="str">
        <f t="shared" si="25"/>
        <v>243</v>
      </c>
      <c r="BA19" s="115">
        <v>0</v>
      </c>
      <c r="BJ19" s="115">
        <f>MIN(BJ14:BJ17)</f>
        <v>0</v>
      </c>
      <c r="BK19" s="115">
        <f>MIN(BK14:BK17)</f>
        <v>0</v>
      </c>
      <c r="BY19" s="116" t="str">
        <f>BD23</f>
        <v>Slovenië</v>
      </c>
      <c r="BZ19" s="116">
        <v>3</v>
      </c>
      <c r="CA19" s="116">
        <v>4</v>
      </c>
      <c r="EV19" s="192"/>
      <c r="EW19" s="89" t="str">
        <f>VLOOKUP(EV18,$Z$46:$AC$53,4,0)</f>
        <v>C2</v>
      </c>
      <c r="EX19" s="90"/>
      <c r="EY19" s="91"/>
      <c r="EZ19" s="92"/>
      <c r="FA19" s="93"/>
      <c r="FB19" s="63"/>
      <c r="FC19" s="63" t="str">
        <f>INDEX(T,24+MONTH(W58),lang) &amp; " " &amp; DAY(W58) &amp; ", " &amp; YEAR(W58) &amp; "   " &amp; TEXT(HOUR(W58),"00") &amp; ":" &amp; TEXT(MINUTE(W58),"00")</f>
        <v>Jul 5, 2024   18:00</v>
      </c>
      <c r="FD19" s="63"/>
      <c r="FE19" s="63"/>
      <c r="FF19" s="63"/>
      <c r="FG19" s="67" t="str">
        <f>INDEX(T,105,lang)</f>
        <v>Stuttgart</v>
      </c>
      <c r="FH19" s="97"/>
      <c r="FI19" s="63"/>
      <c r="FJ19" s="63"/>
      <c r="FK19" s="63"/>
      <c r="FL19" s="63"/>
      <c r="FM19" s="63"/>
      <c r="FN19" s="63"/>
      <c r="FO19" s="97"/>
      <c r="FP19" s="63"/>
      <c r="FQ19" s="63"/>
      <c r="FR19" s="63"/>
      <c r="FS19" s="63"/>
      <c r="FT19" s="63"/>
      <c r="FU19" s="63"/>
    </row>
    <row r="20" spans="1:177">
      <c r="A20" s="83">
        <v>11</v>
      </c>
      <c r="B20" s="84" t="str">
        <f t="shared" si="27"/>
        <v>Di</v>
      </c>
      <c r="C20" s="85" t="str">
        <f t="shared" si="28"/>
        <v>Jun 18, 2024</v>
      </c>
      <c r="D20" s="86">
        <f t="shared" si="29"/>
        <v>0.75</v>
      </c>
      <c r="E20" s="87" t="str">
        <f>BD39</f>
        <v>Turkije</v>
      </c>
      <c r="F20" s="73"/>
      <c r="G20" s="74"/>
      <c r="H20" s="88" t="str">
        <f>BD41</f>
        <v>Georgië</v>
      </c>
      <c r="I20" s="186" t="str">
        <f>INDEX(T,108,lang)</f>
        <v>Dortmund</v>
      </c>
      <c r="J20" s="186"/>
      <c r="K20" s="186"/>
      <c r="L20" s="60"/>
      <c r="M20" s="60"/>
      <c r="O20" s="61" t="str">
        <f>INDEX(T,9,lang) &amp; " " &amp; "C"</f>
        <v>Groep C</v>
      </c>
      <c r="P20" s="62" t="str">
        <f>INDEX(T,10,lang)</f>
        <v>WG</v>
      </c>
      <c r="Q20" s="62" t="str">
        <f>INDEX(T,11,lang)</f>
        <v>W</v>
      </c>
      <c r="R20" s="62" t="str">
        <f>INDEX(T,12,lang)</f>
        <v>G</v>
      </c>
      <c r="S20" s="62" t="str">
        <f>INDEX(T,13,lang)</f>
        <v>V</v>
      </c>
      <c r="T20" s="62" t="str">
        <f>INDEX(T,14,lang)</f>
        <v>DV-DT</v>
      </c>
      <c r="U20" s="62" t="str">
        <f>INDEX(T,15,lang)</f>
        <v>PNT</v>
      </c>
      <c r="W20" s="115">
        <f>DATE(2024,6,19)+TIME(5,0,0)+gmt_delta</f>
        <v>45462.75</v>
      </c>
      <c r="X20" s="117" t="str">
        <f t="shared" si="0"/>
        <v/>
      </c>
      <c r="Y20" s="117" t="str">
        <f t="shared" si="1"/>
        <v/>
      </c>
      <c r="Z20" s="116">
        <f t="shared" si="2"/>
        <v>0</v>
      </c>
      <c r="AA20" s="115">
        <f t="shared" si="3"/>
        <v>0</v>
      </c>
      <c r="AB20" s="115">
        <f t="shared" si="4"/>
        <v>0</v>
      </c>
      <c r="AC20" s="115">
        <f t="shared" si="5"/>
        <v>1</v>
      </c>
      <c r="AD20" s="115">
        <f t="shared" si="6"/>
        <v>1</v>
      </c>
      <c r="AE20" s="115">
        <f t="shared" si="7"/>
        <v>4</v>
      </c>
      <c r="AF20" s="115" t="str">
        <f t="shared" si="8"/>
        <v>114</v>
      </c>
      <c r="AG20" s="115">
        <f t="shared" si="9"/>
        <v>0</v>
      </c>
      <c r="AH20" s="115">
        <f t="shared" si="10"/>
        <v>0</v>
      </c>
      <c r="AI20" s="115">
        <f t="shared" si="11"/>
        <v>0</v>
      </c>
      <c r="AJ20" s="115" t="str">
        <f t="shared" si="12"/>
        <v>141</v>
      </c>
      <c r="AK20" s="115">
        <f t="shared" si="13"/>
        <v>0</v>
      </c>
      <c r="AL20" s="115">
        <f t="shared" si="14"/>
        <v>0</v>
      </c>
      <c r="AM20" s="115">
        <f t="shared" si="15"/>
        <v>0</v>
      </c>
      <c r="AO20" s="115" t="str">
        <f t="shared" si="16"/>
        <v>114</v>
      </c>
      <c r="AP20" s="115">
        <f t="shared" si="17"/>
        <v>0</v>
      </c>
      <c r="AQ20" s="115">
        <f t="shared" si="18"/>
        <v>0</v>
      </c>
      <c r="AR20" s="115">
        <f t="shared" si="19"/>
        <v>0</v>
      </c>
      <c r="AS20" s="115" t="str">
        <f t="shared" si="20"/>
        <v>141</v>
      </c>
      <c r="AT20" s="115">
        <f t="shared" si="21"/>
        <v>0</v>
      </c>
      <c r="AU20" s="115">
        <f t="shared" si="22"/>
        <v>0</v>
      </c>
      <c r="AV20" s="115">
        <f t="shared" si="23"/>
        <v>0</v>
      </c>
      <c r="AX20" s="115" t="str">
        <f t="shared" si="24"/>
        <v>114</v>
      </c>
      <c r="AY20" s="115">
        <v>0</v>
      </c>
      <c r="AZ20" s="115" t="str">
        <f t="shared" si="25"/>
        <v>141</v>
      </c>
      <c r="BA20" s="115">
        <v>0</v>
      </c>
      <c r="BC20" s="115">
        <f>DQ20</f>
        <v>1</v>
      </c>
      <c r="BD20" s="116" t="str">
        <f>INDEX(T,66,lang)</f>
        <v>Engeland</v>
      </c>
      <c r="BE20" s="115">
        <f>COUNTIF($X$7:$Y$42,"=" &amp; BD20 &amp; "_win")</f>
        <v>0</v>
      </c>
      <c r="BF20" s="115">
        <f>COUNTIF($X$7:$Y$42,"=" &amp; BD20 &amp; "_draw")</f>
        <v>0</v>
      </c>
      <c r="BG20" s="115">
        <f>COUNTIF($X$7:$Y$42,"=" &amp; BD20 &amp; "_lose")</f>
        <v>0</v>
      </c>
      <c r="BH20" s="115">
        <f>SUMIF($E$10:$E$45,$BD20,$F$10:$F$45) + SUMIF($H$10:$H$45,$BD20,$G$10:$G$45)</f>
        <v>0</v>
      </c>
      <c r="BI20" s="115">
        <f>SUMIF($E$10:$E$45,$BD20,$G$10:$G$45) + SUMIF($H$10:$H$45,$BD20,$F$10:$F$45)</f>
        <v>0</v>
      </c>
      <c r="BJ20" s="115">
        <f>BM20*10000</f>
        <v>0</v>
      </c>
      <c r="BK20" s="115">
        <f>BH20-BI20</f>
        <v>0</v>
      </c>
      <c r="BL20" s="115">
        <f>(BK20-BK25)/BK24</f>
        <v>0</v>
      </c>
      <c r="BM20" s="115">
        <f>BE20*3+BF20</f>
        <v>0</v>
      </c>
      <c r="BN20" s="115">
        <f>BT20/BT24*10+BU20/BU24+BX20/BX24*0.1+BV20/BV24*0.01</f>
        <v>0</v>
      </c>
      <c r="BP20" s="115">
        <f>IF(VLOOKUP(BD20,db_fifarank,2,0)="",MIN(db_fifarank),VLOOKUP(BD20,db_fifarank,2,0))</f>
        <v>104.303</v>
      </c>
      <c r="BQ20" s="115">
        <f>0.1*((BP20-$BP$44)/$BP$46-(COUNTIF($BP$8:$BP$41,BP20)-1)/(100-ROW(BP20)))</f>
        <v>0.1</v>
      </c>
      <c r="BR20" s="116">
        <f>10000000*BM20/BM24+100000*BN20/BN24+100*BL20+10*BH20/BH24+1*BN20/BN24+BQ20</f>
        <v>0.1</v>
      </c>
      <c r="BS20" s="116" t="str">
        <f>IF(SUM(BE20:BG23)=12,O21,INDEX(T,74,lang))</f>
        <v>C1</v>
      </c>
      <c r="BT20" s="115">
        <f>SUMPRODUCT(($X$7:$X$42=BD20&amp;"_win")*($Z$7:$Z$42))+SUMPRODUCT(($Y$7:$Y$42=BD20&amp;"_win")*($Z$7:$Z$42))</f>
        <v>0</v>
      </c>
      <c r="BU20" s="115">
        <f>SUMPRODUCT(($X$7:$X$42=BD20&amp;"_draw")*($Z$7:$Z$42))+SUMPRODUCT(($Y$7:$Y$42=BD20&amp;"_draw")*($Z$7:$Z$42))</f>
        <v>0</v>
      </c>
      <c r="BV20" s="115">
        <f>SUMPRODUCT(($E$10:$E$45=BD20)*($Z$7:$Z$42)*($F$10:$F$45))+SUMPRODUCT(($H$10:$H$45=BD20)*($Z$7:$Z$42)*($G$10:$G$45))</f>
        <v>0</v>
      </c>
      <c r="BW20" s="115">
        <f>SUMPRODUCT(($E$10:$E$45=BD20)*($Z$7:$Z$42)*($G$10:$G$45))+SUMPRODUCT(($H$10:$H$45=BD20)*($Z$7:$Z$42)*($F$10:$F$45))</f>
        <v>0</v>
      </c>
      <c r="BX20" s="115">
        <f>BV20-BW20</f>
        <v>0</v>
      </c>
      <c r="BY20" s="116" t="str">
        <f>BD26</f>
        <v>Frankrijk</v>
      </c>
      <c r="BZ20" s="116">
        <v>4</v>
      </c>
      <c r="CA20" s="116">
        <v>1</v>
      </c>
      <c r="CD20" s="115">
        <f>IFERROR(VLOOKUP("312",$AF$7:$AI$42,2,0),0) + IFERROR(VLOOKUP("312",$AJ$7:$AM$42,2,0),0)</f>
        <v>0</v>
      </c>
      <c r="CE20" s="115">
        <f>IFERROR(VLOOKUP("313",$AF$7:$AI$42,2,0),0) + IFERROR(VLOOKUP("313",$AJ$7:$AM$42,2,0),0)</f>
        <v>0</v>
      </c>
      <c r="CF20" s="115">
        <f>IFERROR(VLOOKUP("314",$AF$7:$AI$42,2,0),0) + IFERROR(VLOOKUP("314",$AJ$7:$AM$42,2,0),0)</f>
        <v>0</v>
      </c>
      <c r="CG20" s="116">
        <f>SUM(CC20:CF20)</f>
        <v>0</v>
      </c>
      <c r="CI20" s="115">
        <f>IFERROR(VLOOKUP("312",$AF$7:$AI$42,3,0),0) + IFERROR(VLOOKUP("312",$AJ$7:$AM$42,3,0),0)</f>
        <v>0</v>
      </c>
      <c r="CJ20" s="115">
        <f>IFERROR(VLOOKUP("313",$AF$7:$AI$42,3,0),0) + IFERROR(VLOOKUP("313",$AJ$7:$AM$42,3,0),0)</f>
        <v>0</v>
      </c>
      <c r="CK20" s="115">
        <f>IFERROR(VLOOKUP("314",$AF$7:$AI$42,3,0),0) + IFERROR(VLOOKUP("314",$AJ$7:$AM$42,3,0),0)</f>
        <v>0</v>
      </c>
      <c r="CL20" s="116">
        <f>SUM(CH20:CK20)</f>
        <v>0</v>
      </c>
      <c r="CM20" s="116">
        <f>RANK(CL20,CL20:CL23)</f>
        <v>1</v>
      </c>
      <c r="CO20" s="115">
        <f>IFERROR(VLOOKUP("312",$AF$7:$AI$42,4,0),0) + IFERROR(VLOOKUP("312",$AJ$7:$AM$42,4,0),0)</f>
        <v>0</v>
      </c>
      <c r="CP20" s="115">
        <f>IFERROR(VLOOKUP("313",$AF$7:$AI$42,4,0),0) + IFERROR(VLOOKUP("313",$AJ$7:$AM$42,4,0),0)</f>
        <v>0</v>
      </c>
      <c r="CQ20" s="115">
        <f>IFERROR(VLOOKUP("314",$AF$7:$AI$42,4,0),0) + IFERROR(VLOOKUP("314",$AJ$7:$AM$42,4,0),0)</f>
        <v>0</v>
      </c>
      <c r="CR20" s="116">
        <f>SUM(CN20:CQ20)</f>
        <v>0</v>
      </c>
      <c r="CT20" s="115">
        <f>IF(CD24=CG20,CD20,0)</f>
        <v>0</v>
      </c>
      <c r="CU20" s="115">
        <f>IF(CE24=CG20,CE20,0)</f>
        <v>0</v>
      </c>
      <c r="CV20" s="115">
        <f>IF(CF24=CG20,CF20,0)</f>
        <v>0</v>
      </c>
      <c r="CW20" s="116">
        <f>SUM(CS20:CV20)</f>
        <v>0</v>
      </c>
      <c r="CY20" s="115">
        <f>IF(CD24=CG20,CI20,0)</f>
        <v>0</v>
      </c>
      <c r="CZ20" s="115">
        <f>IF(CE24=CG20,CJ20,0)</f>
        <v>0</v>
      </c>
      <c r="DA20" s="115">
        <f>IF(CF24=CG20,CK20,0)</f>
        <v>0</v>
      </c>
      <c r="DB20" s="116">
        <f>SUM(CX20:DA20)</f>
        <v>0</v>
      </c>
      <c r="DC20" s="116">
        <f>RANK(DB20,DB20:DB23)</f>
        <v>1</v>
      </c>
      <c r="DE20" s="115">
        <f>IF(CD24=CG20,CO20,0)</f>
        <v>0</v>
      </c>
      <c r="DF20" s="115">
        <f>IF(CE24=CG20,CP20,0)</f>
        <v>0</v>
      </c>
      <c r="DG20" s="115">
        <f>IF(CF24=CG20,CQ20,0)</f>
        <v>0</v>
      </c>
      <c r="DH20" s="116">
        <f>SUM(DD20:DG20)</f>
        <v>0</v>
      </c>
      <c r="DI20" s="116">
        <f>CG20*10000+CW20*100+(5-DC20)+DH20/10</f>
        <v>4</v>
      </c>
      <c r="DJ20" s="116">
        <f>RANK(DI20,DI20:DI23)</f>
        <v>1</v>
      </c>
      <c r="DL20" s="115">
        <f>IF(DL24=DJ20,CD20,0)</f>
        <v>0</v>
      </c>
      <c r="DM20" s="115">
        <f>IF(DM24=DJ20,CE20,0)</f>
        <v>0</v>
      </c>
      <c r="DN20" s="115">
        <f>IF(DN24=DJ20,CF20,0)</f>
        <v>0</v>
      </c>
      <c r="DO20" s="116">
        <f>SUM(DK20:DN20)</f>
        <v>0</v>
      </c>
      <c r="DP20" s="116">
        <f>(5-DJ20)*10000+DO20*100+(5-CM20)+CR20/10+(5-DX20)/100+BQ20/10000</f>
        <v>40004.040010000004</v>
      </c>
      <c r="DQ20" s="116">
        <f>RANK(DP20,DP20:DP23)</f>
        <v>1</v>
      </c>
      <c r="DT20" s="115">
        <f>IFERROR(VLOOKUP("312",$AX$7:$AY$42,2,0),0) + IFERROR(VLOOKUP("312",$AZ$7:$BA$42,2,0),0)</f>
        <v>0</v>
      </c>
      <c r="DU20" s="115">
        <f>IFERROR(VLOOKUP("313",$AX$7:$AY$42,2,0),0) + IFERROR(VLOOKUP("313",$AZ$7:$BA$42,2,0),0)</f>
        <v>0</v>
      </c>
      <c r="DV20" s="115">
        <f>IFERROR(VLOOKUP("314",$AX$7:$AY$42,2,0),0) + IFERROR(VLOOKUP("314",$AZ$7:$BA$42,2,0),0)</f>
        <v>0</v>
      </c>
      <c r="DW20" s="116">
        <f>SUM(DS20:DV20)</f>
        <v>0</v>
      </c>
      <c r="DX20" s="116">
        <f>RANK(DW20,DW20:DW23)</f>
        <v>1</v>
      </c>
      <c r="DZ20" s="116" t="str">
        <f>BD20</f>
        <v>Engeland</v>
      </c>
      <c r="EA20" s="116">
        <f>EI20*10000+EO20*100+ET20</f>
        <v>100</v>
      </c>
      <c r="EB20" s="115">
        <f>COUNTIF(EA20:EA23,EA20)</f>
        <v>4</v>
      </c>
      <c r="EC20" s="115">
        <f>COUNTIF(CG20:CG23,CG20)</f>
        <v>4</v>
      </c>
      <c r="ED20" s="116">
        <f>IF(AND(EB20&gt;=2,EC20=2),EA20,-EA20-0.4)</f>
        <v>-100.4</v>
      </c>
      <c r="EF20" s="115">
        <f>IFERROR(VLOOKUP("312",$AO$7:$AR$42,2,0),0) + IFERROR(VLOOKUP("312",$AS$7:$AV$42,2,0),0)</f>
        <v>0</v>
      </c>
      <c r="EG20" s="115">
        <f>IFERROR(VLOOKUP("313",$AO$7:$AR$42,2,0),0) + IFERROR(VLOOKUP("313",$AS$7:$AV$42,2,0),0)</f>
        <v>0</v>
      </c>
      <c r="EH20" s="115">
        <f>IFERROR(VLOOKUP("314",$AO$7:$AR$42,2,0),0) + IFERROR(VLOOKUP("314",$AS$7:$AV$42,2,0),0)</f>
        <v>0</v>
      </c>
      <c r="EI20" s="116">
        <f>SUM(EE20:EH20)</f>
        <v>0</v>
      </c>
      <c r="EK20" s="115">
        <f>IFERROR(VLOOKUP("312",$AO$7:$AR$42,3,0),0) + IFERROR(VLOOKUP("312",$AS$7:$AV$42,3,0),0)</f>
        <v>0</v>
      </c>
      <c r="EL20" s="115">
        <f>IFERROR(VLOOKUP("313",$AO$7:$AR$42,3,0),0) + IFERROR(VLOOKUP("313",$AS$7:$AV$42,3,0),0)</f>
        <v>0</v>
      </c>
      <c r="EM20" s="115">
        <f>IFERROR(VLOOKUP("314",$AO$7:$AR$42,3,0),0) + IFERROR(VLOOKUP("314",$AS$7:$AV$42,3,0),0)</f>
        <v>0</v>
      </c>
      <c r="EN20" s="116">
        <f>SUM(EJ20:EM20)</f>
        <v>0</v>
      </c>
      <c r="EO20" s="116">
        <f>RANK(EN20,EN20:EN23)</f>
        <v>1</v>
      </c>
      <c r="EQ20" s="115">
        <f>IFERROR(VLOOKUP("312",$AO$7:$AR$42,4,0),0) + IFERROR(VLOOKUP("312",$AS$7:$AV$42,4,0),0)</f>
        <v>0</v>
      </c>
      <c r="ER20" s="115">
        <f>IFERROR(VLOOKUP("313",$AO$7:$AR$42,4,0),0) + IFERROR(VLOOKUP("313",$AS$7:$AV$42,4,0),0)</f>
        <v>0</v>
      </c>
      <c r="ES20" s="115">
        <f>IFERROR(VLOOKUP("314",$AO$7:$AR$42,4,0),0) + IFERROR(VLOOKUP("314",$AS$7:$AV$42,4,0),0)</f>
        <v>0</v>
      </c>
      <c r="ET20" s="116">
        <f>SUM(EP20:ES20)</f>
        <v>0</v>
      </c>
      <c r="EV20" s="111"/>
      <c r="EW20" s="63"/>
      <c r="EX20" s="63"/>
      <c r="EY20" s="63"/>
      <c r="EZ20" s="63"/>
      <c r="FA20" s="97"/>
      <c r="FB20" s="63"/>
      <c r="FC20" s="191"/>
      <c r="FD20" s="79" t="str">
        <f>Y50</f>
        <v>W38</v>
      </c>
      <c r="FE20" s="80"/>
      <c r="FF20" s="81"/>
      <c r="FG20" s="82"/>
      <c r="FH20" s="99"/>
      <c r="FI20" s="63"/>
      <c r="FJ20" s="63"/>
      <c r="FK20" s="63"/>
      <c r="FL20" s="63"/>
      <c r="FM20" s="63"/>
      <c r="FN20" s="63"/>
      <c r="FO20" s="97"/>
      <c r="FP20" s="63"/>
      <c r="FQ20" s="63"/>
      <c r="FR20" s="63"/>
      <c r="FS20" s="63"/>
      <c r="FT20" s="63"/>
      <c r="FU20" s="63"/>
    </row>
    <row r="21" spans="1:177">
      <c r="A21" s="83">
        <v>12</v>
      </c>
      <c r="B21" s="84" t="str">
        <f t="shared" si="27"/>
        <v>Di</v>
      </c>
      <c r="C21" s="85" t="str">
        <f t="shared" si="28"/>
        <v>Jun 18, 2024</v>
      </c>
      <c r="D21" s="86">
        <f t="shared" si="29"/>
        <v>0.875</v>
      </c>
      <c r="E21" s="87" t="str">
        <f>BD38</f>
        <v>Portugal</v>
      </c>
      <c r="F21" s="73"/>
      <c r="G21" s="74"/>
      <c r="H21" s="88" t="str">
        <f>BD40</f>
        <v>Tsjechische Republiek</v>
      </c>
      <c r="I21" s="186" t="str">
        <f>INDEX(T,112,lang)</f>
        <v>Leipzig</v>
      </c>
      <c r="J21" s="186"/>
      <c r="K21" s="186"/>
      <c r="L21" s="60"/>
      <c r="M21" s="60"/>
      <c r="O21" s="64" t="str">
        <f>VLOOKUP(1,BC20:BM23,2,0)</f>
        <v>Engeland</v>
      </c>
      <c r="P21" s="65">
        <f>Q21+R21+S21</f>
        <v>0</v>
      </c>
      <c r="Q21" s="65">
        <f>VLOOKUP(1,BC20:BM23,3,0)</f>
        <v>0</v>
      </c>
      <c r="R21" s="65">
        <f>VLOOKUP(1,BC20:BM23,4,0)</f>
        <v>0</v>
      </c>
      <c r="S21" s="65">
        <f>VLOOKUP(1,BC20:BM23,5,0)</f>
        <v>0</v>
      </c>
      <c r="T21" s="65" t="str">
        <f>VLOOKUP(1,BC20:BM23,6,0) &amp; " - " &amp; VLOOKUP(1,BC20:BM23,7,0)</f>
        <v>0 - 0</v>
      </c>
      <c r="U21" s="66">
        <f>Q21*3+R21</f>
        <v>0</v>
      </c>
      <c r="W21" s="115">
        <f>DATE(2024,6,19)+TIME(8,0,0)+gmt_delta</f>
        <v>45462.875</v>
      </c>
      <c r="X21" s="117" t="str">
        <f t="shared" si="0"/>
        <v/>
      </c>
      <c r="Y21" s="117" t="str">
        <f t="shared" si="1"/>
        <v/>
      </c>
      <c r="Z21" s="116">
        <f t="shared" si="2"/>
        <v>0</v>
      </c>
      <c r="AA21" s="115">
        <f t="shared" si="3"/>
        <v>0</v>
      </c>
      <c r="AB21" s="115">
        <f t="shared" si="4"/>
        <v>0</v>
      </c>
      <c r="AC21" s="115">
        <f t="shared" si="5"/>
        <v>1</v>
      </c>
      <c r="AD21" s="115">
        <f t="shared" si="6"/>
        <v>2</v>
      </c>
      <c r="AE21" s="115">
        <f t="shared" si="7"/>
        <v>3</v>
      </c>
      <c r="AF21" s="115" t="str">
        <f t="shared" si="8"/>
        <v>123</v>
      </c>
      <c r="AG21" s="115">
        <f t="shared" si="9"/>
        <v>0</v>
      </c>
      <c r="AH21" s="115">
        <f t="shared" si="10"/>
        <v>0</v>
      </c>
      <c r="AI21" s="115">
        <f t="shared" si="11"/>
        <v>0</v>
      </c>
      <c r="AJ21" s="115" t="str">
        <f t="shared" si="12"/>
        <v>132</v>
      </c>
      <c r="AK21" s="115">
        <f t="shared" si="13"/>
        <v>0</v>
      </c>
      <c r="AL21" s="115">
        <f t="shared" si="14"/>
        <v>0</v>
      </c>
      <c r="AM21" s="115">
        <f t="shared" si="15"/>
        <v>0</v>
      </c>
      <c r="AO21" s="115" t="str">
        <f t="shared" si="16"/>
        <v>123</v>
      </c>
      <c r="AP21" s="115">
        <f t="shared" si="17"/>
        <v>0</v>
      </c>
      <c r="AQ21" s="115">
        <f t="shared" si="18"/>
        <v>0</v>
      </c>
      <c r="AR21" s="115">
        <f t="shared" si="19"/>
        <v>0</v>
      </c>
      <c r="AS21" s="115" t="str">
        <f t="shared" si="20"/>
        <v>132</v>
      </c>
      <c r="AT21" s="115">
        <f t="shared" si="21"/>
        <v>0</v>
      </c>
      <c r="AU21" s="115">
        <f t="shared" si="22"/>
        <v>0</v>
      </c>
      <c r="AV21" s="115">
        <f t="shared" si="23"/>
        <v>0</v>
      </c>
      <c r="AX21" s="115" t="str">
        <f t="shared" si="24"/>
        <v>123</v>
      </c>
      <c r="AY21" s="115">
        <v>0</v>
      </c>
      <c r="AZ21" s="115" t="str">
        <f t="shared" si="25"/>
        <v>132</v>
      </c>
      <c r="BA21" s="115">
        <v>0</v>
      </c>
      <c r="BC21" s="115">
        <f>DQ21</f>
        <v>2</v>
      </c>
      <c r="BD21" s="116" t="str">
        <f>INDEX(T,44,lang)</f>
        <v>Denemarken</v>
      </c>
      <c r="BE21" s="115">
        <f>COUNTIF($X$7:$Y$42,"=" &amp; BD21 &amp; "_win")</f>
        <v>0</v>
      </c>
      <c r="BF21" s="115">
        <f>COUNTIF($X$7:$Y$42,"=" &amp; BD21 &amp; "_draw")</f>
        <v>0</v>
      </c>
      <c r="BG21" s="115">
        <f>COUNTIF($X$7:$Y$42,"=" &amp; BD21 &amp; "_lose")</f>
        <v>0</v>
      </c>
      <c r="BH21" s="115">
        <f>SUMIF($E$10:$E$45,$BD21,$F$10:$F$45) + SUMIF($H$10:$H$45,$BD21,$G$10:$G$45)</f>
        <v>0</v>
      </c>
      <c r="BI21" s="115">
        <f>SUMIF($E$10:$E$45,$BD21,$G$10:$G$45) + SUMIF($H$10:$H$45,$BD21,$F$10:$F$45)</f>
        <v>0</v>
      </c>
      <c r="BJ21" s="115">
        <f>BM21*10000</f>
        <v>0</v>
      </c>
      <c r="BK21" s="115">
        <f>BH21-BI21</f>
        <v>0</v>
      </c>
      <c r="BL21" s="115">
        <f>(BK21-BK25)/BK24</f>
        <v>0</v>
      </c>
      <c r="BM21" s="115">
        <f>BE21*3+BF21</f>
        <v>0</v>
      </c>
      <c r="BN21" s="115">
        <f>BT21/BT24*10+BU21/BU24+BX21/BX24*0.1+BV21/BV24*0.01</f>
        <v>0</v>
      </c>
      <c r="BP21" s="115">
        <f>IF(VLOOKUP(BD21,db_fifarank,2,0)="",MIN(db_fifarank),VLOOKUP(BD21,db_fifarank,2,0))</f>
        <v>31.45</v>
      </c>
      <c r="BQ21" s="115">
        <f t="shared" ref="BQ21:BQ23" si="31">0.1*((BP21-$BP$44)/$BP$46-(COUNTIF($BP$8:$BP$41,BP21)-1)/(100-ROW(BP21)))</f>
        <v>2.4838024100363159E-2</v>
      </c>
      <c r="BR21" s="116">
        <f>10000000*BM21/BM24+100000*BN21/BN24+100*BL21+10*BH21/BH24+1*BN21/BN24+BQ21</f>
        <v>2.4838024100363159E-2</v>
      </c>
      <c r="BS21" s="116" t="str">
        <f>IF(SUM(BE20:BG23)=12,O22,INDEX(T,75,lang))</f>
        <v>C2</v>
      </c>
      <c r="BT21" s="115">
        <f>SUMPRODUCT(($X$7:$X$42=BD21&amp;"_win")*($Z$7:$Z$42))+SUMPRODUCT(($Y$7:$Y$42=BD21&amp;"_win")*($Z$7:$Z$42))</f>
        <v>0</v>
      </c>
      <c r="BU21" s="115">
        <f>SUMPRODUCT(($X$7:$X$42=BD21&amp;"_draw")*($Z$7:$Z$42))+SUMPRODUCT(($Y$7:$Y$42=BD21&amp;"_draw")*($Z$7:$Z$42))</f>
        <v>0</v>
      </c>
      <c r="BV21" s="115">
        <f>SUMPRODUCT(($E$10:$E$45=BD21)*($Z$7:$Z$42)*($F$10:$F$45))+SUMPRODUCT(($H$10:$H$45=BD21)*($Z$7:$Z$42)*($G$10:$G$45))</f>
        <v>0</v>
      </c>
      <c r="BW21" s="115">
        <f>SUMPRODUCT(($E$10:$E$45=BD21)*($Z$7:$Z$42)*($G$10:$G$45))+SUMPRODUCT(($H$10:$H$45=BD21)*($Z$7:$Z$42)*($F$10:$F$45))</f>
        <v>0</v>
      </c>
      <c r="BX21" s="115">
        <f>BV21-BW21</f>
        <v>0</v>
      </c>
      <c r="BY21" s="116" t="str">
        <f>BD27</f>
        <v>Nederland</v>
      </c>
      <c r="BZ21" s="116">
        <v>4</v>
      </c>
      <c r="CA21" s="116">
        <v>2</v>
      </c>
      <c r="CC21" s="115">
        <f>IFERROR(VLOOKUP("321",$AF$7:$AI$42,2,0),0) + IFERROR(VLOOKUP("321",$AJ$7:$AM$42,2,0),0)</f>
        <v>0</v>
      </c>
      <c r="CE21" s="115">
        <f>IFERROR(VLOOKUP("323",$AF$7:$AI$42,2,0),0) + IFERROR(VLOOKUP("323",$AJ$7:$AM$42,2,0),0)</f>
        <v>0</v>
      </c>
      <c r="CF21" s="115">
        <f>IFERROR(VLOOKUP("324",$AF$7:$AI$42,2,0),0) + IFERROR(VLOOKUP("324",$AJ$7:$AM$42,2,0),0)</f>
        <v>0</v>
      </c>
      <c r="CG21" s="116">
        <f>SUM(CC21:CF21)</f>
        <v>0</v>
      </c>
      <c r="CH21" s="115">
        <f>IFERROR(VLOOKUP("321",$AF$7:$AI$42,3,0),0) + IFERROR(VLOOKUP("321",$AJ$7:$AM$42,3,0),0)</f>
        <v>0</v>
      </c>
      <c r="CJ21" s="115">
        <f>IFERROR(VLOOKUP("323",$AF$7:$AI$42,3,0),0) + IFERROR(VLOOKUP("323",$AJ$7:$AM$42,3,0),0)</f>
        <v>0</v>
      </c>
      <c r="CK21" s="115">
        <f>IFERROR(VLOOKUP("324",$AF$7:$AI$42,3,0),0) + IFERROR(VLOOKUP("324",$AJ$7:$AM$42,3,0),0)</f>
        <v>0</v>
      </c>
      <c r="CL21" s="116">
        <f>SUM(CH21:CK21)</f>
        <v>0</v>
      </c>
      <c r="CM21" s="116">
        <f>RANK(CL21,CL20:CL23)</f>
        <v>1</v>
      </c>
      <c r="CN21" s="115">
        <f>IFERROR(VLOOKUP("321",$AF$7:$AI$42,4,0),0) + IFERROR(VLOOKUP("321",$AJ$7:$AM$42,4,0),0)</f>
        <v>0</v>
      </c>
      <c r="CP21" s="115">
        <f>IFERROR(VLOOKUP("323",$AF$7:$AI$42,4,0),0) + IFERROR(VLOOKUP("323",$AJ$7:$AM$42,4,0),0)</f>
        <v>0</v>
      </c>
      <c r="CQ21" s="115">
        <f>IFERROR(VLOOKUP("324",$AF$7:$AI$42,4,0),0) + IFERROR(VLOOKUP("324",$AJ$7:$AM$42,4,0),0)</f>
        <v>0</v>
      </c>
      <c r="CR21" s="116">
        <f>SUM(CN21:CQ21)</f>
        <v>0</v>
      </c>
      <c r="CS21" s="115">
        <f>IF(CC24=CG21,CC21,0)</f>
        <v>0</v>
      </c>
      <c r="CU21" s="115">
        <f>IF(CE24=CG21,CE21,0)</f>
        <v>0</v>
      </c>
      <c r="CV21" s="115">
        <f>IF(CF24=CG21,CF21,0)</f>
        <v>0</v>
      </c>
      <c r="CW21" s="116">
        <f>SUM(CS21:CV21)</f>
        <v>0</v>
      </c>
      <c r="CX21" s="115">
        <f>IF(CC24=CG21,CH21,0)</f>
        <v>0</v>
      </c>
      <c r="CZ21" s="115">
        <f>IF(CE24=CG21,CJ21,0)</f>
        <v>0</v>
      </c>
      <c r="DA21" s="115">
        <f>IF(CF24=CG21,CK21,0)</f>
        <v>0</v>
      </c>
      <c r="DB21" s="116">
        <f>SUM(CX21:DA21)</f>
        <v>0</v>
      </c>
      <c r="DC21" s="116">
        <f>RANK(DB21,DB20:DB23)</f>
        <v>1</v>
      </c>
      <c r="DD21" s="115">
        <f>IF(CC24=CG21,CN21,0)</f>
        <v>0</v>
      </c>
      <c r="DF21" s="115">
        <f>IF(CE24=CG21,CP21,0)</f>
        <v>0</v>
      </c>
      <c r="DG21" s="115">
        <f>IF(CF24=CG21,CQ21,0)</f>
        <v>0</v>
      </c>
      <c r="DH21" s="116">
        <f>SUM(DD21:DG21)</f>
        <v>0</v>
      </c>
      <c r="DI21" s="116">
        <f>CG21*10000+CW21*100+(5-DC21)+DH21/10</f>
        <v>4</v>
      </c>
      <c r="DJ21" s="116">
        <f>RANK(DI21,DI20:DI23)</f>
        <v>1</v>
      </c>
      <c r="DK21" s="115">
        <f>IF(DK24=DJ21,CC21,0)</f>
        <v>0</v>
      </c>
      <c r="DM21" s="115">
        <f>IF(DM24=DJ21,CE21,0)</f>
        <v>0</v>
      </c>
      <c r="DN21" s="115">
        <f>IF(DN24=DJ21,CF21,0)</f>
        <v>0</v>
      </c>
      <c r="DO21" s="116">
        <f>SUM(DK21:DN21)</f>
        <v>0</v>
      </c>
      <c r="DP21" s="116">
        <f>(5-DJ21)*10000+DO21*100+(5-CM21)+CR21/10+(5-DX21)/100+BQ21/10000</f>
        <v>40004.040002483802</v>
      </c>
      <c r="DQ21" s="116">
        <f>RANK(DP21,DP20:DP23)</f>
        <v>2</v>
      </c>
      <c r="DS21" s="115">
        <f>IFERROR(VLOOKUP("321",$AX$7:$AY$42,2,0),0) + IFERROR(VLOOKUP("321",$AZ$7:$BA$42,2,0),0)</f>
        <v>0</v>
      </c>
      <c r="DU21" s="115">
        <f>IFERROR(VLOOKUP("323",$AX$7:$AY$42,2,0),0) + IFERROR(VLOOKUP("323",$AZ$7:$BA$42,2,0),0)</f>
        <v>0</v>
      </c>
      <c r="DV21" s="115">
        <f>IFERROR(VLOOKUP("324",$AX$7:$AY$42,2,0),0) + IFERROR(VLOOKUP("324",$AZ$7:$BA$42,2,0),0)</f>
        <v>0</v>
      </c>
      <c r="DW21" s="116">
        <f>SUM(DS21:DV21)</f>
        <v>0</v>
      </c>
      <c r="DX21" s="116">
        <f>RANK(DW21,DW20:DW23)</f>
        <v>1</v>
      </c>
      <c r="DZ21" s="116" t="str">
        <f>BD21</f>
        <v>Denemarken</v>
      </c>
      <c r="EA21" s="116">
        <f>EI21*10000+EO21*100+ET21</f>
        <v>100</v>
      </c>
      <c r="EB21" s="115">
        <f>COUNTIF(EA20:EA23,EA21)</f>
        <v>4</v>
      </c>
      <c r="EC21" s="115">
        <f>COUNTIF(CG20:CG23,CG21)</f>
        <v>4</v>
      </c>
      <c r="ED21" s="116">
        <f>IF(AND(EB21&gt;=2,EC21=2),EA21,-EA21-0.3)</f>
        <v>-100.3</v>
      </c>
      <c r="EE21" s="115">
        <f>IFERROR(VLOOKUP("321",$AO$7:$AR$42,2,0),0) + IFERROR(VLOOKUP("321",$AS$7:$AV$42,2,0),0)</f>
        <v>0</v>
      </c>
      <c r="EG21" s="115">
        <f>IFERROR(VLOOKUP("323",$AO$7:$AR$42,2,0),0) + IFERROR(VLOOKUP("323",$AS$7:$AV$42,2,0),0)</f>
        <v>0</v>
      </c>
      <c r="EH21" s="115">
        <f>IFERROR(VLOOKUP("324",$AO$7:$AR$42,2,0),0) + IFERROR(VLOOKUP("324",$AS$7:$AV$42,2,0),0)</f>
        <v>0</v>
      </c>
      <c r="EI21" s="116">
        <f>SUM(EE21:EH21)</f>
        <v>0</v>
      </c>
      <c r="EJ21" s="115">
        <f>IFERROR(VLOOKUP("321",$AO$7:$AR$42,3,0),0) + IFERROR(VLOOKUP("321",$AS$7:$AV$42,3,0),0)</f>
        <v>0</v>
      </c>
      <c r="EL21" s="115">
        <f>IFERROR(VLOOKUP("323",$AO$7:$AR$42,3,0),0) + IFERROR(VLOOKUP("323",$AS$7:$AV$42,3,0),0)</f>
        <v>0</v>
      </c>
      <c r="EM21" s="115">
        <f>IFERROR(VLOOKUP("324",$AO$7:$AR$42,3,0),0) + IFERROR(VLOOKUP("324",$AS$7:$AV$42,3,0),0)</f>
        <v>0</v>
      </c>
      <c r="EN21" s="116">
        <f>SUM(EJ21:EM21)</f>
        <v>0</v>
      </c>
      <c r="EO21" s="116">
        <f>RANK(EN21,EN20:EN23)</f>
        <v>1</v>
      </c>
      <c r="EP21" s="115">
        <f>IFERROR(VLOOKUP("321",$AO$7:$AR$42,4,0),0) + IFERROR(VLOOKUP("321",$AS$7:$AV$42,4,0),0)</f>
        <v>0</v>
      </c>
      <c r="ER21" s="115">
        <f>IFERROR(VLOOKUP("323",$AO$7:$AR$42,4,0),0) + IFERROR(VLOOKUP("323",$AS$7:$AV$42,4,0),0)</f>
        <v>0</v>
      </c>
      <c r="ES21" s="115">
        <f>IFERROR(VLOOKUP("324",$AO$7:$AR$42,4,0),0) + IFERROR(VLOOKUP("324",$AS$7:$AV$42,4,0),0)</f>
        <v>0</v>
      </c>
      <c r="ET21" s="116">
        <f>SUM(EP21:ES21)</f>
        <v>0</v>
      </c>
      <c r="EV21" s="111" t="str">
        <f>VLOOKUP(EV22,$Z$46:$AC$53,2,0)</f>
        <v>Jun 30, 2024   21:00</v>
      </c>
      <c r="EW21" s="63"/>
      <c r="EX21" s="63"/>
      <c r="EY21" s="63"/>
      <c r="EZ21" s="67" t="str">
        <f>INDEX(T,104,lang)</f>
        <v>Keulen</v>
      </c>
      <c r="FA21" s="97"/>
      <c r="FB21" s="98"/>
      <c r="FC21" s="191"/>
      <c r="FD21" s="89" t="str">
        <f>Y51</f>
        <v>W42</v>
      </c>
      <c r="FE21" s="90"/>
      <c r="FF21" s="91"/>
      <c r="FG21" s="92"/>
      <c r="FH21" s="63"/>
      <c r="FI21" s="63"/>
      <c r="FJ21" s="63"/>
      <c r="FK21" s="63"/>
      <c r="FL21" s="63"/>
      <c r="FM21" s="63"/>
      <c r="FN21" s="63"/>
      <c r="FO21" s="97"/>
      <c r="FP21" s="63"/>
      <c r="FQ21" s="63"/>
      <c r="FR21" s="63"/>
      <c r="FS21" s="63"/>
      <c r="FT21" s="63"/>
      <c r="FU21" s="63"/>
    </row>
    <row r="22" spans="1:177">
      <c r="A22" s="83">
        <v>13</v>
      </c>
      <c r="B22" s="84" t="str">
        <f t="shared" si="27"/>
        <v>Wo</v>
      </c>
      <c r="C22" s="85" t="str">
        <f t="shared" si="28"/>
        <v>Jun 19, 2024</v>
      </c>
      <c r="D22" s="86">
        <f t="shared" si="29"/>
        <v>0.625</v>
      </c>
      <c r="E22" s="87" t="str">
        <f>BD16</f>
        <v>Kroatië</v>
      </c>
      <c r="F22" s="73"/>
      <c r="G22" s="74"/>
      <c r="H22" s="88" t="str">
        <f>BD17</f>
        <v>Albanië</v>
      </c>
      <c r="I22" s="186" t="str">
        <f>INDEX(T,109,lang)</f>
        <v>Hamburg</v>
      </c>
      <c r="J22" s="186"/>
      <c r="K22" s="186"/>
      <c r="L22" s="101"/>
      <c r="M22" s="101"/>
      <c r="O22" s="76" t="str">
        <f>VLOOKUP(2,BC20:BM23,2,0)</f>
        <v>Denemarken</v>
      </c>
      <c r="P22" s="77">
        <f>Q22+R22+S22</f>
        <v>0</v>
      </c>
      <c r="Q22" s="77">
        <f>VLOOKUP(2,BC20:BM23,3,0)</f>
        <v>0</v>
      </c>
      <c r="R22" s="77">
        <f>VLOOKUP(2,BC20:BM23,4,0)</f>
        <v>0</v>
      </c>
      <c r="S22" s="77">
        <f>VLOOKUP(2,BC20:BM23,5,0)</f>
        <v>0</v>
      </c>
      <c r="T22" s="77" t="str">
        <f>VLOOKUP(2,BC20:BM23,6,0) &amp; " - " &amp; VLOOKUP(2,BC20:BM23,7,0)</f>
        <v>0 - 0</v>
      </c>
      <c r="U22" s="78">
        <f>Q22*3+R22</f>
        <v>0</v>
      </c>
      <c r="W22" s="115">
        <f>DATE(2024,6,20)+TIME(2,0,0)+gmt_delta</f>
        <v>45463.625</v>
      </c>
      <c r="X22" s="117" t="str">
        <f t="shared" si="0"/>
        <v/>
      </c>
      <c r="Y22" s="117" t="str">
        <f t="shared" si="1"/>
        <v/>
      </c>
      <c r="Z22" s="116">
        <f t="shared" si="2"/>
        <v>0</v>
      </c>
      <c r="AA22" s="115">
        <f t="shared" si="3"/>
        <v>0</v>
      </c>
      <c r="AB22" s="115">
        <f t="shared" si="4"/>
        <v>0</v>
      </c>
      <c r="AC22" s="115">
        <f t="shared" si="5"/>
        <v>3</v>
      </c>
      <c r="AD22" s="115">
        <f t="shared" si="6"/>
        <v>4</v>
      </c>
      <c r="AE22" s="115">
        <f t="shared" si="7"/>
        <v>3</v>
      </c>
      <c r="AF22" s="115" t="str">
        <f t="shared" si="8"/>
        <v>343</v>
      </c>
      <c r="AG22" s="115">
        <f t="shared" si="9"/>
        <v>0</v>
      </c>
      <c r="AH22" s="115">
        <f t="shared" si="10"/>
        <v>0</v>
      </c>
      <c r="AI22" s="115">
        <f t="shared" si="11"/>
        <v>0</v>
      </c>
      <c r="AJ22" s="115" t="str">
        <f t="shared" si="12"/>
        <v>334</v>
      </c>
      <c r="AK22" s="115">
        <f t="shared" si="13"/>
        <v>0</v>
      </c>
      <c r="AL22" s="115">
        <f t="shared" si="14"/>
        <v>0</v>
      </c>
      <c r="AM22" s="115">
        <f t="shared" si="15"/>
        <v>0</v>
      </c>
      <c r="AO22" s="115" t="str">
        <f t="shared" si="16"/>
        <v>343</v>
      </c>
      <c r="AP22" s="115">
        <f t="shared" si="17"/>
        <v>0</v>
      </c>
      <c r="AQ22" s="115">
        <f t="shared" si="18"/>
        <v>0</v>
      </c>
      <c r="AR22" s="115">
        <f t="shared" si="19"/>
        <v>0</v>
      </c>
      <c r="AS22" s="115" t="str">
        <f t="shared" si="20"/>
        <v>334</v>
      </c>
      <c r="AT22" s="115">
        <f t="shared" si="21"/>
        <v>0</v>
      </c>
      <c r="AU22" s="115">
        <f t="shared" si="22"/>
        <v>0</v>
      </c>
      <c r="AV22" s="115">
        <f t="shared" si="23"/>
        <v>0</v>
      </c>
      <c r="AX22" s="115" t="str">
        <f t="shared" si="24"/>
        <v>343</v>
      </c>
      <c r="AY22" s="115">
        <v>0</v>
      </c>
      <c r="AZ22" s="115" t="str">
        <f t="shared" si="25"/>
        <v>334</v>
      </c>
      <c r="BA22" s="115">
        <v>0</v>
      </c>
      <c r="BC22" s="115">
        <f>DQ22</f>
        <v>3</v>
      </c>
      <c r="BD22" s="116" t="str">
        <f>INDEX(T,63,lang)</f>
        <v>Servië</v>
      </c>
      <c r="BE22" s="115">
        <f>COUNTIF($X$7:$Y$42,"=" &amp; BD22 &amp; "_win")</f>
        <v>0</v>
      </c>
      <c r="BF22" s="115">
        <f>COUNTIF($X$7:$Y$42,"=" &amp; BD22 &amp; "_draw")</f>
        <v>0</v>
      </c>
      <c r="BG22" s="115">
        <f>COUNTIF($X$7:$Y$42,"=" &amp; BD22 &amp; "_lose")</f>
        <v>0</v>
      </c>
      <c r="BH22" s="115">
        <f>SUMIF($E$10:$E$45,$BD22,$F$10:$F$45) + SUMIF($H$10:$H$45,$BD22,$G$10:$G$45)</f>
        <v>0</v>
      </c>
      <c r="BI22" s="115">
        <f>SUMIF($E$10:$E$45,$BD22,$G$10:$G$45) + SUMIF($H$10:$H$45,$BD22,$F$10:$F$45)</f>
        <v>0</v>
      </c>
      <c r="BJ22" s="115">
        <f>BM22*10000</f>
        <v>0</v>
      </c>
      <c r="BK22" s="115">
        <f>BH22-BI22</f>
        <v>0</v>
      </c>
      <c r="BL22" s="115">
        <f>(BK22-BK25)/BK24</f>
        <v>0</v>
      </c>
      <c r="BM22" s="115">
        <f>BE22*3+BF22</f>
        <v>0</v>
      </c>
      <c r="BN22" s="115">
        <f>BT22/BT24*10+BU22/BU24+BX22/BX24*0.1+BV22/BV24*0.01</f>
        <v>0</v>
      </c>
      <c r="BP22" s="115">
        <f>IF(VLOOKUP(BD22,db_fifarank,2,0)="",MIN(db_fifarank),VLOOKUP(BD22,db_fifarank,2,0))</f>
        <v>27.774999999999999</v>
      </c>
      <c r="BQ22" s="115">
        <f t="shared" si="31"/>
        <v>2.1046550016507098E-2</v>
      </c>
      <c r="BR22" s="116">
        <f>10000000*BM22/BM24+100000*BN22/BN24+100*BL22+10*BH22/BH24+1*BN22/BN24+BQ22</f>
        <v>2.1046550016507098E-2</v>
      </c>
      <c r="BS22" s="116" t="str">
        <f>IF(SUM(BE20:BG23)&gt;0,O23,"3C")</f>
        <v>3C</v>
      </c>
      <c r="BT22" s="115">
        <f>SUMPRODUCT(($X$7:$X$42=BD22&amp;"_win")*($Z$7:$Z$42))+SUMPRODUCT(($Y$7:$Y$42=BD22&amp;"_win")*($Z$7:$Z$42))</f>
        <v>0</v>
      </c>
      <c r="BU22" s="115">
        <f>SUMPRODUCT(($X$7:$X$42=BD22&amp;"_draw")*($Z$7:$Z$42))+SUMPRODUCT(($Y$7:$Y$42=BD22&amp;"_draw")*($Z$7:$Z$42))</f>
        <v>0</v>
      </c>
      <c r="BV22" s="115">
        <f>SUMPRODUCT(($E$10:$E$45=BD22)*($Z$7:$Z$42)*($F$10:$F$45))+SUMPRODUCT(($H$10:$H$45=BD22)*($Z$7:$Z$42)*($G$10:$G$45))</f>
        <v>0</v>
      </c>
      <c r="BW22" s="115">
        <f>SUMPRODUCT(($E$10:$E$45=BD22)*($Z$7:$Z$42)*($G$10:$G$45))+SUMPRODUCT(($H$10:$H$45=BD22)*($Z$7:$Z$42)*($F$10:$F$45))</f>
        <v>0</v>
      </c>
      <c r="BX22" s="115">
        <f>BV22-BW22</f>
        <v>0</v>
      </c>
      <c r="BY22" s="116" t="str">
        <f>BD28</f>
        <v>Oostenrijk</v>
      </c>
      <c r="BZ22" s="116">
        <v>4</v>
      </c>
      <c r="CA22" s="116">
        <v>3</v>
      </c>
      <c r="CC22" s="115">
        <f>IFERROR(VLOOKUP("331",$AF$7:$AI$42,2,0),0) + IFERROR(VLOOKUP("331",$AJ$7:$AM$42,2,0),0)</f>
        <v>0</v>
      </c>
      <c r="CD22" s="115">
        <f>IFERROR(VLOOKUP("332",$AF$7:$AI$42,2,0),0) + IFERROR(VLOOKUP("332",$AJ$7:$AM$42,2,0),0)</f>
        <v>0</v>
      </c>
      <c r="CF22" s="115">
        <f>IFERROR(VLOOKUP("334",$AF$7:$AI$42,2,0),0) + IFERROR(VLOOKUP("334",$AJ$7:$AM$42,2,0),0)</f>
        <v>0</v>
      </c>
      <c r="CG22" s="116">
        <f>SUM(CC22:CF22)</f>
        <v>0</v>
      </c>
      <c r="CH22" s="115">
        <f>IFERROR(VLOOKUP("331",$AF$7:$AI$42,3,0),0) + IFERROR(VLOOKUP("331",$AJ$7:$AM$42,3,0),0)</f>
        <v>0</v>
      </c>
      <c r="CI22" s="115">
        <f>IFERROR(VLOOKUP("332",$AF$7:$AI$42,3,0),0) + IFERROR(VLOOKUP("332",$AJ$7:$AM$42,3,0),0)</f>
        <v>0</v>
      </c>
      <c r="CK22" s="115">
        <f>IFERROR(VLOOKUP("334",$AF$7:$AI$42,3,0),0) + IFERROR(VLOOKUP("334",$AJ$7:$AM$42,3,0),0)</f>
        <v>0</v>
      </c>
      <c r="CL22" s="116">
        <f>SUM(CH22:CK22)</f>
        <v>0</v>
      </c>
      <c r="CM22" s="116">
        <f>RANK(CL22,CL20:CL23)</f>
        <v>1</v>
      </c>
      <c r="CN22" s="115">
        <f>IFERROR(VLOOKUP("331",$AF$7:$AI$42,4,0),0) + IFERROR(VLOOKUP("331",$AJ$7:$AM$42,4,0),0)</f>
        <v>0</v>
      </c>
      <c r="CO22" s="115">
        <f>IFERROR(VLOOKUP("332",$AF$7:$AI$42,4,0),0) + IFERROR(VLOOKUP("332",$AJ$7:$AM$42,4,0),0)</f>
        <v>0</v>
      </c>
      <c r="CQ22" s="115">
        <f>IFERROR(VLOOKUP("334",$AF$7:$AI$42,4,0),0) + IFERROR(VLOOKUP("334",$AJ$7:$AM$42,4,0),0)</f>
        <v>0</v>
      </c>
      <c r="CR22" s="116">
        <f>SUM(CN22:CQ22)</f>
        <v>0</v>
      </c>
      <c r="CS22" s="115">
        <f>IF(CC24=CG22,CC22,0)</f>
        <v>0</v>
      </c>
      <c r="CT22" s="115">
        <f>IF(CD24=CG22,CD22,0)</f>
        <v>0</v>
      </c>
      <c r="CV22" s="115">
        <f>IF(CF24=CG22,CF22,0)</f>
        <v>0</v>
      </c>
      <c r="CW22" s="116">
        <f>SUM(CS22:CV22)</f>
        <v>0</v>
      </c>
      <c r="CX22" s="115">
        <f>IF(CC24=CG22,CH22,0)</f>
        <v>0</v>
      </c>
      <c r="CY22" s="115">
        <f>IF(CD24=CG22,CI22,0)</f>
        <v>0</v>
      </c>
      <c r="DA22" s="115">
        <f>IF(CF24=CG22,CK22,0)</f>
        <v>0</v>
      </c>
      <c r="DB22" s="116">
        <f>SUM(CX22:DA22)</f>
        <v>0</v>
      </c>
      <c r="DC22" s="116">
        <f>RANK(DB22,DB20:DB23)</f>
        <v>1</v>
      </c>
      <c r="DD22" s="115">
        <f>IF(CC24=CG22,CN22,0)</f>
        <v>0</v>
      </c>
      <c r="DE22" s="115">
        <f>IF(CD24=CG22,CO22,0)</f>
        <v>0</v>
      </c>
      <c r="DG22" s="115">
        <f>IF(CF24=CG22,CQ22,0)</f>
        <v>0</v>
      </c>
      <c r="DH22" s="116">
        <f>SUM(DD22:DG22)</f>
        <v>0</v>
      </c>
      <c r="DI22" s="116">
        <f>CG22*10000+CW22*100+(5-DC22)+DH22/10</f>
        <v>4</v>
      </c>
      <c r="DJ22" s="116">
        <f>RANK(DI22,DI20:DI23)</f>
        <v>1</v>
      </c>
      <c r="DK22" s="115">
        <f>IF(DK24=DJ22,CC22,0)</f>
        <v>0</v>
      </c>
      <c r="DL22" s="115">
        <f>IF(DL24=DJ22,CD22,0)</f>
        <v>0</v>
      </c>
      <c r="DN22" s="115">
        <f>IF(DN24=DJ22,CF22,0)</f>
        <v>0</v>
      </c>
      <c r="DO22" s="116">
        <f>SUM(DK22:DN22)</f>
        <v>0</v>
      </c>
      <c r="DP22" s="116">
        <f>(5-DJ22)*10000+DO22*100+(5-CM22)+CR22/10+(5-DX22)/100+BQ22/10000</f>
        <v>40004.040002104659</v>
      </c>
      <c r="DQ22" s="116">
        <f>RANK(DP22,DP20:DP23)</f>
        <v>3</v>
      </c>
      <c r="DS22" s="115">
        <f>IFERROR(VLOOKUP("331",$AX$7:$AY$42,2,0),0) + IFERROR(VLOOKUP("331",$AZ$7:$BA$42,2,0),0)</f>
        <v>0</v>
      </c>
      <c r="DT22" s="115">
        <f>IFERROR(VLOOKUP("332",$AX$7:$AY$42,2,0),0) + IFERROR(VLOOKUP("332",$AZ$7:$BA$42,2,0),0)</f>
        <v>0</v>
      </c>
      <c r="DV22" s="115">
        <f>IFERROR(VLOOKUP("334",$AX$7:$AY$42,2,0),0) + IFERROR(VLOOKUP("334",$AZ$7:$BA$42,2,0),0)</f>
        <v>0</v>
      </c>
      <c r="DW22" s="116">
        <f>SUM(DS22:DV22)</f>
        <v>0</v>
      </c>
      <c r="DX22" s="116">
        <f>RANK(DW22,DW20:DW23)</f>
        <v>1</v>
      </c>
      <c r="DZ22" s="116" t="str">
        <f>BD22</f>
        <v>Servië</v>
      </c>
      <c r="EA22" s="116">
        <f>EI22*10000+EO22*100+ET22</f>
        <v>100</v>
      </c>
      <c r="EB22" s="115">
        <f>COUNTIF(EA20:EA23,EA22)</f>
        <v>4</v>
      </c>
      <c r="EC22" s="115">
        <f>COUNTIF(CG20:CG23,CG22)</f>
        <v>4</v>
      </c>
      <c r="ED22" s="116">
        <f>IF(AND(EB22&gt;=2,EC22=2),EA22,-EA22-0.2)</f>
        <v>-100.2</v>
      </c>
      <c r="EE22" s="115">
        <f>IFERROR(VLOOKUP("331",$AO$7:$AR$42,2,0),0) + IFERROR(VLOOKUP("331",$AS$7:$AV$42,2,0),0)</f>
        <v>0</v>
      </c>
      <c r="EF22" s="115">
        <f>IFERROR(VLOOKUP("332",$AO$7:$AR$42,2,0),0) + IFERROR(VLOOKUP("332",$AS$7:$AV$42,2,0),0)</f>
        <v>0</v>
      </c>
      <c r="EH22" s="115">
        <f>IFERROR(VLOOKUP("334",$AO$7:$AR$42,2,0),0) + IFERROR(VLOOKUP("334",$AS$7:$AV$42,2,0),0)</f>
        <v>0</v>
      </c>
      <c r="EI22" s="116">
        <f>SUM(EE22:EH22)</f>
        <v>0</v>
      </c>
      <c r="EJ22" s="115">
        <f>IFERROR(VLOOKUP("331",$AO$7:$AR$42,3,0),0) + IFERROR(VLOOKUP("331",$AS$7:$AV$42,3,0),0)</f>
        <v>0</v>
      </c>
      <c r="EK22" s="115">
        <f>IFERROR(VLOOKUP("332",$AO$7:$AR$42,3,0),0) + IFERROR(VLOOKUP("332",$AS$7:$AV$42,3,0),0)</f>
        <v>0</v>
      </c>
      <c r="EM22" s="115">
        <f>IFERROR(VLOOKUP("334",$AO$7:$AR$42,3,0),0) + IFERROR(VLOOKUP("334",$AS$7:$AV$42,3,0),0)</f>
        <v>0</v>
      </c>
      <c r="EN22" s="116">
        <f>SUM(EJ22:EM22)</f>
        <v>0</v>
      </c>
      <c r="EO22" s="116">
        <f>RANK(EN22,EN20:EN23)</f>
        <v>1</v>
      </c>
      <c r="EP22" s="115">
        <f>IFERROR(VLOOKUP("331",$AO$7:$AR$42,4,0),0) + IFERROR(VLOOKUP("331",$AS$7:$AV$42,4,0),0)</f>
        <v>0</v>
      </c>
      <c r="EQ22" s="115">
        <f>IFERROR(VLOOKUP("332",$AO$7:$AR$42,4,0),0) + IFERROR(VLOOKUP("332",$AS$7:$AV$42,4,0),0)</f>
        <v>0</v>
      </c>
      <c r="ES22" s="115">
        <f>IFERROR(VLOOKUP("334",$AO$7:$AR$42,4,0),0) + IFERROR(VLOOKUP("334",$AS$7:$AV$42,4,0),0)</f>
        <v>0</v>
      </c>
      <c r="ET22" s="116">
        <f>SUM(EP22:ES22)</f>
        <v>0</v>
      </c>
      <c r="EV22" s="192">
        <v>4</v>
      </c>
      <c r="EW22" s="79" t="str">
        <f>VLOOKUP(EV22,$Z$46:$AC$53,3,0)</f>
        <v>B1</v>
      </c>
      <c r="EX22" s="80"/>
      <c r="EY22" s="81"/>
      <c r="EZ22" s="82"/>
      <c r="FA22" s="99"/>
      <c r="FB22" s="63"/>
      <c r="FC22" s="63"/>
      <c r="FD22" s="63"/>
      <c r="FE22" s="63"/>
      <c r="FF22" s="63"/>
      <c r="FG22" s="63"/>
      <c r="FH22" s="63"/>
      <c r="FI22" s="63"/>
      <c r="FJ22" s="63"/>
      <c r="FK22" s="63"/>
      <c r="FL22" s="63"/>
      <c r="FM22" s="63"/>
      <c r="FN22" s="63"/>
      <c r="FO22" s="97"/>
      <c r="FP22" s="63"/>
      <c r="FQ22" s="63" t="str">
        <f>INDEX(T,24+MONTH(W73),lang) &amp; " " &amp; DAY(W73) &amp; ", " &amp; YEAR(W73) &amp; "   " &amp; TEXT(HOUR(W73),"00") &amp; ":" &amp; TEXT(MINUTE(W73),"00")</f>
        <v>Jul 14, 2024   21:00</v>
      </c>
      <c r="FR22" s="63"/>
      <c r="FS22" s="63"/>
      <c r="FT22" s="63"/>
      <c r="FU22" s="67" t="str">
        <f>INDEX(T,107,lang)</f>
        <v>Berlijn</v>
      </c>
    </row>
    <row r="23" spans="1:177">
      <c r="A23" s="83">
        <v>14</v>
      </c>
      <c r="B23" s="84" t="str">
        <f t="shared" si="27"/>
        <v>Wo</v>
      </c>
      <c r="C23" s="85" t="str">
        <f t="shared" si="28"/>
        <v>Jun 19, 2024</v>
      </c>
      <c r="D23" s="86">
        <f t="shared" si="29"/>
        <v>0.75</v>
      </c>
      <c r="E23" s="87" t="str">
        <f>BD8</f>
        <v>Duitsland</v>
      </c>
      <c r="F23" s="73"/>
      <c r="G23" s="74"/>
      <c r="H23" s="88" t="str">
        <f>BD11</f>
        <v>Hongarije</v>
      </c>
      <c r="I23" s="186" t="str">
        <f>INDEX(T,105,lang)</f>
        <v>Stuttgart</v>
      </c>
      <c r="J23" s="186"/>
      <c r="K23" s="186"/>
      <c r="L23" s="60"/>
      <c r="M23" s="60"/>
      <c r="O23" s="76" t="str">
        <f>VLOOKUP(3,BC20:BM23,2,0)</f>
        <v>Servië</v>
      </c>
      <c r="P23" s="77">
        <f>Q23+R23+S23</f>
        <v>0</v>
      </c>
      <c r="Q23" s="77">
        <f>VLOOKUP(3,BC20:BM23,3,0)</f>
        <v>0</v>
      </c>
      <c r="R23" s="77">
        <f>VLOOKUP(3,BC20:BM23,4,0)</f>
        <v>0</v>
      </c>
      <c r="S23" s="77">
        <f>VLOOKUP(3,BC20:BM23,5,0)</f>
        <v>0</v>
      </c>
      <c r="T23" s="77" t="str">
        <f>VLOOKUP(3,BC20:BM23,6,0) &amp; " - " &amp; VLOOKUP(3,BC20:BM23,7,0)</f>
        <v>0 - 0</v>
      </c>
      <c r="U23" s="78">
        <f>Q23*3+R23</f>
        <v>0</v>
      </c>
      <c r="W23" s="115">
        <f>DATE(2024,6,20)+TIME(5,0,0)+gmt_delta</f>
        <v>45463.75</v>
      </c>
      <c r="X23" s="117" t="str">
        <f t="shared" si="0"/>
        <v/>
      </c>
      <c r="Y23" s="117" t="str">
        <f t="shared" si="1"/>
        <v/>
      </c>
      <c r="Z23" s="116">
        <f t="shared" si="2"/>
        <v>0</v>
      </c>
      <c r="AA23" s="115">
        <f t="shared" si="3"/>
        <v>0</v>
      </c>
      <c r="AB23" s="115">
        <f t="shared" si="4"/>
        <v>0</v>
      </c>
      <c r="AC23" s="115">
        <f t="shared" si="5"/>
        <v>3</v>
      </c>
      <c r="AD23" s="115">
        <f t="shared" si="6"/>
        <v>2</v>
      </c>
      <c r="AE23" s="115">
        <f t="shared" si="7"/>
        <v>1</v>
      </c>
      <c r="AF23" s="115" t="str">
        <f t="shared" si="8"/>
        <v>321</v>
      </c>
      <c r="AG23" s="115">
        <f t="shared" si="9"/>
        <v>0</v>
      </c>
      <c r="AH23" s="115">
        <f t="shared" si="10"/>
        <v>0</v>
      </c>
      <c r="AI23" s="115">
        <f t="shared" si="11"/>
        <v>0</v>
      </c>
      <c r="AJ23" s="115" t="str">
        <f t="shared" si="12"/>
        <v>312</v>
      </c>
      <c r="AK23" s="115">
        <f t="shared" si="13"/>
        <v>0</v>
      </c>
      <c r="AL23" s="115">
        <f t="shared" si="14"/>
        <v>0</v>
      </c>
      <c r="AM23" s="115">
        <f t="shared" si="15"/>
        <v>0</v>
      </c>
      <c r="AO23" s="115" t="str">
        <f t="shared" si="16"/>
        <v>321</v>
      </c>
      <c r="AP23" s="115">
        <f t="shared" si="17"/>
        <v>0</v>
      </c>
      <c r="AQ23" s="115">
        <f t="shared" si="18"/>
        <v>0</v>
      </c>
      <c r="AR23" s="115">
        <f t="shared" si="19"/>
        <v>0</v>
      </c>
      <c r="AS23" s="115" t="str">
        <f t="shared" si="20"/>
        <v>312</v>
      </c>
      <c r="AT23" s="115">
        <f t="shared" si="21"/>
        <v>0</v>
      </c>
      <c r="AU23" s="115">
        <f t="shared" si="22"/>
        <v>0</v>
      </c>
      <c r="AV23" s="115">
        <f t="shared" si="23"/>
        <v>0</v>
      </c>
      <c r="AX23" s="115" t="str">
        <f t="shared" si="24"/>
        <v>321</v>
      </c>
      <c r="AY23" s="115">
        <v>0</v>
      </c>
      <c r="AZ23" s="115" t="str">
        <f t="shared" si="25"/>
        <v>312</v>
      </c>
      <c r="BA23" s="115">
        <v>0</v>
      </c>
      <c r="BC23" s="115">
        <f>DQ23</f>
        <v>4</v>
      </c>
      <c r="BD23" s="116" t="str">
        <f>INDEX(T,53,lang)</f>
        <v>Slovenië</v>
      </c>
      <c r="BE23" s="115">
        <f>COUNTIF($X$7:$Y$42,"=" &amp; BD23 &amp; "_win")</f>
        <v>0</v>
      </c>
      <c r="BF23" s="115">
        <f>COUNTIF($X$7:$Y$42,"=" &amp; BD23 &amp; "_draw")</f>
        <v>0</v>
      </c>
      <c r="BG23" s="115">
        <f>COUNTIF($X$7:$Y$42,"=" &amp; BD23 &amp; "_lose")</f>
        <v>0</v>
      </c>
      <c r="BH23" s="115">
        <f>SUMIF($E$10:$E$45,$BD23,$F$10:$F$45) + SUMIF($H$10:$H$45,$BD23,$G$10:$G$45)</f>
        <v>0</v>
      </c>
      <c r="BI23" s="115">
        <f>SUMIF($E$10:$E$45,$BD23,$G$10:$G$45) + SUMIF($H$10:$H$45,$BD23,$F$10:$F$45)</f>
        <v>0</v>
      </c>
      <c r="BJ23" s="115">
        <f>BM23*10000</f>
        <v>0</v>
      </c>
      <c r="BK23" s="115">
        <f>BH23-BI23</f>
        <v>0</v>
      </c>
      <c r="BL23" s="115">
        <f>(BK23-BK25)/BK24</f>
        <v>0</v>
      </c>
      <c r="BM23" s="115">
        <f>BE23*3+BF23</f>
        <v>0</v>
      </c>
      <c r="BN23" s="115">
        <f>BT23/BT24*10+BU23/BU24+BX23/BX24*0.1+BV23/BV24*0.01</f>
        <v>0</v>
      </c>
      <c r="BP23" s="115">
        <f>IF(VLOOKUP(BD23,db_fifarank,2,0)="",MIN(db_fifarank),VLOOKUP(BD23,db_fifarank,2,0))</f>
        <v>13.25</v>
      </c>
      <c r="BQ23" s="115">
        <f t="shared" si="31"/>
        <v>6.0612000660283929E-3</v>
      </c>
      <c r="BR23" s="116">
        <f>10000000*BM23/BM24+100000*BN23/BN24+100*BL23+10*BH23/BH24+1*BN23/BN24+BQ23</f>
        <v>6.0612000660283929E-3</v>
      </c>
      <c r="BT23" s="115">
        <f>SUMPRODUCT(($X$7:$X$42=BD23&amp;"_win")*($Z$7:$Z$42))+SUMPRODUCT(($Y$7:$Y$42=BD23&amp;"_win")*($Z$7:$Z$42))</f>
        <v>0</v>
      </c>
      <c r="BU23" s="115">
        <f>SUMPRODUCT(($X$7:$X$42=BD23&amp;"_draw")*($Z$7:$Z$42))+SUMPRODUCT(($Y$7:$Y$42=BD23&amp;"_draw")*($Z$7:$Z$42))</f>
        <v>0</v>
      </c>
      <c r="BV23" s="115">
        <f>SUMPRODUCT(($E$10:$E$45=BD23)*($Z$7:$Z$42)*($F$10:$F$45))+SUMPRODUCT(($H$10:$H$45=BD23)*($Z$7:$Z$42)*($G$10:$G$45))</f>
        <v>0</v>
      </c>
      <c r="BW23" s="115">
        <f>SUMPRODUCT(($E$10:$E$45=BD23)*($Z$7:$Z$42)*($G$10:$G$45))+SUMPRODUCT(($H$10:$H$45=BD23)*($Z$7:$Z$42)*($F$10:$F$45))</f>
        <v>0</v>
      </c>
      <c r="BX23" s="115">
        <f>BV23-BW23</f>
        <v>0</v>
      </c>
      <c r="BY23" s="116" t="str">
        <f>BD29</f>
        <v>Polen</v>
      </c>
      <c r="BZ23" s="116">
        <v>4</v>
      </c>
      <c r="CA23" s="116">
        <v>4</v>
      </c>
      <c r="CC23" s="115">
        <f>IFERROR(VLOOKUP("341",$AF$7:$AI$42,2,0),0) + IFERROR(VLOOKUP("341",$AJ$7:$AM$42,2,0),0)</f>
        <v>0</v>
      </c>
      <c r="CD23" s="115">
        <f>IFERROR(VLOOKUP("342",$AF$7:$AI$42,2,0),0) + IFERROR(VLOOKUP("342",$AJ$7:$AM$42,2,0),0)</f>
        <v>0</v>
      </c>
      <c r="CE23" s="115">
        <f>IFERROR(VLOOKUP("343",$AF$7:$AI$42,2,0),0) + IFERROR(VLOOKUP("343",$AJ$7:$AM$42,2,0),0)</f>
        <v>0</v>
      </c>
      <c r="CG23" s="116">
        <f>SUM(CC23:CF23)</f>
        <v>0</v>
      </c>
      <c r="CH23" s="115">
        <f>IFERROR(VLOOKUP("341",$AF$7:$AI$42,3,0),0) + IFERROR(VLOOKUP("341",$AJ$7:$AM$42,3,0),0)</f>
        <v>0</v>
      </c>
      <c r="CI23" s="115">
        <f>IFERROR(VLOOKUP("342",$AF$7:$AI$42,3,0),0) + IFERROR(VLOOKUP("342",$AJ$7:$AM$42,3,0),0)</f>
        <v>0</v>
      </c>
      <c r="CJ23" s="115">
        <f>IFERROR(VLOOKUP("343",$AF$7:$AI$42,3,0),0) + IFERROR(VLOOKUP("343",$AJ$7:$AM$42,3,0),0)</f>
        <v>0</v>
      </c>
      <c r="CL23" s="116">
        <f>SUM(CH23:CK23)</f>
        <v>0</v>
      </c>
      <c r="CM23" s="116">
        <f>RANK(CL23,CL20:CL23)</f>
        <v>1</v>
      </c>
      <c r="CN23" s="115">
        <f>IFERROR(VLOOKUP("341",$AF$7:$AI$42,4,0),0) + IFERROR(VLOOKUP("341",$AJ$7:$AM$42,4,0),0)</f>
        <v>0</v>
      </c>
      <c r="CO23" s="115">
        <f>IFERROR(VLOOKUP("342",$AF$7:$AI$42,4,0),0) + IFERROR(VLOOKUP("342",$AJ$7:$AM$42,4,0),0)</f>
        <v>0</v>
      </c>
      <c r="CP23" s="115">
        <f>IFERROR(VLOOKUP("343",$AF$7:$AI$42,4,0),0) + IFERROR(VLOOKUP("343",$AJ$7:$AM$42,4,0),0)</f>
        <v>0</v>
      </c>
      <c r="CR23" s="116">
        <f>SUM(CN23:CQ23)</f>
        <v>0</v>
      </c>
      <c r="CS23" s="115">
        <f>IF(CC24=CG23,CC23,0)</f>
        <v>0</v>
      </c>
      <c r="CT23" s="115">
        <f>IF(CD24=CG23,CD23,0)</f>
        <v>0</v>
      </c>
      <c r="CU23" s="115">
        <f>IF(CE24=CG23,CE23,0)</f>
        <v>0</v>
      </c>
      <c r="CW23" s="116">
        <f>SUM(CS23:CV23)</f>
        <v>0</v>
      </c>
      <c r="CX23" s="115">
        <f>IF(CC24=CG23,CH23,0)</f>
        <v>0</v>
      </c>
      <c r="CY23" s="115">
        <f>IF(CD24=CG23,CI23,0)</f>
        <v>0</v>
      </c>
      <c r="CZ23" s="115">
        <f>IF(CE24=CG23,CJ23,0)</f>
        <v>0</v>
      </c>
      <c r="DB23" s="116">
        <f>SUM(CX23:DA23)</f>
        <v>0</v>
      </c>
      <c r="DC23" s="116">
        <f>RANK(DB23,DB20:DB23)</f>
        <v>1</v>
      </c>
      <c r="DD23" s="115">
        <f>IF(CC24=CG23,CN23,0)</f>
        <v>0</v>
      </c>
      <c r="DE23" s="115">
        <f>IF(CD24=CG23,CO23,0)</f>
        <v>0</v>
      </c>
      <c r="DF23" s="115">
        <f>IF(CE24=CG23,CP23,0)</f>
        <v>0</v>
      </c>
      <c r="DH23" s="116">
        <f>SUM(DD23:DG23)</f>
        <v>0</v>
      </c>
      <c r="DI23" s="116">
        <f>CG23*10000+CW23*100+(5-DC23)+DH23/10</f>
        <v>4</v>
      </c>
      <c r="DJ23" s="116">
        <f>RANK(DI23,DI20:DI23)</f>
        <v>1</v>
      </c>
      <c r="DK23" s="115">
        <f>IF(DK24=DJ23,CC23,0)</f>
        <v>0</v>
      </c>
      <c r="DL23" s="115">
        <f>IF(DL24=DJ23,CD23,0)</f>
        <v>0</v>
      </c>
      <c r="DM23" s="115">
        <f>IF(DM24=DJ23,CE23,0)</f>
        <v>0</v>
      </c>
      <c r="DO23" s="116">
        <f>SUM(DK23:DN23)</f>
        <v>0</v>
      </c>
      <c r="DP23" s="116">
        <f>(5-DJ23)*10000+DO23*100+(5-CM23)+CR23/10+(5-DX23)/100+BQ23/10000</f>
        <v>40004.040000606117</v>
      </c>
      <c r="DQ23" s="116">
        <f>RANK(DP23,DP20:DP23)</f>
        <v>4</v>
      </c>
      <c r="DS23" s="115">
        <f>IFERROR(VLOOKUP("341",$AX$7:$AY$42,2,0),0) + IFERROR(VLOOKUP("341",$AZ$7:$BA$42,2,0),0)</f>
        <v>0</v>
      </c>
      <c r="DT23" s="115">
        <f>IFERROR(VLOOKUP("342",$AX$7:$AY$42,2,0),0) + IFERROR(VLOOKUP("342",$AZ$7:$BA$42,2,0),0)</f>
        <v>0</v>
      </c>
      <c r="DU23" s="115">
        <f>IFERROR(VLOOKUP("343",$AX$7:$AY$42,2,0),0) + IFERROR(VLOOKUP("343",$AZ$7:$BA$42,2,0),0)</f>
        <v>0</v>
      </c>
      <c r="DW23" s="116">
        <f>SUM(DS23:DV23)</f>
        <v>0</v>
      </c>
      <c r="DX23" s="116">
        <f>RANK(DW23,DW20:DW23)</f>
        <v>1</v>
      </c>
      <c r="DZ23" s="116" t="str">
        <f>BD23</f>
        <v>Slovenië</v>
      </c>
      <c r="EA23" s="116">
        <f>EI23*10000+EO23*100+ET23</f>
        <v>100</v>
      </c>
      <c r="EB23" s="115">
        <f>COUNTIF(EA20:EA23,EA23)</f>
        <v>4</v>
      </c>
      <c r="EC23" s="115">
        <f>COUNTIF(CG20:CG23,CG23)</f>
        <v>4</v>
      </c>
      <c r="ED23" s="116">
        <f>IF(AND(EB23&gt;=2,EC23=2),EA23,-EA23-0.1)</f>
        <v>-100.1</v>
      </c>
      <c r="EE23" s="115">
        <f>IFERROR(VLOOKUP("341",$AO$7:$AR$42,2,0),0) + IFERROR(VLOOKUP("341",$AS$7:$AV$42,2,0),0)</f>
        <v>0</v>
      </c>
      <c r="EF23" s="115">
        <f>IFERROR(VLOOKUP("342",$AO$7:$AR$42,2,0),0) + IFERROR(VLOOKUP("342",$AS$7:$AV$42,2,0),0)</f>
        <v>0</v>
      </c>
      <c r="EG23" s="115">
        <f>IFERROR(VLOOKUP("343",$AO$7:$AR$42,2,0),0) + IFERROR(VLOOKUP("343",$AS$7:$AV$42,2,0),0)</f>
        <v>0</v>
      </c>
      <c r="EI23" s="116">
        <f>SUM(EE23:EH23)</f>
        <v>0</v>
      </c>
      <c r="EJ23" s="115">
        <f>IFERROR(VLOOKUP("341",$AO$7:$AR$42,3,0),0) + IFERROR(VLOOKUP("341",$AS$7:$AV$42,3,0),0)</f>
        <v>0</v>
      </c>
      <c r="EK23" s="115">
        <f>IFERROR(VLOOKUP("342",$AO$7:$AR$42,3,0),0) + IFERROR(VLOOKUP("342",$AS$7:$AV$42,3,0),0)</f>
        <v>0</v>
      </c>
      <c r="EL23" s="115">
        <f>IFERROR(VLOOKUP("343",$AO$7:$AR$42,3,0),0) + IFERROR(VLOOKUP("343",$AS$7:$AV$42,3,0),0)</f>
        <v>0</v>
      </c>
      <c r="EN23" s="116">
        <f>SUM(EJ23:EM23)</f>
        <v>0</v>
      </c>
      <c r="EO23" s="116">
        <f>RANK(EN23,EN20:EN23)</f>
        <v>1</v>
      </c>
      <c r="EP23" s="115">
        <f>IFERROR(VLOOKUP("341",$AO$7:$AR$42,4,0),0) + IFERROR(VLOOKUP("341",$AS$7:$AV$42,4,0),0)</f>
        <v>0</v>
      </c>
      <c r="EQ23" s="115">
        <f>IFERROR(VLOOKUP("342",$AO$7:$AR$42,4,0),0) + IFERROR(VLOOKUP("342",$AS$7:$AV$42,4,0),0)</f>
        <v>0</v>
      </c>
      <c r="ER23" s="115">
        <f>IFERROR(VLOOKUP("343",$AO$7:$AR$42,4,0),0) + IFERROR(VLOOKUP("343",$AS$7:$AV$42,4,0),0)</f>
        <v>0</v>
      </c>
      <c r="ET23" s="116">
        <f>SUM(EP23:ES23)</f>
        <v>0</v>
      </c>
      <c r="EV23" s="192"/>
      <c r="EW23" s="89" t="str">
        <f>VLOOKUP(EV22,$Z$46:$AC$53,4,0)</f>
        <v>3A</v>
      </c>
      <c r="EX23" s="90"/>
      <c r="EY23" s="91"/>
      <c r="EZ23" s="92"/>
      <c r="FA23" s="63"/>
      <c r="FB23" s="63"/>
      <c r="FC23" s="63"/>
      <c r="FD23" s="63"/>
      <c r="FE23" s="63"/>
      <c r="FF23" s="63"/>
      <c r="FG23" s="63"/>
      <c r="FH23" s="63"/>
      <c r="FI23" s="63"/>
      <c r="FJ23" s="63"/>
      <c r="FK23" s="63"/>
      <c r="FL23" s="63"/>
      <c r="FM23" s="63"/>
      <c r="FN23" s="63"/>
      <c r="FO23" s="97"/>
      <c r="FP23" s="63"/>
      <c r="FQ23" s="191"/>
      <c r="FR23" s="79" t="str">
        <f>Y64</f>
        <v>W49</v>
      </c>
      <c r="FS23" s="80"/>
      <c r="FT23" s="81"/>
      <c r="FU23" s="82"/>
    </row>
    <row r="24" spans="1:177">
      <c r="A24" s="83">
        <v>15</v>
      </c>
      <c r="B24" s="84" t="str">
        <f t="shared" si="27"/>
        <v>Wo</v>
      </c>
      <c r="C24" s="85" t="str">
        <f t="shared" si="28"/>
        <v>Jun 19, 2024</v>
      </c>
      <c r="D24" s="86">
        <f t="shared" si="29"/>
        <v>0.875</v>
      </c>
      <c r="E24" s="87" t="str">
        <f>BD9</f>
        <v>Schotland</v>
      </c>
      <c r="F24" s="73"/>
      <c r="G24" s="74"/>
      <c r="H24" s="88" t="str">
        <f>BD10</f>
        <v>Zwitserland</v>
      </c>
      <c r="I24" s="186" t="str">
        <f>INDEX(T,104,lang)</f>
        <v>Keulen</v>
      </c>
      <c r="J24" s="186"/>
      <c r="K24" s="186"/>
      <c r="L24" s="60"/>
      <c r="M24" s="60"/>
      <c r="O24" s="94" t="str">
        <f>VLOOKUP(4,BC20:BM23,2,0)</f>
        <v>Slovenië</v>
      </c>
      <c r="P24" s="95">
        <f>Q24+R24+S24</f>
        <v>0</v>
      </c>
      <c r="Q24" s="95">
        <f>VLOOKUP(4,BC20:BM23,3,0)</f>
        <v>0</v>
      </c>
      <c r="R24" s="95">
        <f>VLOOKUP(4,BC20:BM23,4,0)</f>
        <v>0</v>
      </c>
      <c r="S24" s="95">
        <f>VLOOKUP(4,BC20:BM23,5,0)</f>
        <v>0</v>
      </c>
      <c r="T24" s="95" t="str">
        <f>VLOOKUP(4,BC20:BM23,6,0) &amp; " - " &amp; VLOOKUP(4,BC20:BM23,7,0)</f>
        <v>0 - 0</v>
      </c>
      <c r="U24" s="96">
        <f>Q24*3+R24</f>
        <v>0</v>
      </c>
      <c r="W24" s="115">
        <f>DATE(2024,6,20)+TIME(8,0,0)+gmt_delta</f>
        <v>45463.875</v>
      </c>
      <c r="X24" s="117" t="str">
        <f t="shared" si="0"/>
        <v/>
      </c>
      <c r="Y24" s="117" t="str">
        <f t="shared" si="1"/>
        <v/>
      </c>
      <c r="Z24" s="116">
        <f t="shared" si="2"/>
        <v>0</v>
      </c>
      <c r="AA24" s="115">
        <f t="shared" si="3"/>
        <v>0</v>
      </c>
      <c r="AB24" s="115">
        <f t="shared" si="4"/>
        <v>0</v>
      </c>
      <c r="AC24" s="115">
        <f t="shared" si="5"/>
        <v>2</v>
      </c>
      <c r="AD24" s="115">
        <f t="shared" si="6"/>
        <v>1</v>
      </c>
      <c r="AE24" s="115">
        <f t="shared" si="7"/>
        <v>2</v>
      </c>
      <c r="AF24" s="115" t="str">
        <f t="shared" si="8"/>
        <v>212</v>
      </c>
      <c r="AG24" s="115">
        <f t="shared" si="9"/>
        <v>0</v>
      </c>
      <c r="AH24" s="115">
        <f t="shared" si="10"/>
        <v>0</v>
      </c>
      <c r="AI24" s="115">
        <f t="shared" si="11"/>
        <v>0</v>
      </c>
      <c r="AJ24" s="115" t="str">
        <f t="shared" si="12"/>
        <v>221</v>
      </c>
      <c r="AK24" s="115">
        <f t="shared" si="13"/>
        <v>0</v>
      </c>
      <c r="AL24" s="115">
        <f t="shared" si="14"/>
        <v>0</v>
      </c>
      <c r="AM24" s="115">
        <f t="shared" si="15"/>
        <v>0</v>
      </c>
      <c r="AO24" s="115" t="str">
        <f t="shared" si="16"/>
        <v>212</v>
      </c>
      <c r="AP24" s="115">
        <f t="shared" si="17"/>
        <v>0</v>
      </c>
      <c r="AQ24" s="115">
        <f t="shared" si="18"/>
        <v>0</v>
      </c>
      <c r="AR24" s="115">
        <f t="shared" si="19"/>
        <v>0</v>
      </c>
      <c r="AS24" s="115" t="str">
        <f t="shared" si="20"/>
        <v>221</v>
      </c>
      <c r="AT24" s="115">
        <f t="shared" si="21"/>
        <v>0</v>
      </c>
      <c r="AU24" s="115">
        <f t="shared" si="22"/>
        <v>0</v>
      </c>
      <c r="AV24" s="115">
        <f t="shared" si="23"/>
        <v>0</v>
      </c>
      <c r="AX24" s="115" t="str">
        <f t="shared" si="24"/>
        <v>212</v>
      </c>
      <c r="AY24" s="115">
        <v>0</v>
      </c>
      <c r="AZ24" s="115" t="str">
        <f t="shared" si="25"/>
        <v>221</v>
      </c>
      <c r="BA24" s="115">
        <v>0</v>
      </c>
      <c r="BE24" s="115">
        <f>MAX(BE20:BE23)-MIN(BE20:BE23)+1</f>
        <v>1</v>
      </c>
      <c r="BF24" s="115">
        <f>MAX(BF20:BF23)-MIN(BF20:BF23)+1</f>
        <v>1</v>
      </c>
      <c r="BG24" s="115">
        <f>MAX(BG20:BG23)-MIN(BG20:BG23)+1</f>
        <v>1</v>
      </c>
      <c r="BH24" s="115">
        <f>MAX(BH20:BH23)-MIN(BH20:BH23)+1</f>
        <v>1</v>
      </c>
      <c r="BI24" s="115">
        <f>MAX(BI20:BI23)-MIN(BI20:BI23)+1</f>
        <v>1</v>
      </c>
      <c r="BJ24" s="115">
        <f>MAX(BJ20:BJ23)-BJ25+1</f>
        <v>1</v>
      </c>
      <c r="BK24" s="115">
        <f>MAX(BK20:BK23)-BK25+1</f>
        <v>1</v>
      </c>
      <c r="BM24" s="115">
        <f>MAX(BM20:BM23)-MIN(BM20:BM23)+1</f>
        <v>1</v>
      </c>
      <c r="BN24" s="115">
        <f>MAX(BN20:BN23)-MIN(BN20:BN23)+1</f>
        <v>1</v>
      </c>
      <c r="BT24" s="115">
        <f>MAX(BT20:BT23)-MIN(BT20:BT23)+1</f>
        <v>1</v>
      </c>
      <c r="BU24" s="115">
        <f>MAX(BU20:BU23)-MIN(BU20:BU23)+1</f>
        <v>1</v>
      </c>
      <c r="BV24" s="115">
        <f>MAX(BV20:BV23)-MIN(BV20:BV23)+1</f>
        <v>1</v>
      </c>
      <c r="BW24" s="115">
        <f>MAX(BW20:BW23)-MIN(BW20:BW23)+1</f>
        <v>1</v>
      </c>
      <c r="BX24" s="115">
        <f>MAX(BX20:BX23)-MIN(BX20:BX23)+1</f>
        <v>1</v>
      </c>
      <c r="BY24" s="116" t="str">
        <f>BD32</f>
        <v>België</v>
      </c>
      <c r="BZ24" s="116">
        <v>5</v>
      </c>
      <c r="CA24" s="116">
        <v>1</v>
      </c>
      <c r="CC24" s="115">
        <f>CG20</f>
        <v>0</v>
      </c>
      <c r="CD24" s="115">
        <f>CG21</f>
        <v>0</v>
      </c>
      <c r="CE24" s="115">
        <f>CG22</f>
        <v>0</v>
      </c>
      <c r="CF24" s="115">
        <f>CG23</f>
        <v>0</v>
      </c>
      <c r="DK24" s="115">
        <f>DJ20</f>
        <v>1</v>
      </c>
      <c r="DL24" s="115">
        <f>DJ21</f>
        <v>1</v>
      </c>
      <c r="DM24" s="115">
        <f>DJ22</f>
        <v>1</v>
      </c>
      <c r="DN24" s="115">
        <f>DJ23</f>
        <v>1</v>
      </c>
      <c r="DO24" s="116">
        <f>SUM(DK24:DN24)</f>
        <v>4</v>
      </c>
      <c r="DS24" s="115">
        <f>DW20</f>
        <v>0</v>
      </c>
      <c r="DT24" s="115">
        <f>DW21</f>
        <v>0</v>
      </c>
      <c r="DU24" s="115">
        <f>DW22</f>
        <v>0</v>
      </c>
      <c r="DV24" s="115">
        <f>DW23</f>
        <v>0</v>
      </c>
      <c r="EE24" s="115">
        <f>EI20</f>
        <v>0</v>
      </c>
      <c r="EF24" s="115">
        <f>EI21</f>
        <v>0</v>
      </c>
      <c r="EG24" s="115">
        <f>EI22</f>
        <v>0</v>
      </c>
      <c r="EH24" s="115">
        <f>EI23</f>
        <v>0</v>
      </c>
      <c r="EW24" s="63"/>
      <c r="EX24" s="63"/>
      <c r="EY24" s="63"/>
      <c r="EZ24" s="63"/>
      <c r="FA24" s="63"/>
      <c r="FB24" s="63"/>
      <c r="FC24" s="63"/>
      <c r="FD24" s="63"/>
      <c r="FE24" s="63"/>
      <c r="FF24" s="63"/>
      <c r="FG24" s="63"/>
      <c r="FH24" s="63"/>
      <c r="FI24" s="63"/>
      <c r="FJ24" s="63"/>
      <c r="FK24" s="63"/>
      <c r="FL24" s="63"/>
      <c r="FM24" s="63"/>
      <c r="FN24" s="63"/>
      <c r="FO24" s="97"/>
      <c r="FP24" s="98"/>
      <c r="FQ24" s="191"/>
      <c r="FR24" s="89" t="str">
        <f>Y65</f>
        <v>W50</v>
      </c>
      <c r="FS24" s="90"/>
      <c r="FT24" s="91"/>
      <c r="FU24" s="92"/>
    </row>
    <row r="25" spans="1:177">
      <c r="A25" s="83">
        <v>16</v>
      </c>
      <c r="B25" s="84" t="str">
        <f t="shared" si="27"/>
        <v>Do</v>
      </c>
      <c r="C25" s="85" t="str">
        <f t="shared" si="28"/>
        <v>Jun 20, 2024</v>
      </c>
      <c r="D25" s="86">
        <f t="shared" si="29"/>
        <v>0.625</v>
      </c>
      <c r="E25" s="87" t="str">
        <f>BD23</f>
        <v>Slovenië</v>
      </c>
      <c r="F25" s="73"/>
      <c r="G25" s="74"/>
      <c r="H25" s="88" t="str">
        <f>BD22</f>
        <v>Servië</v>
      </c>
      <c r="I25" s="186" t="str">
        <f>INDEX(T,103,lang)</f>
        <v>München</v>
      </c>
      <c r="J25" s="186"/>
      <c r="K25" s="186"/>
      <c r="L25" s="60"/>
      <c r="M25" s="60"/>
      <c r="W25" s="115">
        <f>DATE(2024,6,21)+TIME(2,0,0)+gmt_delta</f>
        <v>45464.625</v>
      </c>
      <c r="X25" s="117" t="str">
        <f t="shared" si="0"/>
        <v/>
      </c>
      <c r="Y25" s="117" t="str">
        <f t="shared" si="1"/>
        <v/>
      </c>
      <c r="Z25" s="116">
        <f t="shared" si="2"/>
        <v>0</v>
      </c>
      <c r="AA25" s="115">
        <f t="shared" si="3"/>
        <v>0</v>
      </c>
      <c r="AB25" s="115">
        <f t="shared" si="4"/>
        <v>0</v>
      </c>
      <c r="AC25" s="115">
        <f t="shared" si="5"/>
        <v>5</v>
      </c>
      <c r="AD25" s="115">
        <f t="shared" si="6"/>
        <v>4</v>
      </c>
      <c r="AE25" s="115">
        <f t="shared" si="7"/>
        <v>2</v>
      </c>
      <c r="AF25" s="115" t="str">
        <f t="shared" si="8"/>
        <v>542</v>
      </c>
      <c r="AG25" s="115">
        <f t="shared" si="9"/>
        <v>0</v>
      </c>
      <c r="AH25" s="115">
        <f t="shared" si="10"/>
        <v>0</v>
      </c>
      <c r="AI25" s="115">
        <f t="shared" si="11"/>
        <v>0</v>
      </c>
      <c r="AJ25" s="115" t="str">
        <f t="shared" si="12"/>
        <v>524</v>
      </c>
      <c r="AK25" s="115">
        <f t="shared" si="13"/>
        <v>0</v>
      </c>
      <c r="AL25" s="115">
        <f t="shared" si="14"/>
        <v>0</v>
      </c>
      <c r="AM25" s="115">
        <f t="shared" si="15"/>
        <v>0</v>
      </c>
      <c r="AO25" s="115" t="str">
        <f t="shared" si="16"/>
        <v>542</v>
      </c>
      <c r="AP25" s="115">
        <f t="shared" si="17"/>
        <v>0</v>
      </c>
      <c r="AQ25" s="115">
        <f t="shared" si="18"/>
        <v>0</v>
      </c>
      <c r="AR25" s="115">
        <f t="shared" si="19"/>
        <v>0</v>
      </c>
      <c r="AS25" s="115" t="str">
        <f t="shared" si="20"/>
        <v>524</v>
      </c>
      <c r="AT25" s="115">
        <f t="shared" si="21"/>
        <v>0</v>
      </c>
      <c r="AU25" s="115">
        <f t="shared" si="22"/>
        <v>0</v>
      </c>
      <c r="AV25" s="115">
        <f t="shared" si="23"/>
        <v>0</v>
      </c>
      <c r="AX25" s="115" t="str">
        <f t="shared" si="24"/>
        <v>542</v>
      </c>
      <c r="AY25" s="115">
        <v>0</v>
      </c>
      <c r="AZ25" s="115" t="str">
        <f t="shared" si="25"/>
        <v>524</v>
      </c>
      <c r="BA25" s="115">
        <v>0</v>
      </c>
      <c r="BJ25" s="115">
        <f>MIN(BJ20:BJ23)</f>
        <v>0</v>
      </c>
      <c r="BK25" s="115">
        <f>MIN(BK20:BK23)</f>
        <v>0</v>
      </c>
      <c r="BY25" s="116" t="str">
        <f>BD33</f>
        <v>Oekraïne</v>
      </c>
      <c r="BZ25" s="116">
        <v>5</v>
      </c>
      <c r="CA25" s="116">
        <v>2</v>
      </c>
      <c r="EV25" s="111" t="str">
        <f>VLOOKUP(EV26,$Z$46:$AC$53,2,0)</f>
        <v>Jun 30, 2024   18:00</v>
      </c>
      <c r="EW25" s="63"/>
      <c r="EX25" s="63"/>
      <c r="EY25" s="63"/>
      <c r="EZ25" s="67" t="str">
        <f>INDEX(T,110,lang)</f>
        <v>Gelsenkirchen</v>
      </c>
      <c r="FA25" s="63"/>
      <c r="FB25" s="63"/>
      <c r="FC25" s="63"/>
      <c r="FD25" s="63"/>
      <c r="FE25" s="63"/>
      <c r="FF25" s="63"/>
      <c r="FG25" s="63"/>
      <c r="FH25" s="63"/>
      <c r="FI25" s="63"/>
      <c r="FJ25" s="63"/>
      <c r="FK25" s="63"/>
      <c r="FL25" s="63"/>
      <c r="FM25" s="63"/>
      <c r="FN25" s="63"/>
      <c r="FO25" s="97"/>
      <c r="FP25" s="63"/>
      <c r="FQ25" s="63"/>
      <c r="FR25" s="63"/>
      <c r="FS25" s="63"/>
      <c r="FT25" s="63"/>
      <c r="FU25" s="63"/>
    </row>
    <row r="26" spans="1:177">
      <c r="A26" s="83">
        <v>17</v>
      </c>
      <c r="B26" s="84" t="str">
        <f t="shared" si="27"/>
        <v>Do</v>
      </c>
      <c r="C26" s="85" t="str">
        <f t="shared" si="28"/>
        <v>Jun 20, 2024</v>
      </c>
      <c r="D26" s="86">
        <f t="shared" si="29"/>
        <v>0.75</v>
      </c>
      <c r="E26" s="87" t="str">
        <f>BD21</f>
        <v>Denemarken</v>
      </c>
      <c r="F26" s="73"/>
      <c r="G26" s="74"/>
      <c r="H26" s="88" t="str">
        <f>BD20</f>
        <v>Engeland</v>
      </c>
      <c r="I26" s="186" t="str">
        <f>INDEX(T,106,lang)</f>
        <v>Frankfurt</v>
      </c>
      <c r="J26" s="186"/>
      <c r="K26" s="186"/>
      <c r="L26" s="60"/>
      <c r="M26" s="60"/>
      <c r="O26" s="61" t="str">
        <f>INDEX(T,9,lang) &amp; " " &amp; "D"</f>
        <v>Groep D</v>
      </c>
      <c r="P26" s="62" t="str">
        <f>INDEX(T,10,lang)</f>
        <v>WG</v>
      </c>
      <c r="Q26" s="62" t="str">
        <f>INDEX(T,11,lang)</f>
        <v>W</v>
      </c>
      <c r="R26" s="62" t="str">
        <f>INDEX(T,12,lang)</f>
        <v>G</v>
      </c>
      <c r="S26" s="62" t="str">
        <f>INDEX(T,13,lang)</f>
        <v>V</v>
      </c>
      <c r="T26" s="62" t="str">
        <f>INDEX(T,14,lang)</f>
        <v>DV-DT</v>
      </c>
      <c r="U26" s="62" t="str">
        <f>INDEX(T,15,lang)</f>
        <v>PNT</v>
      </c>
      <c r="W26" s="115">
        <f>DATE(2024,6,21)+TIME(5,0,0)+gmt_delta</f>
        <v>45464.75</v>
      </c>
      <c r="X26" s="117" t="str">
        <f t="shared" si="0"/>
        <v/>
      </c>
      <c r="Y26" s="117" t="str">
        <f t="shared" si="1"/>
        <v/>
      </c>
      <c r="Z26" s="116">
        <f t="shared" si="2"/>
        <v>0</v>
      </c>
      <c r="AA26" s="115">
        <f t="shared" si="3"/>
        <v>0</v>
      </c>
      <c r="AB26" s="115">
        <f t="shared" si="4"/>
        <v>0</v>
      </c>
      <c r="AC26" s="115">
        <f t="shared" si="5"/>
        <v>4</v>
      </c>
      <c r="AD26" s="115">
        <f t="shared" si="6"/>
        <v>4</v>
      </c>
      <c r="AE26" s="115">
        <f t="shared" si="7"/>
        <v>3</v>
      </c>
      <c r="AF26" s="115" t="str">
        <f t="shared" si="8"/>
        <v>443</v>
      </c>
      <c r="AG26" s="115">
        <f t="shared" si="9"/>
        <v>0</v>
      </c>
      <c r="AH26" s="115">
        <f t="shared" si="10"/>
        <v>0</v>
      </c>
      <c r="AI26" s="115">
        <f t="shared" si="11"/>
        <v>0</v>
      </c>
      <c r="AJ26" s="115" t="str">
        <f t="shared" si="12"/>
        <v>434</v>
      </c>
      <c r="AK26" s="115">
        <f t="shared" si="13"/>
        <v>0</v>
      </c>
      <c r="AL26" s="115">
        <f t="shared" si="14"/>
        <v>0</v>
      </c>
      <c r="AM26" s="115">
        <f t="shared" si="15"/>
        <v>0</v>
      </c>
      <c r="AO26" s="115" t="str">
        <f t="shared" si="16"/>
        <v>443</v>
      </c>
      <c r="AP26" s="115">
        <f t="shared" si="17"/>
        <v>0</v>
      </c>
      <c r="AQ26" s="115">
        <f t="shared" si="18"/>
        <v>0</v>
      </c>
      <c r="AR26" s="115">
        <f t="shared" si="19"/>
        <v>0</v>
      </c>
      <c r="AS26" s="115" t="str">
        <f t="shared" si="20"/>
        <v>434</v>
      </c>
      <c r="AT26" s="115">
        <f t="shared" si="21"/>
        <v>0</v>
      </c>
      <c r="AU26" s="115">
        <f t="shared" si="22"/>
        <v>0</v>
      </c>
      <c r="AV26" s="115">
        <f t="shared" si="23"/>
        <v>0</v>
      </c>
      <c r="AX26" s="115" t="str">
        <f t="shared" si="24"/>
        <v>443</v>
      </c>
      <c r="AY26" s="115">
        <v>0</v>
      </c>
      <c r="AZ26" s="115" t="str">
        <f t="shared" si="25"/>
        <v>434</v>
      </c>
      <c r="BA26" s="115">
        <v>0</v>
      </c>
      <c r="BC26" s="115">
        <f>DQ26</f>
        <v>1</v>
      </c>
      <c r="BD26" s="116" t="str">
        <f>INDEX(T,62,lang)</f>
        <v>Frankrijk</v>
      </c>
      <c r="BE26" s="115">
        <f>COUNTIF($X$7:$Y$42,"=" &amp; BD26 &amp; "_win")</f>
        <v>0</v>
      </c>
      <c r="BF26" s="115">
        <f>COUNTIF($X$7:$Y$42,"=" &amp; BD26 &amp; "_draw")</f>
        <v>0</v>
      </c>
      <c r="BG26" s="115">
        <f>COUNTIF($X$7:$Y$42,"=" &amp; BD26 &amp; "_lose")</f>
        <v>0</v>
      </c>
      <c r="BH26" s="115">
        <f>SUMIF($E$10:$E$45,$BD26,$F$10:$F$45) + SUMIF($H$10:$H$45,$BD26,$G$10:$G$45)</f>
        <v>0</v>
      </c>
      <c r="BI26" s="115">
        <f>SUMIF($E$10:$E$45,$BD26,$G$10:$G$45) + SUMIF($H$10:$H$45,$BD26,$F$10:$F$45)</f>
        <v>0</v>
      </c>
      <c r="BJ26" s="115">
        <f>BM26*10000</f>
        <v>0</v>
      </c>
      <c r="BK26" s="115">
        <f>BH26-BI26</f>
        <v>0</v>
      </c>
      <c r="BL26" s="115">
        <f>(BK26-BK31)/BK30</f>
        <v>0</v>
      </c>
      <c r="BM26" s="115">
        <f>BE26*3+BF26</f>
        <v>0</v>
      </c>
      <c r="BN26" s="115">
        <f>BT26/BT30*10+BU26/BU30+BX26/BX30*0.1+BV26/BV30*0.01</f>
        <v>0</v>
      </c>
      <c r="BP26" s="115">
        <f>IF(VLOOKUP(BD26,db_fifarank,2,0)="",MIN(db_fifarank),VLOOKUP(BD26,db_fifarank,2,0))</f>
        <v>66.664000000000001</v>
      </c>
      <c r="BQ26" s="115">
        <f>0.1*((BP26-$BP$44)/$BP$46-(COUNTIF($BP$8:$BP$41,BP26)-1)/(100-ROW(BP26)))</f>
        <v>6.1168083525916156E-2</v>
      </c>
      <c r="BR26" s="116">
        <f>10000000*BM26/BM30+100000*BN26/BN30+100*BL26+10*BH26/BH30+1*BN26/BN30+BQ26</f>
        <v>6.1168083525916156E-2</v>
      </c>
      <c r="BS26" s="116" t="str">
        <f>IF(SUM(BE26:BG29)=12,O27,INDEX(T,76,lang))</f>
        <v>D1</v>
      </c>
      <c r="BT26" s="115">
        <f>SUMPRODUCT(($X$7:$X$42=BD26&amp;"_win")*($Z$7:$Z$42))+SUMPRODUCT(($Y$7:$Y$42=BD26&amp;"_win")*($Z$7:$Z$42))</f>
        <v>0</v>
      </c>
      <c r="BU26" s="115">
        <f>SUMPRODUCT(($X$7:$X$42=BD26&amp;"_draw")*($Z$7:$Z$42))+SUMPRODUCT(($Y$7:$Y$42=BD26&amp;"_draw")*($Z$7:$Z$42))</f>
        <v>0</v>
      </c>
      <c r="BV26" s="115">
        <f>SUMPRODUCT(($E$10:$E$45=BD26)*($Z$7:$Z$42)*($F$10:$F$45))+SUMPRODUCT(($H$10:$H$45=BD26)*($Z$7:$Z$42)*($G$10:$G$45))</f>
        <v>0</v>
      </c>
      <c r="BW26" s="115">
        <f>SUMPRODUCT(($E$10:$E$45=BD26)*($Z$7:$Z$42)*($G$10:$G$45))+SUMPRODUCT(($H$10:$H$45=BD26)*($Z$7:$Z$42)*($F$10:$F$45))</f>
        <v>0</v>
      </c>
      <c r="BX26" s="115">
        <f>BV26-BW26</f>
        <v>0</v>
      </c>
      <c r="BY26" s="116" t="str">
        <f>BD34</f>
        <v>Roemenië</v>
      </c>
      <c r="BZ26" s="116">
        <v>5</v>
      </c>
      <c r="CA26" s="116">
        <v>3</v>
      </c>
      <c r="CD26" s="115">
        <f>IFERROR(VLOOKUP("412",$AF$7:$AI$42,2,0),0) + IFERROR(VLOOKUP("412",$AJ$7:$AM$42,2,0),0)</f>
        <v>0</v>
      </c>
      <c r="CE26" s="115">
        <f>IFERROR(VLOOKUP("413",$AF$7:$AI$42,2,0),0) + IFERROR(VLOOKUP("413",$AJ$7:$AM$42,2,0),0)</f>
        <v>0</v>
      </c>
      <c r="CF26" s="115">
        <f>IFERROR(VLOOKUP("414",$AF$7:$AI$42,2,0),0) + IFERROR(VLOOKUP("414",$AJ$7:$AM$42,2,0),0)</f>
        <v>0</v>
      </c>
      <c r="CG26" s="116">
        <f>SUM(CC26:CF26)</f>
        <v>0</v>
      </c>
      <c r="CI26" s="115">
        <f>IFERROR(VLOOKUP("412",$AF$7:$AI$42,3,0),0) + IFERROR(VLOOKUP("412",$AJ$7:$AM$42,3,0),0)</f>
        <v>0</v>
      </c>
      <c r="CJ26" s="115">
        <f>IFERROR(VLOOKUP("413",$AF$7:$AI$42,3,0),0) + IFERROR(VLOOKUP("413",$AJ$7:$AM$42,3,0),0)</f>
        <v>0</v>
      </c>
      <c r="CK26" s="115">
        <f>IFERROR(VLOOKUP("414",$AF$7:$AI$42,3,0),0) + IFERROR(VLOOKUP("414",$AJ$7:$AM$42,3,0),0)</f>
        <v>0</v>
      </c>
      <c r="CL26" s="116">
        <f>SUM(CH26:CK26)</f>
        <v>0</v>
      </c>
      <c r="CM26" s="116">
        <f>RANK(CL26,CL26:CL29)</f>
        <v>1</v>
      </c>
      <c r="CO26" s="115">
        <f>IFERROR(VLOOKUP("412",$AF$7:$AI$42,4,0),0) + IFERROR(VLOOKUP("412",$AJ$7:$AM$42,4,0),0)</f>
        <v>0</v>
      </c>
      <c r="CP26" s="115">
        <f>IFERROR(VLOOKUP("413",$AF$7:$AI$42,4,0),0) + IFERROR(VLOOKUP("413",$AJ$7:$AM$42,4,0),0)</f>
        <v>0</v>
      </c>
      <c r="CQ26" s="115">
        <f>IFERROR(VLOOKUP("414",$AF$7:$AI$42,4,0),0) + IFERROR(VLOOKUP("414",$AJ$7:$AM$42,4,0),0)</f>
        <v>0</v>
      </c>
      <c r="CR26" s="116">
        <f>SUM(CN26:CQ26)</f>
        <v>0</v>
      </c>
      <c r="CT26" s="115">
        <f>IF(CD30=CG26,CD26,0)</f>
        <v>0</v>
      </c>
      <c r="CU26" s="115">
        <f>IF(CE30=CG26,CE26,0)</f>
        <v>0</v>
      </c>
      <c r="CV26" s="115">
        <f>IF(CF30=CG26,CF26,0)</f>
        <v>0</v>
      </c>
      <c r="CW26" s="116">
        <f>SUM(CS26:CV26)</f>
        <v>0</v>
      </c>
      <c r="CY26" s="115">
        <f>IF(CD30=CG26,CI26,0)</f>
        <v>0</v>
      </c>
      <c r="CZ26" s="115">
        <f>IF(CE30=CG26,CJ26,0)</f>
        <v>0</v>
      </c>
      <c r="DA26" s="115">
        <f>IF(CF30=CG26,CK26,0)</f>
        <v>0</v>
      </c>
      <c r="DB26" s="116">
        <f>SUM(CX26:DA26)</f>
        <v>0</v>
      </c>
      <c r="DC26" s="116">
        <f>RANK(DB26,DB26:DB29)</f>
        <v>1</v>
      </c>
      <c r="DE26" s="115">
        <f>IF(CD30=CG26,CO26,0)</f>
        <v>0</v>
      </c>
      <c r="DF26" s="115">
        <f>IF(CE30=CG26,CP26,0)</f>
        <v>0</v>
      </c>
      <c r="DG26" s="115">
        <f>IF(CF30=CG26,CQ26,0)</f>
        <v>0</v>
      </c>
      <c r="DH26" s="116">
        <f>SUM(DD26:DG26)</f>
        <v>0</v>
      </c>
      <c r="DI26" s="116">
        <f>CG26*10000+CW26*100+(5-DC26)+DH26/10</f>
        <v>4</v>
      </c>
      <c r="DJ26" s="116">
        <f>RANK(DI26,DI26:DI29)</f>
        <v>1</v>
      </c>
      <c r="DL26" s="115">
        <f>IF(DL30=DJ26,CD26,0)</f>
        <v>0</v>
      </c>
      <c r="DM26" s="115">
        <f>IF(DM30=DJ26,CE26,0)</f>
        <v>0</v>
      </c>
      <c r="DN26" s="115">
        <f>IF(DN30=DJ26,CF26,0)</f>
        <v>0</v>
      </c>
      <c r="DO26" s="116">
        <f>SUM(DK26:DN26)</f>
        <v>0</v>
      </c>
      <c r="DP26" s="116">
        <f>(5-DJ26)*10000+DO26*100+(5-CM26)+CR26/10+(5-DX26)/100+BQ26/10000</f>
        <v>40004.040006116811</v>
      </c>
      <c r="DQ26" s="116">
        <f>RANK(DP26,DP26:DP29)</f>
        <v>1</v>
      </c>
      <c r="DT26" s="115">
        <f>IFERROR(VLOOKUP("412",$AX$7:$AY$42,2,0),0) + IFERROR(VLOOKUP("412",$AZ$7:$BA$42,2,0),0)</f>
        <v>0</v>
      </c>
      <c r="DU26" s="115">
        <f>IFERROR(VLOOKUP("413",$AX$7:$AY$42,2,0),0) + IFERROR(VLOOKUP("413",$AZ$7:$BA$42,2,0),0)</f>
        <v>0</v>
      </c>
      <c r="DV26" s="115">
        <f>IFERROR(VLOOKUP("414",$AX$7:$AY$42,2,0),0) + IFERROR(VLOOKUP("414",$AZ$7:$BA$42,2,0),0)</f>
        <v>0</v>
      </c>
      <c r="DW26" s="116">
        <f>SUM(DS26:DV26)</f>
        <v>0</v>
      </c>
      <c r="DX26" s="116">
        <f>RANK(DW26,DW26:DW29)</f>
        <v>1</v>
      </c>
      <c r="DZ26" s="116" t="str">
        <f>BD26</f>
        <v>Frankrijk</v>
      </c>
      <c r="EA26" s="116">
        <f>EI26*10000+EO26*100+ET26</f>
        <v>100</v>
      </c>
      <c r="EB26" s="115">
        <f>COUNTIF(EA26:EA29,EA26)</f>
        <v>4</v>
      </c>
      <c r="EC26" s="115">
        <f>COUNTIF(CG26:CG29,CG26)</f>
        <v>4</v>
      </c>
      <c r="ED26" s="116">
        <f>IF(AND(EB26&gt;=2,EC26=2),EA26,-EA26-0.4)</f>
        <v>-100.4</v>
      </c>
      <c r="EF26" s="115">
        <f>IFERROR(VLOOKUP("412",$AO$7:$AR$42,2,0),0) + IFERROR(VLOOKUP("412",$AS$7:$AV$42,2,0),0)</f>
        <v>0</v>
      </c>
      <c r="EG26" s="115">
        <f>IFERROR(VLOOKUP("413",$AO$7:$AR$42,2,0),0) + IFERROR(VLOOKUP("413",$AS$7:$AV$42,2,0),0)</f>
        <v>0</v>
      </c>
      <c r="EH26" s="115">
        <f>IFERROR(VLOOKUP("414",$AO$7:$AR$42,2,0),0) + IFERROR(VLOOKUP("414",$AS$7:$AV$42,2,0),0)</f>
        <v>0</v>
      </c>
      <c r="EI26" s="116">
        <f>SUM(EE26:EH26)</f>
        <v>0</v>
      </c>
      <c r="EK26" s="115">
        <f>IFERROR(VLOOKUP("412",$AO$7:$AR$42,3,0),0) + IFERROR(VLOOKUP("412",$AS$7:$AV$42,3,0),0)</f>
        <v>0</v>
      </c>
      <c r="EL26" s="115">
        <f>IFERROR(VLOOKUP("413",$AO$7:$AR$42,3,0),0) + IFERROR(VLOOKUP("413",$AS$7:$AV$42,3,0),0)</f>
        <v>0</v>
      </c>
      <c r="EM26" s="115">
        <f>IFERROR(VLOOKUP("414",$AO$7:$AR$42,3,0),0) + IFERROR(VLOOKUP("414",$AS$7:$AV$42,3,0),0)</f>
        <v>0</v>
      </c>
      <c r="EN26" s="116">
        <f>SUM(EJ26:EM26)</f>
        <v>0</v>
      </c>
      <c r="EO26" s="116">
        <f>RANK(EN26,EN26:EN29)</f>
        <v>1</v>
      </c>
      <c r="EQ26" s="115">
        <f>IFERROR(VLOOKUP("412",$AO$7:$AR$42,4,0),0) + IFERROR(VLOOKUP("412",$AS$7:$AV$42,4,0),0)</f>
        <v>0</v>
      </c>
      <c r="ER26" s="115">
        <f>IFERROR(VLOOKUP("413",$AO$7:$AR$42,4,0),0) + IFERROR(VLOOKUP("413",$AS$7:$AV$42,4,0),0)</f>
        <v>0</v>
      </c>
      <c r="ES26" s="115">
        <f>IFERROR(VLOOKUP("414",$AO$7:$AR$42,4,0),0) + IFERROR(VLOOKUP("414",$AS$7:$AV$42,4,0),0)</f>
        <v>0</v>
      </c>
      <c r="ET26" s="116">
        <f>SUM(EP26:ES26)</f>
        <v>0</v>
      </c>
      <c r="EV26" s="192">
        <v>3</v>
      </c>
      <c r="EW26" s="79" t="str">
        <f>VLOOKUP(EV26,$Z$46:$AC$53,3,0)</f>
        <v>C1</v>
      </c>
      <c r="EX26" s="80"/>
      <c r="EY26" s="81"/>
      <c r="EZ26" s="82"/>
      <c r="FA26" s="63"/>
      <c r="FB26" s="63"/>
      <c r="FC26" s="63"/>
      <c r="FD26" s="63"/>
      <c r="FE26" s="63"/>
      <c r="FF26" s="63"/>
      <c r="FG26" s="63"/>
      <c r="FH26" s="63"/>
      <c r="FI26" s="63"/>
      <c r="FJ26" s="63"/>
      <c r="FK26" s="63"/>
      <c r="FL26" s="63"/>
      <c r="FM26" s="63"/>
      <c r="FN26" s="63"/>
      <c r="FO26" s="97"/>
      <c r="FP26" s="63"/>
      <c r="FQ26" s="63"/>
      <c r="FR26" s="63"/>
      <c r="FS26" s="63"/>
      <c r="FT26" s="63"/>
      <c r="FU26" s="63"/>
    </row>
    <row r="27" spans="1:177">
      <c r="A27" s="83">
        <v>18</v>
      </c>
      <c r="B27" s="84" t="str">
        <f t="shared" si="27"/>
        <v>Do</v>
      </c>
      <c r="C27" s="85" t="str">
        <f t="shared" si="28"/>
        <v>Jun 20, 2024</v>
      </c>
      <c r="D27" s="86">
        <f t="shared" si="29"/>
        <v>0.875</v>
      </c>
      <c r="E27" s="87" t="str">
        <f>BD14</f>
        <v>Spanje</v>
      </c>
      <c r="F27" s="73"/>
      <c r="G27" s="74"/>
      <c r="H27" s="88" t="str">
        <f>BD15</f>
        <v>Italië</v>
      </c>
      <c r="I27" s="186" t="str">
        <f>INDEX(T,110,lang)</f>
        <v>Gelsenkirchen</v>
      </c>
      <c r="J27" s="186"/>
      <c r="K27" s="186"/>
      <c r="L27" s="60"/>
      <c r="M27" s="60"/>
      <c r="O27" s="64" t="str">
        <f>VLOOKUP(1,BC26:BM29,2,0)</f>
        <v>Frankrijk</v>
      </c>
      <c r="P27" s="65">
        <f>Q27+R27+S27</f>
        <v>0</v>
      </c>
      <c r="Q27" s="65">
        <f>VLOOKUP(1,BC26:BM29,3,0)</f>
        <v>0</v>
      </c>
      <c r="R27" s="65">
        <f>VLOOKUP(1,BC26:BM29,4,0)</f>
        <v>0</v>
      </c>
      <c r="S27" s="65">
        <f>VLOOKUP(1,BC26:BM29,5,0)</f>
        <v>0</v>
      </c>
      <c r="T27" s="65" t="str">
        <f>VLOOKUP(1,BC26:BM29,6,0) &amp; " - " &amp; VLOOKUP(1,BC26:BM29,7,0)</f>
        <v>0 - 0</v>
      </c>
      <c r="U27" s="66">
        <f>Q27*3+R27</f>
        <v>0</v>
      </c>
      <c r="W27" s="115">
        <f>DATE(2024,6,21)+TIME(8,0,0)+gmt_delta</f>
        <v>45464.875</v>
      </c>
      <c r="X27" s="117" t="str">
        <f t="shared" si="0"/>
        <v/>
      </c>
      <c r="Y27" s="117" t="str">
        <f t="shared" si="1"/>
        <v/>
      </c>
      <c r="Z27" s="116">
        <f t="shared" si="2"/>
        <v>0</v>
      </c>
      <c r="AA27" s="115">
        <f t="shared" si="3"/>
        <v>0</v>
      </c>
      <c r="AB27" s="115">
        <f t="shared" si="4"/>
        <v>0</v>
      </c>
      <c r="AC27" s="115">
        <f t="shared" si="5"/>
        <v>4</v>
      </c>
      <c r="AD27" s="115">
        <f t="shared" si="6"/>
        <v>2</v>
      </c>
      <c r="AE27" s="115">
        <f t="shared" si="7"/>
        <v>1</v>
      </c>
      <c r="AF27" s="115" t="str">
        <f t="shared" si="8"/>
        <v>421</v>
      </c>
      <c r="AG27" s="115">
        <f t="shared" si="9"/>
        <v>0</v>
      </c>
      <c r="AH27" s="115">
        <f t="shared" si="10"/>
        <v>0</v>
      </c>
      <c r="AI27" s="115">
        <f t="shared" si="11"/>
        <v>0</v>
      </c>
      <c r="AJ27" s="115" t="str">
        <f t="shared" si="12"/>
        <v>412</v>
      </c>
      <c r="AK27" s="115">
        <f t="shared" si="13"/>
        <v>0</v>
      </c>
      <c r="AL27" s="115">
        <f t="shared" si="14"/>
        <v>0</v>
      </c>
      <c r="AM27" s="115">
        <f t="shared" si="15"/>
        <v>0</v>
      </c>
      <c r="AO27" s="115" t="str">
        <f t="shared" si="16"/>
        <v>421</v>
      </c>
      <c r="AP27" s="115">
        <f t="shared" si="17"/>
        <v>0</v>
      </c>
      <c r="AQ27" s="115">
        <f t="shared" si="18"/>
        <v>0</v>
      </c>
      <c r="AR27" s="115">
        <f t="shared" si="19"/>
        <v>0</v>
      </c>
      <c r="AS27" s="115" t="str">
        <f t="shared" si="20"/>
        <v>412</v>
      </c>
      <c r="AT27" s="115">
        <f t="shared" si="21"/>
        <v>0</v>
      </c>
      <c r="AU27" s="115">
        <f t="shared" si="22"/>
        <v>0</v>
      </c>
      <c r="AV27" s="115">
        <f t="shared" si="23"/>
        <v>0</v>
      </c>
      <c r="AX27" s="115" t="str">
        <f t="shared" si="24"/>
        <v>421</v>
      </c>
      <c r="AY27" s="115">
        <v>0</v>
      </c>
      <c r="AZ27" s="115" t="str">
        <f t="shared" si="25"/>
        <v>412</v>
      </c>
      <c r="BA27" s="115">
        <v>0</v>
      </c>
      <c r="BC27" s="115">
        <f>DQ27</f>
        <v>2</v>
      </c>
      <c r="BD27" s="116" t="str">
        <f>INDEX(T,48,lang)</f>
        <v>Nederland</v>
      </c>
      <c r="BE27" s="115">
        <f>COUNTIF($X$7:$Y$42,"=" &amp; BD27 &amp; "_win")</f>
        <v>0</v>
      </c>
      <c r="BF27" s="115">
        <f>COUNTIF($X$7:$Y$42,"=" &amp; BD27 &amp; "_draw")</f>
        <v>0</v>
      </c>
      <c r="BG27" s="115">
        <f>COUNTIF($X$7:$Y$42,"=" &amp; BD27 &amp; "_lose")</f>
        <v>0</v>
      </c>
      <c r="BH27" s="115">
        <f>SUMIF($E$10:$E$45,$BD27,$F$10:$F$45) + SUMIF($H$10:$H$45,$BD27,$G$10:$G$45)</f>
        <v>0</v>
      </c>
      <c r="BI27" s="115">
        <f>SUMIF($E$10:$E$45,$BD27,$G$10:$G$45) + SUMIF($H$10:$H$45,$BD27,$F$10:$F$45)</f>
        <v>0</v>
      </c>
      <c r="BJ27" s="115">
        <f>BM27*10000</f>
        <v>0</v>
      </c>
      <c r="BK27" s="115">
        <f>BH27-BI27</f>
        <v>0</v>
      </c>
      <c r="BL27" s="115">
        <f>(BK27-BK31)/BK30</f>
        <v>0</v>
      </c>
      <c r="BM27" s="115">
        <f>BE27*3+BF27</f>
        <v>0</v>
      </c>
      <c r="BN27" s="115">
        <f>BT27/BT30*10+BU27/BU30+BX27/BX30*0.1+BV27/BV30*0.01</f>
        <v>0</v>
      </c>
      <c r="BP27" s="115">
        <f>IF(VLOOKUP(BD27,db_fifarank,2,0)="",MIN(db_fifarank),VLOOKUP(BD27,db_fifarank,2,0))</f>
        <v>61.3</v>
      </c>
      <c r="BQ27" s="115">
        <f t="shared" ref="BQ27:BQ29" si="32">0.1*((BP27-$BP$44)/$BP$46-(COUNTIF($BP$8:$BP$41,BP27)-1)/(100-ROW(BP27)))</f>
        <v>5.5634078903928685E-2</v>
      </c>
      <c r="BR27" s="116">
        <f>10000000*BM27/BM30+100000*BN27/BN30+100*BL27+10*BH27/BH30+1*BN27/BN30+BQ27</f>
        <v>5.5634078903928685E-2</v>
      </c>
      <c r="BS27" s="116" t="str">
        <f>IF(SUM(BE26:BG29)=12,O28,INDEX(T,77,lang))</f>
        <v>D2</v>
      </c>
      <c r="BT27" s="115">
        <f>SUMPRODUCT(($X$7:$X$42=BD27&amp;"_win")*($Z$7:$Z$42))+SUMPRODUCT(($Y$7:$Y$42=BD27&amp;"_win")*($Z$7:$Z$42))</f>
        <v>0</v>
      </c>
      <c r="BU27" s="115">
        <f>SUMPRODUCT(($X$7:$X$42=BD27&amp;"_draw")*($Z$7:$Z$42))+SUMPRODUCT(($Y$7:$Y$42=BD27&amp;"_draw")*($Z$7:$Z$42))</f>
        <v>0</v>
      </c>
      <c r="BV27" s="115">
        <f>SUMPRODUCT(($E$10:$E$45=BD27)*($Z$7:$Z$42)*($F$10:$F$45))+SUMPRODUCT(($H$10:$H$45=BD27)*($Z$7:$Z$42)*($G$10:$G$45))</f>
        <v>0</v>
      </c>
      <c r="BW27" s="115">
        <f>SUMPRODUCT(($E$10:$E$45=BD27)*($Z$7:$Z$42)*($G$10:$G$45))+SUMPRODUCT(($H$10:$H$45=BD27)*($Z$7:$Z$42)*($F$10:$F$45))</f>
        <v>0</v>
      </c>
      <c r="BX27" s="115">
        <f>BV27-BW27</f>
        <v>0</v>
      </c>
      <c r="BY27" s="116" t="str">
        <f>BD35</f>
        <v>Slowakije</v>
      </c>
      <c r="BZ27" s="116">
        <v>5</v>
      </c>
      <c r="CA27" s="116">
        <v>4</v>
      </c>
      <c r="CC27" s="115">
        <f>IFERROR(VLOOKUP("421",$AF$7:$AI$42,2,0),0) + IFERROR(VLOOKUP("421",$AJ$7:$AM$42,2,0),0)</f>
        <v>0</v>
      </c>
      <c r="CE27" s="115">
        <f>IFERROR(VLOOKUP("423",$AF$7:$AI$42,2,0),0) + IFERROR(VLOOKUP("423",$AJ$7:$AM$42,2,0),0)</f>
        <v>0</v>
      </c>
      <c r="CF27" s="115">
        <f>IFERROR(VLOOKUP("424",$AF$7:$AI$42,2,0),0) + IFERROR(VLOOKUP("424",$AJ$7:$AM$42,2,0),0)</f>
        <v>0</v>
      </c>
      <c r="CG27" s="116">
        <f>SUM(CC27:CF27)</f>
        <v>0</v>
      </c>
      <c r="CH27" s="115">
        <f>IFERROR(VLOOKUP("421",$AF$7:$AI$42,3,0),0) + IFERROR(VLOOKUP("421",$AJ$7:$AM$42,3,0),0)</f>
        <v>0</v>
      </c>
      <c r="CJ27" s="115">
        <f>IFERROR(VLOOKUP("423",$AF$7:$AI$42,3,0),0) + IFERROR(VLOOKUP("423",$AJ$7:$AM$42,3,0),0)</f>
        <v>0</v>
      </c>
      <c r="CK27" s="115">
        <f>IFERROR(VLOOKUP("424",$AF$7:$AI$42,3,0),0) + IFERROR(VLOOKUP("424",$AJ$7:$AM$42,3,0),0)</f>
        <v>0</v>
      </c>
      <c r="CL27" s="116">
        <f>SUM(CH27:CK27)</f>
        <v>0</v>
      </c>
      <c r="CM27" s="116">
        <f>RANK(CL27,CL26:CL29)</f>
        <v>1</v>
      </c>
      <c r="CN27" s="115">
        <f>IFERROR(VLOOKUP("421",$AF$7:$AI$42,4,0),0) + IFERROR(VLOOKUP("421",$AJ$7:$AM$42,4,0),0)</f>
        <v>0</v>
      </c>
      <c r="CP27" s="115">
        <f>IFERROR(VLOOKUP("423",$AF$7:$AI$42,4,0),0) + IFERROR(VLOOKUP("423",$AJ$7:$AM$42,4,0),0)</f>
        <v>0</v>
      </c>
      <c r="CQ27" s="115">
        <f>IFERROR(VLOOKUP("424",$AF$7:$AI$42,4,0),0) + IFERROR(VLOOKUP("424",$AJ$7:$AM$42,4,0),0)</f>
        <v>0</v>
      </c>
      <c r="CR27" s="116">
        <f>SUM(CN27:CQ27)</f>
        <v>0</v>
      </c>
      <c r="CS27" s="115">
        <f>IF(CC30=CG27,CC27,0)</f>
        <v>0</v>
      </c>
      <c r="CU27" s="115">
        <f>IF(CE30=CG27,CE27,0)</f>
        <v>0</v>
      </c>
      <c r="CV27" s="115">
        <f>IF(CF30=CG27,CF27,0)</f>
        <v>0</v>
      </c>
      <c r="CW27" s="116">
        <f>SUM(CS27:CV27)</f>
        <v>0</v>
      </c>
      <c r="CX27" s="115">
        <f>IF(CC30=CG27,CH27,0)</f>
        <v>0</v>
      </c>
      <c r="CZ27" s="115">
        <f>IF(CE30=CG27,CJ27,0)</f>
        <v>0</v>
      </c>
      <c r="DA27" s="115">
        <f>IF(CF30=CG27,CK27,0)</f>
        <v>0</v>
      </c>
      <c r="DB27" s="116">
        <f>SUM(CX27:DA27)</f>
        <v>0</v>
      </c>
      <c r="DC27" s="116">
        <f>RANK(DB27,DB26:DB29)</f>
        <v>1</v>
      </c>
      <c r="DD27" s="115">
        <f>IF(CC30=CG27,CN27,0)</f>
        <v>0</v>
      </c>
      <c r="DF27" s="115">
        <f>IF(CE30=CG27,CP27,0)</f>
        <v>0</v>
      </c>
      <c r="DG27" s="115">
        <f>IF(CF30=CG27,CQ27,0)</f>
        <v>0</v>
      </c>
      <c r="DH27" s="116">
        <f>SUM(DD27:DG27)</f>
        <v>0</v>
      </c>
      <c r="DI27" s="116">
        <f>CG27*10000+CW27*100+(5-DC27)+DH27/10</f>
        <v>4</v>
      </c>
      <c r="DJ27" s="116">
        <f>RANK(DI27,DI26:DI29)</f>
        <v>1</v>
      </c>
      <c r="DK27" s="115">
        <f>IF(DK30=DJ27,CC27,0)</f>
        <v>0</v>
      </c>
      <c r="DM27" s="115">
        <f>IF(DM30=DJ27,CE27,0)</f>
        <v>0</v>
      </c>
      <c r="DN27" s="115">
        <f>IF(DN30=DJ27,CF27,0)</f>
        <v>0</v>
      </c>
      <c r="DO27" s="116">
        <f>SUM(DK27:DN27)</f>
        <v>0</v>
      </c>
      <c r="DP27" s="116">
        <f>(5-DJ27)*10000+DO27*100+(5-CM27)+CR27/10+(5-DX27)/100+BQ27/10000</f>
        <v>40004.040005563409</v>
      </c>
      <c r="DQ27" s="116">
        <f>RANK(DP27,DP26:DP29)</f>
        <v>2</v>
      </c>
      <c r="DS27" s="115">
        <f>IFERROR(VLOOKUP("421",$AX$7:$AY$42,2,0),0) + IFERROR(VLOOKUP("421",$AZ$7:$BA$42,2,0),0)</f>
        <v>0</v>
      </c>
      <c r="DU27" s="115">
        <f>IFERROR(VLOOKUP("423",$AX$7:$AY$42,2,0),0) + IFERROR(VLOOKUP("423",$AZ$7:$BA$42,2,0),0)</f>
        <v>0</v>
      </c>
      <c r="DV27" s="115">
        <f>IFERROR(VLOOKUP("424",$AX$7:$AY$42,2,0),0) + IFERROR(VLOOKUP("424",$AZ$7:$BA$42,2,0),0)</f>
        <v>0</v>
      </c>
      <c r="DW27" s="116">
        <f>SUM(DS27:DV27)</f>
        <v>0</v>
      </c>
      <c r="DX27" s="116">
        <f>RANK(DW27,DW26:DW29)</f>
        <v>1</v>
      </c>
      <c r="DZ27" s="116" t="str">
        <f>BD27</f>
        <v>Nederland</v>
      </c>
      <c r="EA27" s="116">
        <f>EI27*10000+EO27*100+ET27</f>
        <v>100</v>
      </c>
      <c r="EB27" s="115">
        <f>COUNTIF(EA26:EA29,EA27)</f>
        <v>4</v>
      </c>
      <c r="EC27" s="115">
        <f>COUNTIF(CG26:CG29,CG27)</f>
        <v>4</v>
      </c>
      <c r="ED27" s="116">
        <f>IF(AND(EB27&gt;=2,EC27=2),EA27,-EA27-0.3)</f>
        <v>-100.3</v>
      </c>
      <c r="EE27" s="115">
        <f>IFERROR(VLOOKUP("421",$AO$7:$AR$42,2,0),0) + IFERROR(VLOOKUP("421",$AS$7:$AV$42,2,0),0)</f>
        <v>0</v>
      </c>
      <c r="EG27" s="115">
        <f>IFERROR(VLOOKUP("423",$AO$7:$AR$42,2,0),0) + IFERROR(VLOOKUP("423",$AS$7:$AV$42,2,0),0)</f>
        <v>0</v>
      </c>
      <c r="EH27" s="115">
        <f>IFERROR(VLOOKUP("424",$AO$7:$AR$42,2,0),0) + IFERROR(VLOOKUP("424",$AS$7:$AV$42,2,0),0)</f>
        <v>0</v>
      </c>
      <c r="EI27" s="116">
        <f>SUM(EE27:EH27)</f>
        <v>0</v>
      </c>
      <c r="EJ27" s="115">
        <f>IFERROR(VLOOKUP("421",$AO$7:$AR$42,3,0),0) + IFERROR(VLOOKUP("421",$AS$7:$AV$42,3,0),0)</f>
        <v>0</v>
      </c>
      <c r="EL27" s="115">
        <f>IFERROR(VLOOKUP("423",$AO$7:$AR$42,3,0),0) + IFERROR(VLOOKUP("423",$AS$7:$AV$42,3,0),0)</f>
        <v>0</v>
      </c>
      <c r="EM27" s="115">
        <f>IFERROR(VLOOKUP("424",$AO$7:$AR$42,3,0),0) + IFERROR(VLOOKUP("424",$AS$7:$AV$42,3,0),0)</f>
        <v>0</v>
      </c>
      <c r="EN27" s="116">
        <f>SUM(EJ27:EM27)</f>
        <v>0</v>
      </c>
      <c r="EO27" s="116">
        <f>RANK(EN27,EN26:EN29)</f>
        <v>1</v>
      </c>
      <c r="EP27" s="115">
        <f>IFERROR(VLOOKUP("421",$AO$7:$AR$42,4,0),0) + IFERROR(VLOOKUP("421",$AS$7:$AV$42,4,0),0)</f>
        <v>0</v>
      </c>
      <c r="ER27" s="115">
        <f>IFERROR(VLOOKUP("423",$AO$7:$AR$42,4,0),0) + IFERROR(VLOOKUP("423",$AS$7:$AV$42,4,0),0)</f>
        <v>0</v>
      </c>
      <c r="ES27" s="115">
        <f>IFERROR(VLOOKUP("424",$AO$7:$AR$42,4,0),0) + IFERROR(VLOOKUP("424",$AS$7:$AV$42,4,0),0)</f>
        <v>0</v>
      </c>
      <c r="ET27" s="116">
        <f>SUM(EP27:ES27)</f>
        <v>0</v>
      </c>
      <c r="EV27" s="192"/>
      <c r="EW27" s="89" t="str">
        <f>VLOOKUP(EV26,$Z$46:$AC$53,4,0)</f>
        <v>3D</v>
      </c>
      <c r="EX27" s="90"/>
      <c r="EY27" s="91"/>
      <c r="EZ27" s="92"/>
      <c r="FA27" s="93"/>
      <c r="FB27" s="63"/>
      <c r="FC27" s="63" t="str">
        <f>INDEX(T,24+MONTH(W59),lang) &amp; " " &amp; DAY(W59) &amp; ", " &amp; YEAR(W59) &amp; "   " &amp; TEXT(HOUR(W59),"00") &amp; ":" &amp; TEXT(MINUTE(W59),"00")</f>
        <v>Jul 6, 2024   18:00</v>
      </c>
      <c r="FD27" s="63"/>
      <c r="FE27" s="63"/>
      <c r="FF27" s="63"/>
      <c r="FG27" s="67" t="str">
        <f>INDEX(T,111,lang)</f>
        <v>Dusseldorf</v>
      </c>
      <c r="FH27" s="63"/>
      <c r="FI27" s="63"/>
      <c r="FJ27" s="63"/>
      <c r="FK27" s="63"/>
      <c r="FL27" s="63"/>
      <c r="FM27" s="63"/>
      <c r="FN27" s="63"/>
      <c r="FO27" s="97"/>
      <c r="FP27" s="63"/>
      <c r="FQ27" s="63"/>
      <c r="FR27" s="63"/>
      <c r="FS27" s="63"/>
      <c r="FT27" s="63"/>
      <c r="FU27" s="63"/>
    </row>
    <row r="28" spans="1:177">
      <c r="A28" s="83">
        <v>19</v>
      </c>
      <c r="B28" s="84" t="str">
        <f t="shared" si="27"/>
        <v>Vr</v>
      </c>
      <c r="C28" s="85" t="str">
        <f t="shared" si="28"/>
        <v>Jun 21, 2024</v>
      </c>
      <c r="D28" s="86">
        <f t="shared" si="29"/>
        <v>0.625</v>
      </c>
      <c r="E28" s="87" t="str">
        <f>BD35</f>
        <v>Slowakije</v>
      </c>
      <c r="F28" s="73"/>
      <c r="G28" s="74"/>
      <c r="H28" s="88" t="str">
        <f>BD33</f>
        <v>Oekraïne</v>
      </c>
      <c r="I28" s="186" t="str">
        <f>INDEX(T,111,lang)</f>
        <v>Dusseldorf</v>
      </c>
      <c r="J28" s="186"/>
      <c r="K28" s="186"/>
      <c r="L28" s="60"/>
      <c r="M28" s="60"/>
      <c r="O28" s="76" t="str">
        <f>VLOOKUP(2,BC26:BM29,2,0)</f>
        <v>Nederland</v>
      </c>
      <c r="P28" s="77">
        <f>Q28+R28+S28</f>
        <v>0</v>
      </c>
      <c r="Q28" s="77">
        <f>VLOOKUP(2,BC26:BM29,3,0)</f>
        <v>0</v>
      </c>
      <c r="R28" s="77">
        <f>VLOOKUP(2,BC26:BM29,4,0)</f>
        <v>0</v>
      </c>
      <c r="S28" s="77">
        <f>VLOOKUP(2,BC26:BM29,5,0)</f>
        <v>0</v>
      </c>
      <c r="T28" s="77" t="str">
        <f>VLOOKUP(2,BC26:BM29,6,0) &amp; " - " &amp; VLOOKUP(2,BC26:BM29,7,0)</f>
        <v>0 - 0</v>
      </c>
      <c r="U28" s="78">
        <f>Q28*3+R28</f>
        <v>0</v>
      </c>
      <c r="W28" s="115">
        <f>DATE(2024,6,22)+TIME(2,0,0)+gmt_delta</f>
        <v>45465.625</v>
      </c>
      <c r="X28" s="117" t="str">
        <f t="shared" si="0"/>
        <v/>
      </c>
      <c r="Y28" s="117" t="str">
        <f t="shared" si="1"/>
        <v/>
      </c>
      <c r="Z28" s="116">
        <f t="shared" si="2"/>
        <v>0</v>
      </c>
      <c r="AA28" s="115">
        <f t="shared" si="3"/>
        <v>0</v>
      </c>
      <c r="AB28" s="115">
        <f t="shared" si="4"/>
        <v>0</v>
      </c>
      <c r="AC28" s="115">
        <f t="shared" si="5"/>
        <v>6</v>
      </c>
      <c r="AD28" s="115">
        <f t="shared" si="6"/>
        <v>4</v>
      </c>
      <c r="AE28" s="115">
        <f t="shared" si="7"/>
        <v>3</v>
      </c>
      <c r="AF28" s="115" t="str">
        <f t="shared" si="8"/>
        <v>643</v>
      </c>
      <c r="AG28" s="115">
        <f t="shared" si="9"/>
        <v>0</v>
      </c>
      <c r="AH28" s="115">
        <f t="shared" si="10"/>
        <v>0</v>
      </c>
      <c r="AI28" s="115">
        <f t="shared" si="11"/>
        <v>0</v>
      </c>
      <c r="AJ28" s="115" t="str">
        <f t="shared" si="12"/>
        <v>634</v>
      </c>
      <c r="AK28" s="115">
        <f t="shared" si="13"/>
        <v>0</v>
      </c>
      <c r="AL28" s="115">
        <f t="shared" si="14"/>
        <v>0</v>
      </c>
      <c r="AM28" s="115">
        <f t="shared" si="15"/>
        <v>0</v>
      </c>
      <c r="AO28" s="115" t="str">
        <f t="shared" si="16"/>
        <v>643</v>
      </c>
      <c r="AP28" s="115">
        <f t="shared" si="17"/>
        <v>0</v>
      </c>
      <c r="AQ28" s="115">
        <f t="shared" si="18"/>
        <v>0</v>
      </c>
      <c r="AR28" s="115">
        <f t="shared" si="19"/>
        <v>0</v>
      </c>
      <c r="AS28" s="115" t="str">
        <f t="shared" si="20"/>
        <v>634</v>
      </c>
      <c r="AT28" s="115">
        <f t="shared" si="21"/>
        <v>0</v>
      </c>
      <c r="AU28" s="115">
        <f t="shared" si="22"/>
        <v>0</v>
      </c>
      <c r="AV28" s="115">
        <f t="shared" si="23"/>
        <v>0</v>
      </c>
      <c r="AX28" s="115" t="str">
        <f t="shared" si="24"/>
        <v>643</v>
      </c>
      <c r="AY28" s="115">
        <v>0</v>
      </c>
      <c r="AZ28" s="115" t="str">
        <f t="shared" si="25"/>
        <v>634</v>
      </c>
      <c r="BA28" s="115">
        <v>0</v>
      </c>
      <c r="BC28" s="115">
        <f>DQ28</f>
        <v>3</v>
      </c>
      <c r="BD28" s="116" t="str">
        <f>INDEX(T,61,lang)</f>
        <v>Oostenrijk</v>
      </c>
      <c r="BE28" s="115">
        <f>COUNTIF($X$7:$Y$42,"=" &amp; BD28 &amp; "_win")</f>
        <v>0</v>
      </c>
      <c r="BF28" s="115">
        <f>COUNTIF($X$7:$Y$42,"=" &amp; BD28 &amp; "_draw")</f>
        <v>0</v>
      </c>
      <c r="BG28" s="115">
        <f>COUNTIF($X$7:$Y$42,"=" &amp; BD28 &amp; "_lose")</f>
        <v>0</v>
      </c>
      <c r="BH28" s="115">
        <f>SUMIF($E$10:$E$45,$BD28,$F$10:$F$45) + SUMIF($H$10:$H$45,$BD28,$G$10:$G$45)</f>
        <v>0</v>
      </c>
      <c r="BI28" s="115">
        <f>SUMIF($E$10:$E$45,$BD28,$G$10:$G$45) + SUMIF($H$10:$H$45,$BD28,$F$10:$F$45)</f>
        <v>0</v>
      </c>
      <c r="BJ28" s="115">
        <f>BM28*10000</f>
        <v>0</v>
      </c>
      <c r="BK28" s="115">
        <f>BH28-BI28</f>
        <v>0</v>
      </c>
      <c r="BL28" s="115">
        <f>(BK28-BK31)/BK30</f>
        <v>0</v>
      </c>
      <c r="BM28" s="115">
        <f>BE28*3+BF28</f>
        <v>0</v>
      </c>
      <c r="BN28" s="115">
        <f>BT28/BT30*10+BU28/BU30+BX28/BX30*0.1+BV28/BV30*0.01</f>
        <v>0</v>
      </c>
      <c r="BP28" s="115">
        <f>IF(VLOOKUP(BD28,db_fifarank,2,0)="",MIN(db_fifarank),VLOOKUP(BD28,db_fifarank,2,0))</f>
        <v>32.6</v>
      </c>
      <c r="BQ28" s="115">
        <f t="shared" si="32"/>
        <v>2.6024471772862337E-2</v>
      </c>
      <c r="BR28" s="116">
        <f>10000000*BM28/BM30+100000*BN28/BN30+100*BL28+10*BH28/BH30+1*BN28/BN30+BQ28</f>
        <v>2.6024471772862337E-2</v>
      </c>
      <c r="BS28" s="116" t="str">
        <f>IF(SUM(BE26:BG29)&gt;0,O29,"3D")</f>
        <v>3D</v>
      </c>
      <c r="BT28" s="115">
        <f>SUMPRODUCT(($X$7:$X$42=BD28&amp;"_win")*($Z$7:$Z$42))+SUMPRODUCT(($Y$7:$Y$42=BD28&amp;"_win")*($Z$7:$Z$42))</f>
        <v>0</v>
      </c>
      <c r="BU28" s="115">
        <f>SUMPRODUCT(($X$7:$X$42=BD28&amp;"_draw")*($Z$7:$Z$42))+SUMPRODUCT(($Y$7:$Y$42=BD28&amp;"_draw")*($Z$7:$Z$42))</f>
        <v>0</v>
      </c>
      <c r="BV28" s="115">
        <f>SUMPRODUCT(($E$10:$E$45=BD28)*($Z$7:$Z$42)*($F$10:$F$45))+SUMPRODUCT(($H$10:$H$45=BD28)*($Z$7:$Z$42)*($G$10:$G$45))</f>
        <v>0</v>
      </c>
      <c r="BW28" s="115">
        <f>SUMPRODUCT(($E$10:$E$45=BD28)*($Z$7:$Z$42)*($G$10:$G$45))+SUMPRODUCT(($H$10:$H$45=BD28)*($Z$7:$Z$42)*($F$10:$F$45))</f>
        <v>0</v>
      </c>
      <c r="BX28" s="115">
        <f>BV28-BW28</f>
        <v>0</v>
      </c>
      <c r="BY28" s="116" t="str">
        <f>BD38</f>
        <v>Portugal</v>
      </c>
      <c r="BZ28" s="116">
        <v>6</v>
      </c>
      <c r="CA28" s="116">
        <v>1</v>
      </c>
      <c r="CC28" s="115">
        <f>IFERROR(VLOOKUP("431",$AF$7:$AI$42,2,0),0) + IFERROR(VLOOKUP("431",$AJ$7:$AM$42,2,0),0)</f>
        <v>0</v>
      </c>
      <c r="CD28" s="115">
        <f>IFERROR(VLOOKUP("432",$AF$7:$AI$42,2,0),0) + IFERROR(VLOOKUP("432",$AJ$7:$AM$42,2,0),0)</f>
        <v>0</v>
      </c>
      <c r="CF28" s="115">
        <f>IFERROR(VLOOKUP("434",$AF$7:$AI$42,2,0),0) + IFERROR(VLOOKUP("434",$AJ$7:$AM$42,2,0),0)</f>
        <v>0</v>
      </c>
      <c r="CG28" s="116">
        <f>SUM(CC28:CF28)</f>
        <v>0</v>
      </c>
      <c r="CH28" s="115">
        <f>IFERROR(VLOOKUP("431",$AF$7:$AI$42,3,0),0) + IFERROR(VLOOKUP("431",$AJ$7:$AM$42,3,0),0)</f>
        <v>0</v>
      </c>
      <c r="CI28" s="115">
        <f>IFERROR(VLOOKUP("432",$AF$7:$AI$42,3,0),0) + IFERROR(VLOOKUP("432",$AJ$7:$AM$42,3,0),0)</f>
        <v>0</v>
      </c>
      <c r="CK28" s="115">
        <f>IFERROR(VLOOKUP("434",$AF$7:$AI$42,3,0),0) + IFERROR(VLOOKUP("434",$AJ$7:$AM$42,3,0),0)</f>
        <v>0</v>
      </c>
      <c r="CL28" s="116">
        <f>SUM(CH28:CK28)</f>
        <v>0</v>
      </c>
      <c r="CM28" s="116">
        <f>RANK(CL28,CL26:CL29)</f>
        <v>1</v>
      </c>
      <c r="CN28" s="115">
        <f>IFERROR(VLOOKUP("431",$AF$7:$AI$42,4,0),0) + IFERROR(VLOOKUP("431",$AJ$7:$AM$42,4,0),0)</f>
        <v>0</v>
      </c>
      <c r="CO28" s="115">
        <f>IFERROR(VLOOKUP("432",$AF$7:$AI$42,4,0),0) + IFERROR(VLOOKUP("432",$AJ$7:$AM$42,4,0),0)</f>
        <v>0</v>
      </c>
      <c r="CQ28" s="115">
        <f>IFERROR(VLOOKUP("434",$AF$7:$AI$42,4,0),0) + IFERROR(VLOOKUP("434",$AJ$7:$AM$42,4,0),0)</f>
        <v>0</v>
      </c>
      <c r="CR28" s="116">
        <f>SUM(CN28:CQ28)</f>
        <v>0</v>
      </c>
      <c r="CS28" s="115">
        <f>IF(CC30=CG28,CC28,0)</f>
        <v>0</v>
      </c>
      <c r="CT28" s="115">
        <f>IF(CD30=CG28,CD28,0)</f>
        <v>0</v>
      </c>
      <c r="CV28" s="115">
        <f>IF(CF30=CG28,CF28,0)</f>
        <v>0</v>
      </c>
      <c r="CW28" s="116">
        <f>SUM(CS28:CV28)</f>
        <v>0</v>
      </c>
      <c r="CX28" s="115">
        <f>IF(CC30=CG28,CH28,0)</f>
        <v>0</v>
      </c>
      <c r="CY28" s="115">
        <f>IF(CD30=CG28,CI28,0)</f>
        <v>0</v>
      </c>
      <c r="DA28" s="115">
        <f>IF(CF30=CG28,CK28,0)</f>
        <v>0</v>
      </c>
      <c r="DB28" s="116">
        <f>SUM(CX28:DA28)</f>
        <v>0</v>
      </c>
      <c r="DC28" s="116">
        <f>RANK(DB28,DB26:DB29)</f>
        <v>1</v>
      </c>
      <c r="DD28" s="115">
        <f>IF(CC30=CG28,CN28,0)</f>
        <v>0</v>
      </c>
      <c r="DE28" s="115">
        <f>IF(CD30=CG28,CO28,0)</f>
        <v>0</v>
      </c>
      <c r="DG28" s="115">
        <f>IF(CF30=CG28,CQ28,0)</f>
        <v>0</v>
      </c>
      <c r="DH28" s="116">
        <f>SUM(DD28:DG28)</f>
        <v>0</v>
      </c>
      <c r="DI28" s="116">
        <f>CG28*10000+CW28*100+(5-DC28)+DH28/10</f>
        <v>4</v>
      </c>
      <c r="DJ28" s="116">
        <f>RANK(DI28,DI26:DI29)</f>
        <v>1</v>
      </c>
      <c r="DK28" s="115">
        <f>IF(DK30=DJ28,CC28,0)</f>
        <v>0</v>
      </c>
      <c r="DL28" s="115">
        <f>IF(DL30=DJ28,CD28,0)</f>
        <v>0</v>
      </c>
      <c r="DN28" s="115">
        <f>IF(DN30=DJ28,CF28,0)</f>
        <v>0</v>
      </c>
      <c r="DO28" s="116">
        <f>SUM(DK28:DN28)</f>
        <v>0</v>
      </c>
      <c r="DP28" s="116">
        <f>(5-DJ28)*10000+DO28*100+(5-CM28)+CR28/10+(5-DX28)/100+BQ28/10000</f>
        <v>40004.040002602451</v>
      </c>
      <c r="DQ28" s="116">
        <f>RANK(DP28,DP26:DP29)</f>
        <v>3</v>
      </c>
      <c r="DS28" s="115">
        <f>IFERROR(VLOOKUP("431",$AX$7:$AY$42,2,0),0) + IFERROR(VLOOKUP("431",$AZ$7:$BA$42,2,0),0)</f>
        <v>0</v>
      </c>
      <c r="DT28" s="115">
        <f>IFERROR(VLOOKUP("432",$AX$7:$AY$42,2,0),0) + IFERROR(VLOOKUP("432",$AZ$7:$BA$42,2,0),0)</f>
        <v>0</v>
      </c>
      <c r="DV28" s="115">
        <f>IFERROR(VLOOKUP("434",$AX$7:$AY$42,2,0),0) + IFERROR(VLOOKUP("434",$AZ$7:$BA$42,2,0),0)</f>
        <v>0</v>
      </c>
      <c r="DW28" s="116">
        <f>SUM(DS28:DV28)</f>
        <v>0</v>
      </c>
      <c r="DX28" s="116">
        <f>RANK(DW28,DW26:DW29)</f>
        <v>1</v>
      </c>
      <c r="DZ28" s="116" t="str">
        <f>BD28</f>
        <v>Oostenrijk</v>
      </c>
      <c r="EA28" s="116">
        <f>EI28*10000+EO28*100+ET28</f>
        <v>100</v>
      </c>
      <c r="EB28" s="115">
        <f>COUNTIF(EA26:EA29,EA28)</f>
        <v>4</v>
      </c>
      <c r="EC28" s="115">
        <f>COUNTIF(CG26:CG29,CG28)</f>
        <v>4</v>
      </c>
      <c r="ED28" s="116">
        <f>IF(AND(EB28&gt;=2,EC28=2),EA28,-EA28-0.2)</f>
        <v>-100.2</v>
      </c>
      <c r="EE28" s="115">
        <f>IFERROR(VLOOKUP("431",$AO$7:$AR$42,2,0),0) + IFERROR(VLOOKUP("431",$AS$7:$AV$42,2,0),0)</f>
        <v>0</v>
      </c>
      <c r="EF28" s="115">
        <f>IFERROR(VLOOKUP("432",$AO$7:$AR$42,2,0),0) + IFERROR(VLOOKUP("432",$AS$7:$AV$42,2,0),0)</f>
        <v>0</v>
      </c>
      <c r="EH28" s="115">
        <f>IFERROR(VLOOKUP("434",$AO$7:$AR$42,2,0),0) + IFERROR(VLOOKUP("434",$AS$7:$AV$42,2,0),0)</f>
        <v>0</v>
      </c>
      <c r="EI28" s="116">
        <f>SUM(EE28:EH28)</f>
        <v>0</v>
      </c>
      <c r="EJ28" s="115">
        <f>IFERROR(VLOOKUP("431",$AO$7:$AR$42,3,0),0) + IFERROR(VLOOKUP("431",$AS$7:$AV$42,3,0),0)</f>
        <v>0</v>
      </c>
      <c r="EK28" s="115">
        <f>IFERROR(VLOOKUP("432",$AO$7:$AR$42,3,0),0) + IFERROR(VLOOKUP("432",$AS$7:$AV$42,3,0),0)</f>
        <v>0</v>
      </c>
      <c r="EM28" s="115">
        <f>IFERROR(VLOOKUP("434",$AO$7:$AR$42,3,0),0) + IFERROR(VLOOKUP("434",$AS$7:$AV$42,3,0),0)</f>
        <v>0</v>
      </c>
      <c r="EN28" s="116">
        <f>SUM(EJ28:EM28)</f>
        <v>0</v>
      </c>
      <c r="EO28" s="116">
        <f>RANK(EN28,EN26:EN29)</f>
        <v>1</v>
      </c>
      <c r="EP28" s="115">
        <f>IFERROR(VLOOKUP("431",$AO$7:$AR$42,4,0),0) + IFERROR(VLOOKUP("431",$AS$7:$AV$42,4,0),0)</f>
        <v>0</v>
      </c>
      <c r="EQ28" s="115">
        <f>IFERROR(VLOOKUP("432",$AO$7:$AR$42,4,0),0) + IFERROR(VLOOKUP("432",$AS$7:$AV$42,4,0),0)</f>
        <v>0</v>
      </c>
      <c r="ES28" s="115">
        <f>IFERROR(VLOOKUP("434",$AO$7:$AR$42,4,0),0) + IFERROR(VLOOKUP("434",$AS$7:$AV$42,4,0),0)</f>
        <v>0</v>
      </c>
      <c r="ET28" s="116">
        <f>SUM(EP28:ES28)</f>
        <v>0</v>
      </c>
      <c r="EV28" s="111"/>
      <c r="EW28" s="63"/>
      <c r="EX28" s="63"/>
      <c r="EY28" s="63"/>
      <c r="EZ28" s="63"/>
      <c r="FA28" s="97"/>
      <c r="FB28" s="63"/>
      <c r="FC28" s="191"/>
      <c r="FD28" s="79" t="str">
        <f>Y48</f>
        <v>W41</v>
      </c>
      <c r="FE28" s="80"/>
      <c r="FF28" s="81"/>
      <c r="FG28" s="82"/>
      <c r="FH28" s="63"/>
      <c r="FI28" s="63"/>
      <c r="FJ28" s="63"/>
      <c r="FK28" s="63"/>
      <c r="FL28" s="63"/>
      <c r="FM28" s="63"/>
      <c r="FN28" s="63"/>
      <c r="FO28" s="97"/>
      <c r="FP28" s="63"/>
      <c r="FQ28" s="63"/>
      <c r="FR28" s="63"/>
      <c r="FS28" s="63"/>
      <c r="FT28" s="63"/>
      <c r="FU28" s="63"/>
    </row>
    <row r="29" spans="1:177" ht="12.75" customHeight="1">
      <c r="A29" s="83">
        <v>20</v>
      </c>
      <c r="B29" s="84" t="str">
        <f t="shared" si="27"/>
        <v>Vr</v>
      </c>
      <c r="C29" s="85" t="str">
        <f t="shared" si="28"/>
        <v>Jun 21, 2024</v>
      </c>
      <c r="D29" s="86">
        <f t="shared" si="29"/>
        <v>0.75</v>
      </c>
      <c r="E29" s="87" t="str">
        <f>BD29</f>
        <v>Polen</v>
      </c>
      <c r="F29" s="73"/>
      <c r="G29" s="74"/>
      <c r="H29" s="88" t="str">
        <f>BD28</f>
        <v>Oostenrijk</v>
      </c>
      <c r="I29" s="186" t="str">
        <f>INDEX(T,107,lang)</f>
        <v>Berlijn</v>
      </c>
      <c r="J29" s="186"/>
      <c r="K29" s="186"/>
      <c r="L29" s="60"/>
      <c r="M29" s="60"/>
      <c r="O29" s="76" t="str">
        <f>VLOOKUP(3,BC26:BM29,2,0)</f>
        <v>Oostenrijk</v>
      </c>
      <c r="P29" s="77">
        <f>Q29+R29+S29</f>
        <v>0</v>
      </c>
      <c r="Q29" s="77">
        <f>VLOOKUP(3,BC26:BM29,3,0)</f>
        <v>0</v>
      </c>
      <c r="R29" s="77">
        <f>VLOOKUP(3,BC26:BM29,4,0)</f>
        <v>0</v>
      </c>
      <c r="S29" s="77">
        <f>VLOOKUP(3,BC26:BM29,5,0)</f>
        <v>0</v>
      </c>
      <c r="T29" s="77" t="str">
        <f>VLOOKUP(3,BC26:BM29,6,0) &amp; " - " &amp; VLOOKUP(3,BC26:BM29,7,0)</f>
        <v>0 - 0</v>
      </c>
      <c r="U29" s="78">
        <f>Q29*3+R29</f>
        <v>0</v>
      </c>
      <c r="W29" s="115">
        <f>DATE(2024,6,22)+TIME(5,0,0)+gmt_delta</f>
        <v>45465.75</v>
      </c>
      <c r="X29" s="117" t="str">
        <f t="shared" si="0"/>
        <v/>
      </c>
      <c r="Y29" s="117" t="str">
        <f t="shared" si="1"/>
        <v/>
      </c>
      <c r="Z29" s="116">
        <f t="shared" si="2"/>
        <v>0</v>
      </c>
      <c r="AA29" s="115">
        <f t="shared" si="3"/>
        <v>0</v>
      </c>
      <c r="AB29" s="115">
        <f t="shared" si="4"/>
        <v>0</v>
      </c>
      <c r="AC29" s="115">
        <f t="shared" si="5"/>
        <v>6</v>
      </c>
      <c r="AD29" s="115">
        <f t="shared" si="6"/>
        <v>2</v>
      </c>
      <c r="AE29" s="115">
        <f t="shared" si="7"/>
        <v>1</v>
      </c>
      <c r="AF29" s="115" t="str">
        <f t="shared" si="8"/>
        <v>621</v>
      </c>
      <c r="AG29" s="115">
        <f t="shared" si="9"/>
        <v>0</v>
      </c>
      <c r="AH29" s="115">
        <f t="shared" si="10"/>
        <v>0</v>
      </c>
      <c r="AI29" s="115">
        <f t="shared" si="11"/>
        <v>0</v>
      </c>
      <c r="AJ29" s="115" t="str">
        <f t="shared" si="12"/>
        <v>612</v>
      </c>
      <c r="AK29" s="115">
        <f t="shared" si="13"/>
        <v>0</v>
      </c>
      <c r="AL29" s="115">
        <f t="shared" si="14"/>
        <v>0</v>
      </c>
      <c r="AM29" s="115">
        <f t="shared" si="15"/>
        <v>0</v>
      </c>
      <c r="AO29" s="115" t="str">
        <f t="shared" si="16"/>
        <v>621</v>
      </c>
      <c r="AP29" s="115">
        <f t="shared" si="17"/>
        <v>0</v>
      </c>
      <c r="AQ29" s="115">
        <f t="shared" si="18"/>
        <v>0</v>
      </c>
      <c r="AR29" s="115">
        <f t="shared" si="19"/>
        <v>0</v>
      </c>
      <c r="AS29" s="115" t="str">
        <f t="shared" si="20"/>
        <v>612</v>
      </c>
      <c r="AT29" s="115">
        <f t="shared" si="21"/>
        <v>0</v>
      </c>
      <c r="AU29" s="115">
        <f t="shared" si="22"/>
        <v>0</v>
      </c>
      <c r="AV29" s="115">
        <f t="shared" si="23"/>
        <v>0</v>
      </c>
      <c r="AX29" s="115" t="str">
        <f t="shared" si="24"/>
        <v>621</v>
      </c>
      <c r="AY29" s="115">
        <v>0</v>
      </c>
      <c r="AZ29" s="115" t="str">
        <f t="shared" si="25"/>
        <v>612</v>
      </c>
      <c r="BA29" s="115">
        <v>0</v>
      </c>
      <c r="BC29" s="115">
        <f>DQ29</f>
        <v>4</v>
      </c>
      <c r="BD29" s="116" t="str">
        <f>INDEX(T,64,lang)</f>
        <v>Polen</v>
      </c>
      <c r="BE29" s="115">
        <f>COUNTIF($X$7:$Y$42,"=" &amp; BD29 &amp; "_win")</f>
        <v>0</v>
      </c>
      <c r="BF29" s="115">
        <f>COUNTIF($X$7:$Y$42,"=" &amp; BD29 &amp; "_draw")</f>
        <v>0</v>
      </c>
      <c r="BG29" s="115">
        <f>COUNTIF($X$7:$Y$42,"=" &amp; BD29 &amp; "_lose")</f>
        <v>0</v>
      </c>
      <c r="BH29" s="115">
        <f>SUMIF($E$10:$E$45,$BD29,$F$10:$F$45) + SUMIF($H$10:$H$45,$BD29,$G$10:$G$45)</f>
        <v>0</v>
      </c>
      <c r="BI29" s="115">
        <f>SUMIF($E$10:$E$45,$BD29,$G$10:$G$45) + SUMIF($H$10:$H$45,$BD29,$F$10:$F$45)</f>
        <v>0</v>
      </c>
      <c r="BJ29" s="115">
        <f>BM29*10000</f>
        <v>0</v>
      </c>
      <c r="BK29" s="115">
        <f>BH29-BI29</f>
        <v>0</v>
      </c>
      <c r="BL29" s="115">
        <f>(BK29-BK31)/BK30</f>
        <v>0</v>
      </c>
      <c r="BM29" s="115">
        <f>BE29*3+BF29</f>
        <v>0</v>
      </c>
      <c r="BN29" s="115">
        <f>BT29/BT30*10+BU29/BU30+BX29/BX30*0.1+BV29/BV30*0.01</f>
        <v>0</v>
      </c>
      <c r="BP29" s="115">
        <f>IF(VLOOKUP(BD29,db_fifarank,2,0)="",MIN(db_fifarank),VLOOKUP(BD29,db_fifarank,2,0))</f>
        <v>25.375</v>
      </c>
      <c r="BQ29" s="115">
        <f t="shared" si="32"/>
        <v>1.8570485308682737E-2</v>
      </c>
      <c r="BR29" s="116">
        <f>10000000*BM29/BM30+100000*BN29/BN30+100*BL29+10*BH29/BH30+1*BN29/BN30+BQ29</f>
        <v>1.8570485308682737E-2</v>
      </c>
      <c r="BT29" s="115">
        <f>SUMPRODUCT(($X$7:$X$42=BD29&amp;"_win")*($Z$7:$Z$42))+SUMPRODUCT(($Y$7:$Y$42=BD29&amp;"_win")*($Z$7:$Z$42))</f>
        <v>0</v>
      </c>
      <c r="BU29" s="115">
        <f>SUMPRODUCT(($X$7:$X$42=BD29&amp;"_draw")*($Z$7:$Z$42))+SUMPRODUCT(($Y$7:$Y$42=BD29&amp;"_draw")*($Z$7:$Z$42))</f>
        <v>0</v>
      </c>
      <c r="BV29" s="115">
        <f>SUMPRODUCT(($E$10:$E$45=BD29)*($Z$7:$Z$42)*($F$10:$F$45))+SUMPRODUCT(($H$10:$H$45=BD29)*($Z$7:$Z$42)*($G$10:$G$45))</f>
        <v>0</v>
      </c>
      <c r="BW29" s="115">
        <f>SUMPRODUCT(($E$10:$E$45=BD29)*($Z$7:$Z$42)*($G$10:$G$45))+SUMPRODUCT(($H$10:$H$45=BD29)*($Z$7:$Z$42)*($F$10:$F$45))</f>
        <v>0</v>
      </c>
      <c r="BX29" s="115">
        <f>BV29-BW29</f>
        <v>0</v>
      </c>
      <c r="BY29" s="116" t="str">
        <f>BD39</f>
        <v>Turkije</v>
      </c>
      <c r="BZ29" s="116">
        <v>6</v>
      </c>
      <c r="CA29" s="116">
        <v>2</v>
      </c>
      <c r="CC29" s="115">
        <f>IFERROR(VLOOKUP("441",$AF$7:$AI$42,2,0),0) + IFERROR(VLOOKUP("441",$AJ$7:$AM$42,2,0),0)</f>
        <v>0</v>
      </c>
      <c r="CD29" s="115">
        <f>IFERROR(VLOOKUP("442",$AF$7:$AI$42,2,0),0) + IFERROR(VLOOKUP("442",$AJ$7:$AM$42,2,0),0)</f>
        <v>0</v>
      </c>
      <c r="CE29" s="115">
        <f>IFERROR(VLOOKUP("443",$AF$7:$AI$42,2,0),0) + IFERROR(VLOOKUP("443",$AJ$7:$AM$42,2,0),0)</f>
        <v>0</v>
      </c>
      <c r="CG29" s="116">
        <f>SUM(CC29:CF29)</f>
        <v>0</v>
      </c>
      <c r="CH29" s="115">
        <f>IFERROR(VLOOKUP("441",$AF$7:$AI$42,3,0),0) + IFERROR(VLOOKUP("441",$AJ$7:$AM$42,3,0),0)</f>
        <v>0</v>
      </c>
      <c r="CI29" s="115">
        <f>IFERROR(VLOOKUP("442",$AF$7:$AI$42,3,0),0) + IFERROR(VLOOKUP("442",$AJ$7:$AM$42,3,0),0)</f>
        <v>0</v>
      </c>
      <c r="CJ29" s="115">
        <f>IFERROR(VLOOKUP("443",$AF$7:$AI$42,3,0),0) + IFERROR(VLOOKUP("443",$AJ$7:$AM$42,3,0),0)</f>
        <v>0</v>
      </c>
      <c r="CL29" s="116">
        <f>SUM(CH29:CK29)</f>
        <v>0</v>
      </c>
      <c r="CM29" s="116">
        <f>RANK(CL29,CL26:CL29)</f>
        <v>1</v>
      </c>
      <c r="CN29" s="115">
        <f>IFERROR(VLOOKUP("441",$AF$7:$AI$42,4,0),0) + IFERROR(VLOOKUP("441",$AJ$7:$AM$42,4,0),0)</f>
        <v>0</v>
      </c>
      <c r="CO29" s="115">
        <f>IFERROR(VLOOKUP("442",$AF$7:$AI$42,4,0),0) + IFERROR(VLOOKUP("442",$AJ$7:$AM$42,4,0),0)</f>
        <v>0</v>
      </c>
      <c r="CP29" s="115">
        <f>IFERROR(VLOOKUP("443",$AF$7:$AI$42,4,0),0) + IFERROR(VLOOKUP("443",$AJ$7:$AM$42,4,0),0)</f>
        <v>0</v>
      </c>
      <c r="CR29" s="116">
        <f>SUM(CN29:CQ29)</f>
        <v>0</v>
      </c>
      <c r="CS29" s="115">
        <f>IF(CC30=CG29,CC29,0)</f>
        <v>0</v>
      </c>
      <c r="CT29" s="115">
        <f>IF(CD30=CG29,CD29,0)</f>
        <v>0</v>
      </c>
      <c r="CU29" s="115">
        <f>IF(CE30=CG29,CE29,0)</f>
        <v>0</v>
      </c>
      <c r="CW29" s="116">
        <f>SUM(CS29:CV29)</f>
        <v>0</v>
      </c>
      <c r="CX29" s="115">
        <f>IF(CC30=CG29,CH29,0)</f>
        <v>0</v>
      </c>
      <c r="CY29" s="115">
        <f>IF(CD30=CG29,CI29,0)</f>
        <v>0</v>
      </c>
      <c r="CZ29" s="115">
        <f>IF(CE30=CG29,CJ29,0)</f>
        <v>0</v>
      </c>
      <c r="DB29" s="116">
        <f>SUM(CX29:DA29)</f>
        <v>0</v>
      </c>
      <c r="DC29" s="116">
        <f>RANK(DB29,DB26:DB29)</f>
        <v>1</v>
      </c>
      <c r="DD29" s="115">
        <f>IF(CC30=CG29,CN29,0)</f>
        <v>0</v>
      </c>
      <c r="DE29" s="115">
        <f>IF(CD30=CG29,CO29,0)</f>
        <v>0</v>
      </c>
      <c r="DF29" s="115">
        <f>IF(CE30=CG29,CP29,0)</f>
        <v>0</v>
      </c>
      <c r="DH29" s="116">
        <f>SUM(DD29:DG29)</f>
        <v>0</v>
      </c>
      <c r="DI29" s="116">
        <f>CG29*10000+CW29*100+(5-DC29)+DH29/10</f>
        <v>4</v>
      </c>
      <c r="DJ29" s="116">
        <f>RANK(DI29,DI26:DI29)</f>
        <v>1</v>
      </c>
      <c r="DK29" s="115">
        <f>IF(DK30=DJ29,CC29,0)</f>
        <v>0</v>
      </c>
      <c r="DL29" s="115">
        <f>IF(DL30=DJ29,CD29,0)</f>
        <v>0</v>
      </c>
      <c r="DM29" s="115">
        <f>IF(DM30=DJ29,CE29,0)</f>
        <v>0</v>
      </c>
      <c r="DO29" s="116">
        <f>SUM(DK29:DN29)</f>
        <v>0</v>
      </c>
      <c r="DP29" s="116">
        <f>(5-DJ29)*10000+DO29*100+(5-CM29)+CR29/10+(5-DX29)/100+BQ29/10000</f>
        <v>40004.040001857051</v>
      </c>
      <c r="DQ29" s="116">
        <f>RANK(DP29,DP26:DP29)</f>
        <v>4</v>
      </c>
      <c r="DS29" s="115">
        <f>IFERROR(VLOOKUP("441",$AX$7:$AY$42,2,0),0) + IFERROR(VLOOKUP("441",$AZ$7:$BA$42,2,0),0)</f>
        <v>0</v>
      </c>
      <c r="DT29" s="115">
        <f>IFERROR(VLOOKUP("442",$AX$7:$AY$42,2,0),0) + IFERROR(VLOOKUP("442",$AZ$7:$BA$42,2,0),0)</f>
        <v>0</v>
      </c>
      <c r="DU29" s="115">
        <f>IFERROR(VLOOKUP("443",$AX$7:$AY$42,2,0),0) + IFERROR(VLOOKUP("443",$AZ$7:$BA$42,2,0),0)</f>
        <v>0</v>
      </c>
      <c r="DW29" s="116">
        <f>SUM(DS29:DV29)</f>
        <v>0</v>
      </c>
      <c r="DX29" s="116">
        <f>RANK(DW29,DW26:DW29)</f>
        <v>1</v>
      </c>
      <c r="DZ29" s="116" t="str">
        <f>BD29</f>
        <v>Polen</v>
      </c>
      <c r="EA29" s="116">
        <f>EI29*10000+EO29*100+ET29</f>
        <v>100</v>
      </c>
      <c r="EB29" s="115">
        <f>COUNTIF(EA26:EA29,EA29)</f>
        <v>4</v>
      </c>
      <c r="EC29" s="115">
        <f>COUNTIF(CG26:CG29,CG29)</f>
        <v>4</v>
      </c>
      <c r="ED29" s="116">
        <f>IF(AND(EB29&gt;=2,EC29=2),EA29,-EA29-0.1)</f>
        <v>-100.1</v>
      </c>
      <c r="EE29" s="115">
        <f>IFERROR(VLOOKUP("441",$AO$7:$AR$42,2,0),0) + IFERROR(VLOOKUP("441",$AS$7:$AV$42,2,0),0)</f>
        <v>0</v>
      </c>
      <c r="EF29" s="115">
        <f>IFERROR(VLOOKUP("442",$AO$7:$AR$42,2,0),0) + IFERROR(VLOOKUP("442",$AS$7:$AV$42,2,0),0)</f>
        <v>0</v>
      </c>
      <c r="EG29" s="115">
        <f>IFERROR(VLOOKUP("443",$AO$7:$AR$42,2,0),0) + IFERROR(VLOOKUP("443",$AS$7:$AV$42,2,0),0)</f>
        <v>0</v>
      </c>
      <c r="EI29" s="116">
        <f>SUM(EE29:EH29)</f>
        <v>0</v>
      </c>
      <c r="EJ29" s="115">
        <f>IFERROR(VLOOKUP("441",$AO$7:$AR$42,3,0),0) + IFERROR(VLOOKUP("441",$AS$7:$AV$42,3,0),0)</f>
        <v>0</v>
      </c>
      <c r="EK29" s="115">
        <f>IFERROR(VLOOKUP("442",$AO$7:$AR$42,3,0),0) + IFERROR(VLOOKUP("442",$AS$7:$AV$42,3,0),0)</f>
        <v>0</v>
      </c>
      <c r="EL29" s="115">
        <f>IFERROR(VLOOKUP("443",$AO$7:$AR$42,3,0),0) + IFERROR(VLOOKUP("443",$AS$7:$AV$42,3,0),0)</f>
        <v>0</v>
      </c>
      <c r="EN29" s="116">
        <f>SUM(EJ29:EM29)</f>
        <v>0</v>
      </c>
      <c r="EO29" s="116">
        <f>RANK(EN29,EN26:EN29)</f>
        <v>1</v>
      </c>
      <c r="EP29" s="115">
        <f>IFERROR(VLOOKUP("441",$AO$7:$AR$42,4,0),0) + IFERROR(VLOOKUP("441",$AS$7:$AV$42,4,0),0)</f>
        <v>0</v>
      </c>
      <c r="EQ29" s="115">
        <f>IFERROR(VLOOKUP("442",$AO$7:$AR$42,4,0),0) + IFERROR(VLOOKUP("442",$AS$7:$AV$42,4,0),0)</f>
        <v>0</v>
      </c>
      <c r="ER29" s="115">
        <f>IFERROR(VLOOKUP("443",$AO$7:$AR$42,4,0),0) + IFERROR(VLOOKUP("443",$AS$7:$AV$42,4,0),0)</f>
        <v>0</v>
      </c>
      <c r="ET29" s="116">
        <f>SUM(EP29:ES29)</f>
        <v>0</v>
      </c>
      <c r="EV29" s="111" t="str">
        <f>VLOOKUP(EV30,$Z$46:$AC$53,2,0)</f>
        <v>Jun 29, 2024   18:00</v>
      </c>
      <c r="EW29" s="63"/>
      <c r="EX29" s="63"/>
      <c r="EY29" s="63"/>
      <c r="EZ29" s="67" t="str">
        <f>INDEX(T,107,lang)</f>
        <v>Berlijn</v>
      </c>
      <c r="FA29" s="97"/>
      <c r="FB29" s="98"/>
      <c r="FC29" s="191"/>
      <c r="FD29" s="89" t="str">
        <f>Y49</f>
        <v>W43</v>
      </c>
      <c r="FE29" s="90"/>
      <c r="FF29" s="91"/>
      <c r="FG29" s="92"/>
      <c r="FH29" s="93"/>
      <c r="FI29" s="63"/>
      <c r="FJ29" s="63"/>
      <c r="FK29" s="63"/>
      <c r="FL29" s="63"/>
      <c r="FM29" s="63"/>
      <c r="FN29" s="63"/>
      <c r="FO29" s="97"/>
      <c r="FP29" s="63"/>
      <c r="FQ29" s="63"/>
      <c r="FR29" s="63"/>
      <c r="FS29" s="63"/>
      <c r="FT29" s="63"/>
      <c r="FU29" s="63"/>
    </row>
    <row r="30" spans="1:177" ht="12.75" customHeight="1">
      <c r="A30" s="83">
        <v>21</v>
      </c>
      <c r="B30" s="84" t="str">
        <f t="shared" si="27"/>
        <v>Vr</v>
      </c>
      <c r="C30" s="85" t="str">
        <f t="shared" si="28"/>
        <v>Jun 21, 2024</v>
      </c>
      <c r="D30" s="86">
        <f t="shared" si="29"/>
        <v>0.875</v>
      </c>
      <c r="E30" s="87" t="str">
        <f>BD27</f>
        <v>Nederland</v>
      </c>
      <c r="F30" s="73"/>
      <c r="G30" s="74"/>
      <c r="H30" s="88" t="str">
        <f>BD26</f>
        <v>Frankrijk</v>
      </c>
      <c r="I30" s="186" t="str">
        <f>INDEX(T,112,lang)</f>
        <v>Leipzig</v>
      </c>
      <c r="J30" s="186"/>
      <c r="K30" s="186"/>
      <c r="L30" s="101"/>
      <c r="M30" s="101"/>
      <c r="O30" s="94" t="str">
        <f>VLOOKUP(4,BC26:BM29,2,0)</f>
        <v>Polen</v>
      </c>
      <c r="P30" s="95">
        <f>Q30+R30+S30</f>
        <v>0</v>
      </c>
      <c r="Q30" s="95">
        <f>VLOOKUP(4,BC26:BM29,3,0)</f>
        <v>0</v>
      </c>
      <c r="R30" s="95">
        <f>VLOOKUP(4,BC26:BM29,4,0)</f>
        <v>0</v>
      </c>
      <c r="S30" s="95">
        <f>VLOOKUP(4,BC26:BM29,5,0)</f>
        <v>0</v>
      </c>
      <c r="T30" s="95" t="str">
        <f>VLOOKUP(4,BC26:BM29,6,0) &amp; " - " &amp; VLOOKUP(4,BC26:BM29,7,0)</f>
        <v>0 - 0</v>
      </c>
      <c r="U30" s="96">
        <f>Q30*3+R30</f>
        <v>0</v>
      </c>
      <c r="W30" s="115">
        <f>DATE(2024,6,22)+TIME(8,0,0)+gmt_delta</f>
        <v>45465.875</v>
      </c>
      <c r="X30" s="117" t="str">
        <f t="shared" si="0"/>
        <v/>
      </c>
      <c r="Y30" s="117" t="str">
        <f t="shared" si="1"/>
        <v/>
      </c>
      <c r="Z30" s="116">
        <f t="shared" si="2"/>
        <v>0</v>
      </c>
      <c r="AA30" s="115">
        <f t="shared" si="3"/>
        <v>0</v>
      </c>
      <c r="AB30" s="115">
        <f t="shared" si="4"/>
        <v>0</v>
      </c>
      <c r="AC30" s="115">
        <f t="shared" si="5"/>
        <v>5</v>
      </c>
      <c r="AD30" s="115">
        <f t="shared" si="6"/>
        <v>1</v>
      </c>
      <c r="AE30" s="115">
        <f t="shared" si="7"/>
        <v>3</v>
      </c>
      <c r="AF30" s="115" t="str">
        <f t="shared" si="8"/>
        <v>513</v>
      </c>
      <c r="AG30" s="115">
        <f t="shared" si="9"/>
        <v>0</v>
      </c>
      <c r="AH30" s="115">
        <f t="shared" si="10"/>
        <v>0</v>
      </c>
      <c r="AI30" s="115">
        <f t="shared" si="11"/>
        <v>0</v>
      </c>
      <c r="AJ30" s="115" t="str">
        <f t="shared" si="12"/>
        <v>531</v>
      </c>
      <c r="AK30" s="115">
        <f t="shared" si="13"/>
        <v>0</v>
      </c>
      <c r="AL30" s="115">
        <f t="shared" si="14"/>
        <v>0</v>
      </c>
      <c r="AM30" s="115">
        <f t="shared" si="15"/>
        <v>0</v>
      </c>
      <c r="AO30" s="115" t="str">
        <f t="shared" si="16"/>
        <v>513</v>
      </c>
      <c r="AP30" s="115">
        <f t="shared" si="17"/>
        <v>0</v>
      </c>
      <c r="AQ30" s="115">
        <f t="shared" si="18"/>
        <v>0</v>
      </c>
      <c r="AR30" s="115">
        <f t="shared" si="19"/>
        <v>0</v>
      </c>
      <c r="AS30" s="115" t="str">
        <f t="shared" si="20"/>
        <v>531</v>
      </c>
      <c r="AT30" s="115">
        <f t="shared" si="21"/>
        <v>0</v>
      </c>
      <c r="AU30" s="115">
        <f t="shared" si="22"/>
        <v>0</v>
      </c>
      <c r="AV30" s="115">
        <f t="shared" si="23"/>
        <v>0</v>
      </c>
      <c r="AW30" s="115">
        <f>COUNT(F10:G33)</f>
        <v>0</v>
      </c>
      <c r="AX30" s="115" t="str">
        <f t="shared" si="24"/>
        <v>513</v>
      </c>
      <c r="AY30" s="115">
        <v>0</v>
      </c>
      <c r="AZ30" s="115" t="str">
        <f t="shared" si="25"/>
        <v>531</v>
      </c>
      <c r="BA30" s="115">
        <v>0</v>
      </c>
      <c r="BE30" s="115">
        <f>MAX(BE26:BE29)-MIN(BE26:BE29)+1</f>
        <v>1</v>
      </c>
      <c r="BF30" s="115">
        <f>MAX(BF26:BF29)-MIN(BF26:BF29)+1</f>
        <v>1</v>
      </c>
      <c r="BG30" s="115">
        <f>MAX(BG26:BG29)-MIN(BG26:BG29)+1</f>
        <v>1</v>
      </c>
      <c r="BH30" s="115">
        <f>MAX(BH26:BH29)-MIN(BH26:BH29)+1</f>
        <v>1</v>
      </c>
      <c r="BI30" s="115">
        <f>MAX(BI26:BI29)-MIN(BI26:BI29)+1</f>
        <v>1</v>
      </c>
      <c r="BJ30" s="115">
        <f>MAX(BJ26:BJ29)-BJ31+1</f>
        <v>1</v>
      </c>
      <c r="BK30" s="115">
        <f>MAX(BK26:BK29)-BK31+1</f>
        <v>1</v>
      </c>
      <c r="BM30" s="115">
        <f>MAX(BM26:BM29)-MIN(BM26:BM29)+1</f>
        <v>1</v>
      </c>
      <c r="BN30" s="115">
        <f>MAX(BN26:BN29)-MIN(BN26:BN29)+1</f>
        <v>1</v>
      </c>
      <c r="BT30" s="115">
        <f>MAX(BT26:BT29)-MIN(BT26:BT29)+1</f>
        <v>1</v>
      </c>
      <c r="BU30" s="115">
        <f>MAX(BU26:BU29)-MIN(BU26:BU29)+1</f>
        <v>1</v>
      </c>
      <c r="BV30" s="115">
        <f>MAX(BV26:BV29)-MIN(BV26:BV29)+1</f>
        <v>1</v>
      </c>
      <c r="BW30" s="115">
        <f>MAX(BW26:BW29)-MIN(BW26:BW29)+1</f>
        <v>1</v>
      </c>
      <c r="BX30" s="115">
        <f>MAX(BX26:BX29)-MIN(BX26:BX29)+1</f>
        <v>1</v>
      </c>
      <c r="BY30" s="116" t="str">
        <f>BD40</f>
        <v>Tsjechische Republiek</v>
      </c>
      <c r="BZ30" s="116">
        <v>6</v>
      </c>
      <c r="CA30" s="116">
        <v>3</v>
      </c>
      <c r="CC30" s="115">
        <f>CG26</f>
        <v>0</v>
      </c>
      <c r="CD30" s="115">
        <f>CG27</f>
        <v>0</v>
      </c>
      <c r="CE30" s="115">
        <f>CG28</f>
        <v>0</v>
      </c>
      <c r="CF30" s="115">
        <f>CG29</f>
        <v>0</v>
      </c>
      <c r="DK30" s="115">
        <f>DJ26</f>
        <v>1</v>
      </c>
      <c r="DL30" s="115">
        <f>DJ27</f>
        <v>1</v>
      </c>
      <c r="DM30" s="115">
        <f>DJ28</f>
        <v>1</v>
      </c>
      <c r="DN30" s="115">
        <f>DJ29</f>
        <v>1</v>
      </c>
      <c r="DO30" s="116">
        <f>SUM(DK30:DN30)</f>
        <v>4</v>
      </c>
      <c r="DS30" s="115">
        <f>DW26</f>
        <v>0</v>
      </c>
      <c r="DT30" s="115">
        <f>DW27</f>
        <v>0</v>
      </c>
      <c r="DU30" s="115">
        <f>DW28</f>
        <v>0</v>
      </c>
      <c r="DV30" s="115">
        <f>DW29</f>
        <v>0</v>
      </c>
      <c r="EE30" s="115">
        <f>EI26</f>
        <v>0</v>
      </c>
      <c r="EF30" s="115">
        <f>EI27</f>
        <v>0</v>
      </c>
      <c r="EG30" s="115">
        <f>EI28</f>
        <v>0</v>
      </c>
      <c r="EH30" s="115">
        <f>EI29</f>
        <v>0</v>
      </c>
      <c r="EV30" s="192">
        <v>1</v>
      </c>
      <c r="EW30" s="79" t="str">
        <f>VLOOKUP(EV30,$Z$46:$AC$53,3,0)</f>
        <v>A2</v>
      </c>
      <c r="EX30" s="80"/>
      <c r="EY30" s="81"/>
      <c r="EZ30" s="82"/>
      <c r="FA30" s="99"/>
      <c r="FB30" s="63"/>
      <c r="FC30" s="63"/>
      <c r="FD30" s="63"/>
      <c r="FE30" s="63"/>
      <c r="FF30" s="63"/>
      <c r="FG30" s="63"/>
      <c r="FH30" s="97"/>
      <c r="FI30" s="63"/>
      <c r="FJ30" s="63"/>
      <c r="FK30" s="63"/>
      <c r="FL30" s="63"/>
      <c r="FM30" s="63"/>
      <c r="FN30" s="63"/>
      <c r="FO30" s="97"/>
      <c r="FP30" s="63"/>
      <c r="FQ30" s="63"/>
      <c r="FR30" s="63"/>
      <c r="FS30" s="63"/>
      <c r="FT30" s="63"/>
      <c r="FU30" s="63"/>
    </row>
    <row r="31" spans="1:177" ht="12.75" customHeight="1">
      <c r="A31" s="83">
        <v>22</v>
      </c>
      <c r="B31" s="84" t="str">
        <f t="shared" si="27"/>
        <v>Za</v>
      </c>
      <c r="C31" s="85" t="str">
        <f t="shared" si="28"/>
        <v>Jun 22, 2024</v>
      </c>
      <c r="D31" s="86">
        <f t="shared" si="29"/>
        <v>0.625</v>
      </c>
      <c r="E31" s="87" t="str">
        <f>BD41</f>
        <v>Georgië</v>
      </c>
      <c r="F31" s="73"/>
      <c r="G31" s="74"/>
      <c r="H31" s="88" t="str">
        <f>BD40</f>
        <v>Tsjechische Republiek</v>
      </c>
      <c r="I31" s="186" t="str">
        <f>INDEX(T,109,lang)</f>
        <v>Hamburg</v>
      </c>
      <c r="J31" s="186"/>
      <c r="K31" s="186"/>
      <c r="L31" s="60"/>
      <c r="M31" s="60"/>
      <c r="W31" s="115">
        <f>DATE(2024,6,23)+TIME(8,0,0)+gmt_delta</f>
        <v>45466.875</v>
      </c>
      <c r="X31" s="117" t="str">
        <f t="shared" si="0"/>
        <v/>
      </c>
      <c r="Y31" s="117" t="str">
        <f t="shared" si="1"/>
        <v/>
      </c>
      <c r="Z31" s="116">
        <f t="shared" si="2"/>
        <v>0</v>
      </c>
      <c r="AA31" s="115">
        <f t="shared" si="3"/>
        <v>0</v>
      </c>
      <c r="AB31" s="115">
        <f t="shared" si="4"/>
        <v>0</v>
      </c>
      <c r="AC31" s="115">
        <f t="shared" si="5"/>
        <v>1</v>
      </c>
      <c r="AD31" s="115">
        <f t="shared" si="6"/>
        <v>3</v>
      </c>
      <c r="AE31" s="115">
        <f t="shared" si="7"/>
        <v>1</v>
      </c>
      <c r="AF31" s="115" t="str">
        <f t="shared" si="8"/>
        <v>131</v>
      </c>
      <c r="AG31" s="115">
        <f t="shared" si="9"/>
        <v>0</v>
      </c>
      <c r="AH31" s="115">
        <f t="shared" si="10"/>
        <v>0</v>
      </c>
      <c r="AI31" s="115">
        <f t="shared" si="11"/>
        <v>0</v>
      </c>
      <c r="AJ31" s="115" t="str">
        <f t="shared" si="12"/>
        <v>113</v>
      </c>
      <c r="AK31" s="115">
        <f t="shared" si="13"/>
        <v>0</v>
      </c>
      <c r="AL31" s="115">
        <f t="shared" si="14"/>
        <v>0</v>
      </c>
      <c r="AM31" s="115">
        <f t="shared" si="15"/>
        <v>0</v>
      </c>
      <c r="AO31" s="115" t="str">
        <f t="shared" ref="AO31:AO42" si="33">AF31</f>
        <v>131</v>
      </c>
      <c r="AP31" s="115">
        <v>0</v>
      </c>
      <c r="AQ31" s="115">
        <v>0</v>
      </c>
      <c r="AR31" s="115">
        <v>0</v>
      </c>
      <c r="AS31" s="115" t="str">
        <f t="shared" ref="AS31:AS42" si="34">AJ31</f>
        <v>113</v>
      </c>
      <c r="AT31" s="115">
        <v>0</v>
      </c>
      <c r="AU31" s="115">
        <v>0</v>
      </c>
      <c r="AV31" s="115">
        <v>0</v>
      </c>
      <c r="AW31" s="115">
        <f t="shared" ref="AW31:AW42" si="35">IF(VLOOKUP(E34,DZ:ED,5,0)=VLOOKUP(H34,DZ:ED,5,0),1,0)*IF($AW$30=48,1,0)*IF(OR(F34="",G34=""),0,F34=G34)</f>
        <v>0</v>
      </c>
      <c r="AX31" s="115" t="str">
        <f t="shared" si="24"/>
        <v>131</v>
      </c>
      <c r="AY31" s="115">
        <f t="shared" ref="AY31:AY42" si="36">AW31*IF(OR(F34="",G34="",L34="",M34=""),0,IF(F34=G34,L34-M34,0))</f>
        <v>0</v>
      </c>
      <c r="AZ31" s="115" t="str">
        <f t="shared" si="25"/>
        <v>113</v>
      </c>
      <c r="BA31" s="115">
        <f t="shared" ref="BA31:BA42" si="37">-AY31</f>
        <v>0</v>
      </c>
      <c r="BJ31" s="115">
        <f>MIN(BJ26:BJ29)</f>
        <v>0</v>
      </c>
      <c r="BK31" s="115">
        <f>MIN(BK26:BK29)</f>
        <v>0</v>
      </c>
      <c r="BY31" s="116" t="str">
        <f>BD41</f>
        <v>Georgië</v>
      </c>
      <c r="BZ31" s="116">
        <v>6</v>
      </c>
      <c r="CA31" s="116">
        <v>4</v>
      </c>
      <c r="EV31" s="192"/>
      <c r="EW31" s="89" t="str">
        <f>VLOOKUP(EV30,$Z$46:$AC$53,4,0)</f>
        <v>B2</v>
      </c>
      <c r="EX31" s="90"/>
      <c r="EY31" s="91"/>
      <c r="EZ31" s="92"/>
      <c r="FA31" s="63"/>
      <c r="FB31" s="63"/>
      <c r="FC31" s="63"/>
      <c r="FD31" s="63"/>
      <c r="FE31" s="63"/>
      <c r="FF31" s="63"/>
      <c r="FG31" s="63"/>
      <c r="FH31" s="97"/>
      <c r="FI31" s="63"/>
      <c r="FJ31" s="63" t="str">
        <f>INDEX(T,24+MONTH(W65),lang) &amp; " " &amp; DAY(W65) &amp; ", " &amp; YEAR(W65) &amp; "   " &amp; TEXT(HOUR(W65),"00") &amp; ":" &amp; TEXT(MINUTE(W65),"00")</f>
        <v>Jul 10, 2024   21:00</v>
      </c>
      <c r="FK31" s="63"/>
      <c r="FL31" s="63"/>
      <c r="FM31" s="63"/>
      <c r="FN31" s="67" t="str">
        <f>INDEX(T,108,lang)</f>
        <v>Dortmund</v>
      </c>
      <c r="FO31" s="97"/>
      <c r="FP31" s="63"/>
    </row>
    <row r="32" spans="1:177" ht="12.75" customHeight="1">
      <c r="A32" s="83">
        <v>23</v>
      </c>
      <c r="B32" s="84" t="str">
        <f t="shared" si="27"/>
        <v>Za</v>
      </c>
      <c r="C32" s="85" t="str">
        <f t="shared" si="28"/>
        <v>Jun 22, 2024</v>
      </c>
      <c r="D32" s="86">
        <f t="shared" si="29"/>
        <v>0.75</v>
      </c>
      <c r="E32" s="87" t="str">
        <f>BD39</f>
        <v>Turkije</v>
      </c>
      <c r="F32" s="73"/>
      <c r="G32" s="74"/>
      <c r="H32" s="88" t="str">
        <f>BD38</f>
        <v>Portugal</v>
      </c>
      <c r="I32" s="186" t="str">
        <f>INDEX(T,108,lang)</f>
        <v>Dortmund</v>
      </c>
      <c r="J32" s="186"/>
      <c r="K32" s="186"/>
      <c r="L32" s="60"/>
      <c r="M32" s="60"/>
      <c r="O32" s="61" t="str">
        <f>INDEX(T,9,lang) &amp; " " &amp; "E"</f>
        <v>Groep E</v>
      </c>
      <c r="P32" s="62" t="str">
        <f>INDEX(T,10,lang)</f>
        <v>WG</v>
      </c>
      <c r="Q32" s="62" t="str">
        <f>INDEX(T,11,lang)</f>
        <v>W</v>
      </c>
      <c r="R32" s="62" t="str">
        <f>INDEX(T,12,lang)</f>
        <v>G</v>
      </c>
      <c r="S32" s="62" t="str">
        <f>INDEX(T,13,lang)</f>
        <v>V</v>
      </c>
      <c r="T32" s="62" t="str">
        <f>INDEX(T,14,lang)</f>
        <v>DV-DT</v>
      </c>
      <c r="U32" s="62" t="str">
        <f>INDEX(T,15,lang)</f>
        <v>PNT</v>
      </c>
      <c r="W32" s="115">
        <f>DATE(2024,6,23)+TIME(8,0,0)+gmt_delta</f>
        <v>45466.875</v>
      </c>
      <c r="X32" s="117" t="str">
        <f t="shared" si="0"/>
        <v/>
      </c>
      <c r="Y32" s="117" t="str">
        <f t="shared" si="1"/>
        <v/>
      </c>
      <c r="Z32" s="116">
        <f t="shared" si="2"/>
        <v>0</v>
      </c>
      <c r="AA32" s="115">
        <f t="shared" si="3"/>
        <v>0</v>
      </c>
      <c r="AB32" s="115">
        <f t="shared" si="4"/>
        <v>0</v>
      </c>
      <c r="AC32" s="115">
        <f t="shared" si="5"/>
        <v>1</v>
      </c>
      <c r="AD32" s="115">
        <f t="shared" si="6"/>
        <v>2</v>
      </c>
      <c r="AE32" s="115">
        <f t="shared" si="7"/>
        <v>4</v>
      </c>
      <c r="AF32" s="115" t="str">
        <f t="shared" si="8"/>
        <v>124</v>
      </c>
      <c r="AG32" s="115">
        <f t="shared" si="9"/>
        <v>0</v>
      </c>
      <c r="AH32" s="115">
        <f t="shared" si="10"/>
        <v>0</v>
      </c>
      <c r="AI32" s="115">
        <f t="shared" si="11"/>
        <v>0</v>
      </c>
      <c r="AJ32" s="115" t="str">
        <f t="shared" si="12"/>
        <v>142</v>
      </c>
      <c r="AK32" s="115">
        <f t="shared" si="13"/>
        <v>0</v>
      </c>
      <c r="AL32" s="115">
        <f t="shared" si="14"/>
        <v>0</v>
      </c>
      <c r="AM32" s="115">
        <f t="shared" si="15"/>
        <v>0</v>
      </c>
      <c r="AO32" s="115" t="str">
        <f t="shared" si="33"/>
        <v>124</v>
      </c>
      <c r="AP32" s="115">
        <v>0</v>
      </c>
      <c r="AQ32" s="115">
        <v>0</v>
      </c>
      <c r="AR32" s="115">
        <v>0</v>
      </c>
      <c r="AS32" s="115" t="str">
        <f t="shared" si="34"/>
        <v>142</v>
      </c>
      <c r="AT32" s="115">
        <v>0</v>
      </c>
      <c r="AU32" s="115">
        <v>0</v>
      </c>
      <c r="AV32" s="115">
        <v>0</v>
      </c>
      <c r="AW32" s="115">
        <f t="shared" si="35"/>
        <v>0</v>
      </c>
      <c r="AX32" s="115" t="str">
        <f t="shared" si="24"/>
        <v>124</v>
      </c>
      <c r="AY32" s="115">
        <f t="shared" si="36"/>
        <v>0</v>
      </c>
      <c r="AZ32" s="115" t="str">
        <f t="shared" si="25"/>
        <v>142</v>
      </c>
      <c r="BA32" s="115">
        <f t="shared" si="37"/>
        <v>0</v>
      </c>
      <c r="BC32" s="115">
        <f>DQ32</f>
        <v>1</v>
      </c>
      <c r="BD32" s="116" t="str">
        <f>INDEX(T,67,lang)</f>
        <v>België</v>
      </c>
      <c r="BE32" s="115">
        <f>COUNTIF($X$7:$Y$42,"=" &amp; BD32 &amp; "_win")</f>
        <v>0</v>
      </c>
      <c r="BF32" s="115">
        <f>COUNTIF($X$7:$Y$42,"=" &amp; BD32 &amp; "_draw")</f>
        <v>0</v>
      </c>
      <c r="BG32" s="115">
        <f>COUNTIF($X$7:$Y$42,"=" &amp; BD32 &amp; "_lose")</f>
        <v>0</v>
      </c>
      <c r="BH32" s="115">
        <f>SUMIF($E$10:$E$45,$BD32,$F$10:$F$45) + SUMIF($H$10:$H$45,$BD32,$G$10:$G$45)</f>
        <v>0</v>
      </c>
      <c r="BI32" s="115">
        <f>SUMIF($E$10:$E$45,$BD32,$G$10:$G$45) + SUMIF($H$10:$H$45,$BD32,$F$10:$F$45)</f>
        <v>0</v>
      </c>
      <c r="BJ32" s="115">
        <f>BM32*10000</f>
        <v>0</v>
      </c>
      <c r="BK32" s="115">
        <f>BH32-BI32</f>
        <v>0</v>
      </c>
      <c r="BL32" s="115">
        <f>(BK32-BK37)/BK36</f>
        <v>0</v>
      </c>
      <c r="BM32" s="115">
        <f>BE32*3+BF32</f>
        <v>0</v>
      </c>
      <c r="BN32" s="115">
        <f>BT32/BT36*10+BU32/BU36+BX32/BX36*0.1+BV32/BV36*0.01</f>
        <v>0</v>
      </c>
      <c r="BP32" s="115">
        <f>IF(VLOOKUP(BD32,db_fifarank,2,0)="",MIN(db_fifarank),VLOOKUP(BD32,db_fifarank,2,0))</f>
        <v>48.6</v>
      </c>
      <c r="BQ32" s="115">
        <f>0.1*((BP32-$BP$44)/$BP$46-(COUNTIF($BP$8:$BP$41,BP32)-1)/(100-ROW(BP32)))</f>
        <v>4.2531569825024762E-2</v>
      </c>
      <c r="BR32" s="116">
        <f>10000000*BM32/BM36+100000*BN32/BN36+100*BL32+10*BH32/BH36+1*BN32/BN36+BQ32</f>
        <v>4.2531569825024762E-2</v>
      </c>
      <c r="BS32" s="116" t="str">
        <f>IF(SUM(BE32:BG35)=12,O33,INDEX(T,78,lang))</f>
        <v>E1</v>
      </c>
      <c r="BT32" s="115">
        <f>SUMPRODUCT(($X$7:$X$42=BD32&amp;"_win")*($Z$7:$Z$42))+SUMPRODUCT(($Y$7:$Y$42=BD32&amp;"_win")*($Z$7:$Z$42))</f>
        <v>0</v>
      </c>
      <c r="BU32" s="115">
        <f>SUMPRODUCT(($X$7:$X$42=BD32&amp;"_draw")*($Z$7:$Z$42))+SUMPRODUCT(($Y$7:$Y$42=BD32&amp;"_draw")*($Z$7:$Z$42))</f>
        <v>0</v>
      </c>
      <c r="BV32" s="115">
        <f>SUMPRODUCT(($E$10:$E$45=BD32)*($Z$7:$Z$42)*($F$10:$F$45))+SUMPRODUCT(($H$10:$H$45=BD32)*($Z$7:$Z$42)*($G$10:$G$45))</f>
        <v>0</v>
      </c>
      <c r="BW32" s="115">
        <f>SUMPRODUCT(($E$10:$E$45=BD32)*($Z$7:$Z$42)*($G$10:$G$45))+SUMPRODUCT(($H$10:$H$45=BD32)*($Z$7:$Z$42)*($F$10:$F$45))</f>
        <v>0</v>
      </c>
      <c r="BX32" s="115">
        <f>BV32-BW32</f>
        <v>0</v>
      </c>
      <c r="CD32" s="115">
        <f>IFERROR(VLOOKUP("512",$AF$7:$AI$42,2,0),0) + IFERROR(VLOOKUP("512",$AJ$7:$AM$42,2,0),0)</f>
        <v>0</v>
      </c>
      <c r="CE32" s="115">
        <f>IFERROR(VLOOKUP("513",$AF$7:$AI$42,2,0),0) + IFERROR(VLOOKUP("513",$AJ$7:$AM$42,2,0),0)</f>
        <v>0</v>
      </c>
      <c r="CF32" s="115">
        <f>IFERROR(VLOOKUP("514",$AF$7:$AI$42,2,0),0) + IFERROR(VLOOKUP("514",$AJ$7:$AM$42,2,0),0)</f>
        <v>0</v>
      </c>
      <c r="CG32" s="116">
        <f>SUM(CC32:CF32)</f>
        <v>0</v>
      </c>
      <c r="CI32" s="115">
        <f>IFERROR(VLOOKUP("512",$AF$7:$AI$42,3,0),0) + IFERROR(VLOOKUP("512",$AJ$7:$AM$42,3,0),0)</f>
        <v>0</v>
      </c>
      <c r="CJ32" s="115">
        <f>IFERROR(VLOOKUP("513",$AF$7:$AI$42,3,0),0) + IFERROR(VLOOKUP("513",$AJ$7:$AM$42,3,0),0)</f>
        <v>0</v>
      </c>
      <c r="CK32" s="115">
        <f>IFERROR(VLOOKUP("514",$AF$7:$AI$42,3,0),0) + IFERROR(VLOOKUP("514",$AJ$7:$AM$42,3,0),0)</f>
        <v>0</v>
      </c>
      <c r="CL32" s="116">
        <f>SUM(CH32:CK32)</f>
        <v>0</v>
      </c>
      <c r="CM32" s="116">
        <f>RANK(CL32,CL32:CL35)</f>
        <v>1</v>
      </c>
      <c r="CO32" s="115">
        <f>IFERROR(VLOOKUP("512",$AF$7:$AI$42,4,0),0) + IFERROR(VLOOKUP("512",$AJ$7:$AM$42,4,0),0)</f>
        <v>0</v>
      </c>
      <c r="CP32" s="115">
        <f>IFERROR(VLOOKUP("513",$AF$7:$AI$42,4,0),0) + IFERROR(VLOOKUP("513",$AJ$7:$AM$42,4,0),0)</f>
        <v>0</v>
      </c>
      <c r="CQ32" s="115">
        <f>IFERROR(VLOOKUP("514",$AF$7:$AI$42,4,0),0) + IFERROR(VLOOKUP("514",$AJ$7:$AM$42,4,0),0)</f>
        <v>0</v>
      </c>
      <c r="CR32" s="116">
        <f>SUM(CN32:CQ32)</f>
        <v>0</v>
      </c>
      <c r="CT32" s="115">
        <f>IF(CD36=CG32,CD32,0)</f>
        <v>0</v>
      </c>
      <c r="CU32" s="115">
        <f>IF(CE36=CG32,CE32,0)</f>
        <v>0</v>
      </c>
      <c r="CV32" s="115">
        <f>IF(CF36=CG32,CF32,0)</f>
        <v>0</v>
      </c>
      <c r="CW32" s="116">
        <f>SUM(CS32:CV32)</f>
        <v>0</v>
      </c>
      <c r="CY32" s="115">
        <f>IF(CD36=CG32,CI32,0)</f>
        <v>0</v>
      </c>
      <c r="CZ32" s="115">
        <f>IF(CE36=CG32,CJ32,0)</f>
        <v>0</v>
      </c>
      <c r="DA32" s="115">
        <f>IF(CF36=CG32,CK32,0)</f>
        <v>0</v>
      </c>
      <c r="DB32" s="116">
        <f>SUM(CX32:DA32)</f>
        <v>0</v>
      </c>
      <c r="DC32" s="116">
        <f>RANK(DB32,DB32:DB35)</f>
        <v>1</v>
      </c>
      <c r="DE32" s="115">
        <f>IF(CD36=CG32,CO32,0)</f>
        <v>0</v>
      </c>
      <c r="DF32" s="115">
        <f>IF(CE36=CG32,CP32,0)</f>
        <v>0</v>
      </c>
      <c r="DG32" s="115">
        <f>IF(CF36=CG32,CQ32,0)</f>
        <v>0</v>
      </c>
      <c r="DH32" s="116">
        <f>SUM(DD32:DG32)</f>
        <v>0</v>
      </c>
      <c r="DI32" s="116">
        <f>CG32*10000+CW32*100+(5-DC32)+DH32/10</f>
        <v>4</v>
      </c>
      <c r="DJ32" s="116">
        <f>RANK(DI32,DI32:DI35)</f>
        <v>1</v>
      </c>
      <c r="DL32" s="115">
        <f>IF(DL36=DJ32,CD32,0)</f>
        <v>0</v>
      </c>
      <c r="DM32" s="115">
        <f>IF(DM36=DJ32,CE32,0)</f>
        <v>0</v>
      </c>
      <c r="DN32" s="115">
        <f>IF(DN36=DJ32,CF32,0)</f>
        <v>0</v>
      </c>
      <c r="DO32" s="116">
        <f>SUM(DK32:DN32)</f>
        <v>0</v>
      </c>
      <c r="DP32" s="116">
        <f>(5-DJ32)*10000+DO32*100+(5-CM32)+CR32/10+(5-DX32)/100+BQ32/10000</f>
        <v>40004.040004253155</v>
      </c>
      <c r="DQ32" s="116">
        <f>RANK(DP32,DP32:DP35)</f>
        <v>1</v>
      </c>
      <c r="DT32" s="115">
        <f>IFERROR(VLOOKUP("512",$AX$7:$AY$42,2,0),0) + IFERROR(VLOOKUP("512",$AZ$7:$BA$42,2,0),0)</f>
        <v>0</v>
      </c>
      <c r="DU32" s="115">
        <f>IFERROR(VLOOKUP("513",$AX$7:$AY$42,2,0),0) + IFERROR(VLOOKUP("513",$AZ$7:$BA$42,2,0),0)</f>
        <v>0</v>
      </c>
      <c r="DV32" s="115">
        <f>IFERROR(VLOOKUP("514",$AX$7:$AY$42,2,0),0) + IFERROR(VLOOKUP("514",$AZ$7:$BA$42,2,0),0)</f>
        <v>0</v>
      </c>
      <c r="DW32" s="116">
        <f>SUM(DS32:DV32)</f>
        <v>0</v>
      </c>
      <c r="DX32" s="116">
        <f>RANK(DW32,DW32:DW35)</f>
        <v>1</v>
      </c>
      <c r="DZ32" s="116" t="str">
        <f>BD32</f>
        <v>België</v>
      </c>
      <c r="EA32" s="116">
        <f>EI32*10000+EO32*100+ET32</f>
        <v>100</v>
      </c>
      <c r="EB32" s="115">
        <f>COUNTIF(EA32:EA35,EA32)</f>
        <v>4</v>
      </c>
      <c r="EC32" s="115">
        <f>COUNTIF(CG32:CG35,CG32)</f>
        <v>4</v>
      </c>
      <c r="ED32" s="116">
        <f>IF(AND(EB32&gt;=2,EC32=2),EA32,-EA32-0.4)</f>
        <v>-100.4</v>
      </c>
      <c r="EF32" s="115">
        <f>IFERROR(VLOOKUP("512",$AO$7:$AR$42,2,0),0) + IFERROR(VLOOKUP("512",$AS$7:$AV$42,2,0),0)</f>
        <v>0</v>
      </c>
      <c r="EG32" s="115">
        <f>IFERROR(VLOOKUP("513",$AO$7:$AR$42,2,0),0) + IFERROR(VLOOKUP("513",$AS$7:$AV$42,2,0),0)</f>
        <v>0</v>
      </c>
      <c r="EH32" s="115">
        <f>IFERROR(VLOOKUP("514",$AO$7:$AR$42,2,0),0) + IFERROR(VLOOKUP("514",$AS$7:$AV$42,2,0),0)</f>
        <v>0</v>
      </c>
      <c r="EI32" s="116">
        <f>SUM(EE32:EH32)</f>
        <v>0</v>
      </c>
      <c r="EK32" s="115">
        <f>IFERROR(VLOOKUP("512",$AO$7:$AR$42,3,0),0) + IFERROR(VLOOKUP("512",$AS$7:$AV$42,3,0),0)</f>
        <v>0</v>
      </c>
      <c r="EL32" s="115">
        <f>IFERROR(VLOOKUP("513",$AO$7:$AR$42,3,0),0) + IFERROR(VLOOKUP("513",$AS$7:$AV$42,3,0),0)</f>
        <v>0</v>
      </c>
      <c r="EM32" s="115">
        <f>IFERROR(VLOOKUP("514",$AO$7:$AR$42,3,0),0) + IFERROR(VLOOKUP("514",$AS$7:$AV$42,3,0),0)</f>
        <v>0</v>
      </c>
      <c r="EN32" s="116">
        <f>SUM(EJ32:EM32)</f>
        <v>0</v>
      </c>
      <c r="EO32" s="116">
        <f>RANK(EN32,EN32:EN35)</f>
        <v>1</v>
      </c>
      <c r="EQ32" s="115">
        <f>IFERROR(VLOOKUP("512",$AO$7:$AR$42,4,0),0) + IFERROR(VLOOKUP("512",$AS$7:$AV$42,4,0),0)</f>
        <v>0</v>
      </c>
      <c r="ER32" s="115">
        <f>IFERROR(VLOOKUP("513",$AO$7:$AR$42,4,0),0) + IFERROR(VLOOKUP("513",$AS$7:$AV$42,4,0),0)</f>
        <v>0</v>
      </c>
      <c r="ES32" s="115">
        <f>IFERROR(VLOOKUP("514",$AO$7:$AR$42,4,0),0) + IFERROR(VLOOKUP("514",$AS$7:$AV$42,4,0),0)</f>
        <v>0</v>
      </c>
      <c r="ET32" s="116">
        <f>SUM(EP32:ES32)</f>
        <v>0</v>
      </c>
      <c r="EV32" s="111"/>
      <c r="EW32" s="63"/>
      <c r="EX32" s="63"/>
      <c r="EY32" s="63"/>
      <c r="EZ32" s="63"/>
      <c r="FA32" s="63"/>
      <c r="FB32" s="63"/>
      <c r="FC32" s="63"/>
      <c r="FD32" s="63"/>
      <c r="FE32" s="63"/>
      <c r="FF32" s="63"/>
      <c r="FG32" s="63"/>
      <c r="FH32" s="97"/>
      <c r="FI32" s="63"/>
      <c r="FJ32" s="191"/>
      <c r="FK32" s="79" t="str">
        <f>Y59</f>
        <v>W47</v>
      </c>
      <c r="FL32" s="80"/>
      <c r="FM32" s="81"/>
      <c r="FN32" s="82"/>
      <c r="FO32" s="99"/>
      <c r="FP32" s="63"/>
    </row>
    <row r="33" spans="1:177">
      <c r="A33" s="83">
        <v>24</v>
      </c>
      <c r="B33" s="84" t="str">
        <f t="shared" si="27"/>
        <v>Za</v>
      </c>
      <c r="C33" s="85" t="str">
        <f t="shared" si="28"/>
        <v>Jun 22, 2024</v>
      </c>
      <c r="D33" s="86">
        <f t="shared" si="29"/>
        <v>0.875</v>
      </c>
      <c r="E33" s="87" t="str">
        <f>BD32</f>
        <v>België</v>
      </c>
      <c r="F33" s="73"/>
      <c r="G33" s="74"/>
      <c r="H33" s="88" t="str">
        <f>BD34</f>
        <v>Roemenië</v>
      </c>
      <c r="I33" s="186" t="str">
        <f>INDEX(T,104,lang)</f>
        <v>Keulen</v>
      </c>
      <c r="J33" s="186"/>
      <c r="K33" s="186"/>
      <c r="L33" s="60"/>
      <c r="M33" s="60"/>
      <c r="O33" s="64" t="str">
        <f>VLOOKUP(1,BC32:BM35,2,0)</f>
        <v>België</v>
      </c>
      <c r="P33" s="65">
        <f>Q33+R33+S33</f>
        <v>0</v>
      </c>
      <c r="Q33" s="65">
        <f>VLOOKUP(1,BC32:BM35,3,0)</f>
        <v>0</v>
      </c>
      <c r="R33" s="65">
        <f>VLOOKUP(1,BC32:BM35,4,0)</f>
        <v>0</v>
      </c>
      <c r="S33" s="65">
        <f>VLOOKUP(1,BC32:BM35,5,0)</f>
        <v>0</v>
      </c>
      <c r="T33" s="65" t="str">
        <f>VLOOKUP(1,BC32:BM35,6,0) &amp; " - " &amp; VLOOKUP(1,BC32:BM35,7,0)</f>
        <v>0 - 0</v>
      </c>
      <c r="U33" s="66">
        <f>Q33*3+R33</f>
        <v>0</v>
      </c>
      <c r="W33" s="115">
        <f>DATE(2024,6,24)+TIME(8,0,0)+gmt_delta</f>
        <v>45467.875</v>
      </c>
      <c r="X33" s="117" t="str">
        <f t="shared" si="0"/>
        <v/>
      </c>
      <c r="Y33" s="117" t="str">
        <f t="shared" si="1"/>
        <v/>
      </c>
      <c r="Z33" s="116">
        <f t="shared" si="2"/>
        <v>0</v>
      </c>
      <c r="AA33" s="115">
        <f t="shared" si="3"/>
        <v>0</v>
      </c>
      <c r="AB33" s="115">
        <f t="shared" si="4"/>
        <v>0</v>
      </c>
      <c r="AC33" s="115">
        <f t="shared" si="5"/>
        <v>2</v>
      </c>
      <c r="AD33" s="115">
        <f t="shared" si="6"/>
        <v>4</v>
      </c>
      <c r="AE33" s="115">
        <f t="shared" si="7"/>
        <v>1</v>
      </c>
      <c r="AF33" s="115" t="str">
        <f t="shared" si="8"/>
        <v>241</v>
      </c>
      <c r="AG33" s="115">
        <f t="shared" si="9"/>
        <v>0</v>
      </c>
      <c r="AH33" s="115">
        <f t="shared" si="10"/>
        <v>0</v>
      </c>
      <c r="AI33" s="115">
        <f t="shared" si="11"/>
        <v>0</v>
      </c>
      <c r="AJ33" s="115" t="str">
        <f t="shared" si="12"/>
        <v>214</v>
      </c>
      <c r="AK33" s="115">
        <f t="shared" si="13"/>
        <v>0</v>
      </c>
      <c r="AL33" s="115">
        <f t="shared" si="14"/>
        <v>0</v>
      </c>
      <c r="AM33" s="115">
        <f t="shared" si="15"/>
        <v>0</v>
      </c>
      <c r="AO33" s="115" t="str">
        <f t="shared" si="33"/>
        <v>241</v>
      </c>
      <c r="AP33" s="115">
        <v>0</v>
      </c>
      <c r="AQ33" s="115">
        <v>0</v>
      </c>
      <c r="AR33" s="115">
        <v>0</v>
      </c>
      <c r="AS33" s="115" t="str">
        <f t="shared" si="34"/>
        <v>214</v>
      </c>
      <c r="AT33" s="115">
        <v>0</v>
      </c>
      <c r="AU33" s="115">
        <v>0</v>
      </c>
      <c r="AV33" s="115">
        <v>0</v>
      </c>
      <c r="AW33" s="115">
        <f t="shared" si="35"/>
        <v>0</v>
      </c>
      <c r="AX33" s="115" t="str">
        <f t="shared" si="24"/>
        <v>241</v>
      </c>
      <c r="AY33" s="115">
        <f t="shared" si="36"/>
        <v>0</v>
      </c>
      <c r="AZ33" s="115" t="str">
        <f t="shared" si="25"/>
        <v>214</v>
      </c>
      <c r="BA33" s="115">
        <f t="shared" si="37"/>
        <v>0</v>
      </c>
      <c r="BC33" s="115">
        <f>DQ33</f>
        <v>2</v>
      </c>
      <c r="BD33" s="116" t="str">
        <f>INDEX(T,45,lang)</f>
        <v>Oekraïne</v>
      </c>
      <c r="BE33" s="115">
        <f>COUNTIF($X$7:$Y$42,"=" &amp; BD33 &amp; "_win")</f>
        <v>0</v>
      </c>
      <c r="BF33" s="115">
        <f>COUNTIF($X$7:$Y$42,"=" &amp; BD33 &amp; "_draw")</f>
        <v>0</v>
      </c>
      <c r="BG33" s="115">
        <f>COUNTIF($X$7:$Y$42,"=" &amp; BD33 &amp; "_lose")</f>
        <v>0</v>
      </c>
      <c r="BH33" s="115">
        <f>SUMIF($E$10:$E$45,$BD33,$F$10:$F$45) + SUMIF($H$10:$H$45,$BD33,$G$10:$G$45)</f>
        <v>0</v>
      </c>
      <c r="BI33" s="115">
        <f>SUMIF($E$10:$E$45,$BD33,$G$10:$G$45) + SUMIF($H$10:$H$45,$BD33,$F$10:$F$45)</f>
        <v>0</v>
      </c>
      <c r="BJ33" s="115">
        <f>BM33*10000</f>
        <v>0</v>
      </c>
      <c r="BK33" s="115">
        <f>BH33-BI33</f>
        <v>0</v>
      </c>
      <c r="BL33" s="115">
        <f>(BK33-BK37)/BK36</f>
        <v>0</v>
      </c>
      <c r="BM33" s="115">
        <f>BE33*3+BF33</f>
        <v>0</v>
      </c>
      <c r="BN33" s="115">
        <f>BT33/BT36*10+BU33/BU36+BX33/BX36*0.1+BV33/BV36*0.01</f>
        <v>0</v>
      </c>
      <c r="BP33" s="115">
        <f>IF(VLOOKUP(BD33,db_fifarank,2,0)="",MIN(db_fifarank),VLOOKUP(BD33,db_fifarank,2,0))</f>
        <v>28</v>
      </c>
      <c r="BQ33" s="115">
        <f t="shared" ref="BQ33:BQ35" si="38">0.1*((BP33-$BP$44)/$BP$46-(COUNTIF($BP$8:$BP$41,BP33)-1)/(100-ROW(BP33)))</f>
        <v>2.1278681082865635E-2</v>
      </c>
      <c r="BR33" s="116">
        <f>10000000*BM33/BM36+100000*BN33/BN36+100*BL33+10*BH33/BH36+1*BN33/BN36+BQ33</f>
        <v>2.1278681082865635E-2</v>
      </c>
      <c r="BS33" s="116" t="str">
        <f>IF(SUM(BE32:BG35)=12,O34,INDEX(T,79,lang))</f>
        <v>E2</v>
      </c>
      <c r="BT33" s="115">
        <f>SUMPRODUCT(($X$7:$X$42=BD33&amp;"_win")*($Z$7:$Z$42))+SUMPRODUCT(($Y$7:$Y$42=BD33&amp;"_win")*($Z$7:$Z$42))</f>
        <v>0</v>
      </c>
      <c r="BU33" s="115">
        <f>SUMPRODUCT(($X$7:$X$42=BD33&amp;"_draw")*($Z$7:$Z$42))+SUMPRODUCT(($Y$7:$Y$42=BD33&amp;"_draw")*($Z$7:$Z$42))</f>
        <v>0</v>
      </c>
      <c r="BV33" s="115">
        <f>SUMPRODUCT(($E$10:$E$45=BD33)*($Z$7:$Z$42)*($F$10:$F$45))+SUMPRODUCT(($H$10:$H$45=BD33)*($Z$7:$Z$42)*($G$10:$G$45))</f>
        <v>0</v>
      </c>
      <c r="BW33" s="115">
        <f>SUMPRODUCT(($E$10:$E$45=BD33)*($Z$7:$Z$42)*($G$10:$G$45))+SUMPRODUCT(($H$10:$H$45=BD33)*($Z$7:$Z$42)*($F$10:$F$45))</f>
        <v>0</v>
      </c>
      <c r="BX33" s="115">
        <f>BV33-BW33</f>
        <v>0</v>
      </c>
      <c r="CC33" s="115">
        <f>IFERROR(VLOOKUP("521",$AF$7:$AI$42,2,0),0) + IFERROR(VLOOKUP("521",$AJ$7:$AM$42,2,0),0)</f>
        <v>0</v>
      </c>
      <c r="CE33" s="115">
        <f>IFERROR(VLOOKUP("523",$AF$7:$AI$42,2,0),0) + IFERROR(VLOOKUP("523",$AJ$7:$AM$42,2,0),0)</f>
        <v>0</v>
      </c>
      <c r="CF33" s="115">
        <f>IFERROR(VLOOKUP("524",$AF$7:$AI$42,2,0),0) + IFERROR(VLOOKUP("524",$AJ$7:$AM$42,2,0),0)</f>
        <v>0</v>
      </c>
      <c r="CG33" s="116">
        <f>SUM(CC33:CF33)</f>
        <v>0</v>
      </c>
      <c r="CH33" s="115">
        <f>IFERROR(VLOOKUP("521",$AF$7:$AI$42,3,0),0) + IFERROR(VLOOKUP("521",$AJ$7:$AM$42,3,0),0)</f>
        <v>0</v>
      </c>
      <c r="CJ33" s="115">
        <f>IFERROR(VLOOKUP("523",$AF$7:$AI$42,3,0),0) + IFERROR(VLOOKUP("523",$AJ$7:$AM$42,3,0),0)</f>
        <v>0</v>
      </c>
      <c r="CK33" s="115">
        <f>IFERROR(VLOOKUP("524",$AF$7:$AI$42,3,0),0) + IFERROR(VLOOKUP("524",$AJ$7:$AM$42,3,0),0)</f>
        <v>0</v>
      </c>
      <c r="CL33" s="116">
        <f>SUM(CH33:CK33)</f>
        <v>0</v>
      </c>
      <c r="CM33" s="116">
        <f>RANK(CL33,CL32:CL35)</f>
        <v>1</v>
      </c>
      <c r="CN33" s="115">
        <f>IFERROR(VLOOKUP("521",$AF$7:$AI$42,4,0),0) + IFERROR(VLOOKUP("521",$AJ$7:$AM$42,4,0),0)</f>
        <v>0</v>
      </c>
      <c r="CP33" s="115">
        <f>IFERROR(VLOOKUP("523",$AF$7:$AI$42,4,0),0) + IFERROR(VLOOKUP("523",$AJ$7:$AM$42,4,0),0)</f>
        <v>0</v>
      </c>
      <c r="CQ33" s="115">
        <f>IFERROR(VLOOKUP("524",$AF$7:$AI$42,4,0),0) + IFERROR(VLOOKUP("524",$AJ$7:$AM$42,4,0),0)</f>
        <v>0</v>
      </c>
      <c r="CR33" s="116">
        <f>SUM(CN33:CQ33)</f>
        <v>0</v>
      </c>
      <c r="CS33" s="115">
        <f>IF(CC36=CG33,CC33,0)</f>
        <v>0</v>
      </c>
      <c r="CU33" s="115">
        <f>IF(CE36=CG33,CE33,0)</f>
        <v>0</v>
      </c>
      <c r="CV33" s="115">
        <f>IF(CF36=CG33,CF33,0)</f>
        <v>0</v>
      </c>
      <c r="CW33" s="116">
        <f>SUM(CS33:CV33)</f>
        <v>0</v>
      </c>
      <c r="CX33" s="115">
        <f>IF(CC36=CG33,CH33,0)</f>
        <v>0</v>
      </c>
      <c r="CZ33" s="115">
        <f>IF(CE36=CG33,CJ33,0)</f>
        <v>0</v>
      </c>
      <c r="DA33" s="115">
        <f>IF(CF36=CG33,CK33,0)</f>
        <v>0</v>
      </c>
      <c r="DB33" s="116">
        <f>SUM(CX33:DA33)</f>
        <v>0</v>
      </c>
      <c r="DC33" s="116">
        <f>RANK(DB33,DB32:DB35)</f>
        <v>1</v>
      </c>
      <c r="DD33" s="115">
        <f>IF(CC36=CG33,CN33,0)</f>
        <v>0</v>
      </c>
      <c r="DF33" s="115">
        <f>IF(CE36=CG33,CP33,0)</f>
        <v>0</v>
      </c>
      <c r="DG33" s="115">
        <f>IF(CF36=CG33,CQ33,0)</f>
        <v>0</v>
      </c>
      <c r="DH33" s="116">
        <f>SUM(DD33:DG33)</f>
        <v>0</v>
      </c>
      <c r="DI33" s="116">
        <f>CG33*10000+CW33*100+(5-DC33)+DH33/10</f>
        <v>4</v>
      </c>
      <c r="DJ33" s="116">
        <f>RANK(DI33,DI32:DI35)</f>
        <v>1</v>
      </c>
      <c r="DK33" s="115">
        <f>IF(DK36=DJ33,CC33,0)</f>
        <v>0</v>
      </c>
      <c r="DM33" s="115">
        <f>IF(DM36=DJ33,CE33,0)</f>
        <v>0</v>
      </c>
      <c r="DN33" s="115">
        <f>IF(DN36=DJ33,CF33,0)</f>
        <v>0</v>
      </c>
      <c r="DO33" s="116">
        <f>SUM(DK33:DN33)</f>
        <v>0</v>
      </c>
      <c r="DP33" s="116">
        <f>(5-DJ33)*10000+DO33*100+(5-CM33)+CR33/10+(5-DX33)/100+BQ33/10000</f>
        <v>40004.040002127869</v>
      </c>
      <c r="DQ33" s="116">
        <f>RANK(DP33,DP32:DP35)</f>
        <v>2</v>
      </c>
      <c r="DS33" s="115">
        <f>IFERROR(VLOOKUP("521",$AX$7:$AY$42,2,0),0) + IFERROR(VLOOKUP("521",$AZ$7:$BA$42,2,0),0)</f>
        <v>0</v>
      </c>
      <c r="DU33" s="115">
        <f>IFERROR(VLOOKUP("523",$AX$7:$AY$42,2,0),0) + IFERROR(VLOOKUP("523",$AZ$7:$BA$42,2,0),0)</f>
        <v>0</v>
      </c>
      <c r="DV33" s="115">
        <f>IFERROR(VLOOKUP("524",$AX$7:$AY$42,2,0),0) + IFERROR(VLOOKUP("524",$AZ$7:$BA$42,2,0),0)</f>
        <v>0</v>
      </c>
      <c r="DW33" s="116">
        <f>SUM(DS33:DV33)</f>
        <v>0</v>
      </c>
      <c r="DX33" s="116">
        <f>RANK(DW33,DW32:DW35)</f>
        <v>1</v>
      </c>
      <c r="DZ33" s="116" t="str">
        <f>BD33</f>
        <v>Oekraïne</v>
      </c>
      <c r="EA33" s="116">
        <f>EI33*10000+EO33*100+ET33</f>
        <v>100</v>
      </c>
      <c r="EB33" s="115">
        <f>COUNTIF(EA32:EA35,EA33)</f>
        <v>4</v>
      </c>
      <c r="EC33" s="115">
        <f>COUNTIF(CG32:CG35,CG33)</f>
        <v>4</v>
      </c>
      <c r="ED33" s="116">
        <f>IF(AND(EB33&gt;=2,EC33=2),EA33,-EA33-0.3)</f>
        <v>-100.3</v>
      </c>
      <c r="EE33" s="115">
        <f>IFERROR(VLOOKUP("521",$AO$7:$AR$42,2,0),0) + IFERROR(VLOOKUP("521",$AS$7:$AV$42,2,0),0)</f>
        <v>0</v>
      </c>
      <c r="EG33" s="115">
        <f>IFERROR(VLOOKUP("523",$AO$7:$AR$42,2,0),0) + IFERROR(VLOOKUP("523",$AS$7:$AV$42,2,0),0)</f>
        <v>0</v>
      </c>
      <c r="EH33" s="115">
        <f>IFERROR(VLOOKUP("524",$AO$7:$AR$42,2,0),0) + IFERROR(VLOOKUP("524",$AS$7:$AV$42,2,0),0)</f>
        <v>0</v>
      </c>
      <c r="EI33" s="116">
        <f>SUM(EE33:EH33)</f>
        <v>0</v>
      </c>
      <c r="EJ33" s="115">
        <f>IFERROR(VLOOKUP("521",$AO$7:$AR$42,3,0),0) + IFERROR(VLOOKUP("521",$AS$7:$AV$42,3,0),0)</f>
        <v>0</v>
      </c>
      <c r="EL33" s="115">
        <f>IFERROR(VLOOKUP("523",$AO$7:$AR$42,3,0),0) + IFERROR(VLOOKUP("523",$AS$7:$AV$42,3,0),0)</f>
        <v>0</v>
      </c>
      <c r="EM33" s="115">
        <f>IFERROR(VLOOKUP("524",$AO$7:$AR$42,3,0),0) + IFERROR(VLOOKUP("524",$AS$7:$AV$42,3,0),0)</f>
        <v>0</v>
      </c>
      <c r="EN33" s="116">
        <f>SUM(EJ33:EM33)</f>
        <v>0</v>
      </c>
      <c r="EO33" s="116">
        <f>RANK(EN33,EN32:EN35)</f>
        <v>1</v>
      </c>
      <c r="EP33" s="115">
        <f>IFERROR(VLOOKUP("521",$AO$7:$AR$42,4,0),0) + IFERROR(VLOOKUP("521",$AS$7:$AV$42,4,0),0)</f>
        <v>0</v>
      </c>
      <c r="ER33" s="115">
        <f>IFERROR(VLOOKUP("523",$AO$7:$AR$42,4,0),0) + IFERROR(VLOOKUP("523",$AS$7:$AV$42,4,0),0)</f>
        <v>0</v>
      </c>
      <c r="ES33" s="115">
        <f>IFERROR(VLOOKUP("524",$AO$7:$AR$42,4,0),0) + IFERROR(VLOOKUP("524",$AS$7:$AV$42,4,0),0)</f>
        <v>0</v>
      </c>
      <c r="ET33" s="116">
        <f>SUM(EP33:ES33)</f>
        <v>0</v>
      </c>
      <c r="EV33" s="111" t="str">
        <f>VLOOKUP(EV34,$Z$46:$AC$53,2,0)</f>
        <v>Jul 2, 2024   18:00</v>
      </c>
      <c r="EW33" s="63"/>
      <c r="EX33" s="63"/>
      <c r="EY33" s="63"/>
      <c r="EZ33" s="67" t="str">
        <f>INDEX(T,103,lang)</f>
        <v>München</v>
      </c>
      <c r="FA33" s="63"/>
      <c r="FB33" s="63"/>
      <c r="FC33" s="63"/>
      <c r="FD33" s="63"/>
      <c r="FE33" s="63"/>
      <c r="FF33" s="63"/>
      <c r="FG33" s="63"/>
      <c r="FH33" s="97"/>
      <c r="FI33" s="98"/>
      <c r="FJ33" s="191"/>
      <c r="FK33" s="89" t="str">
        <f>Y60</f>
        <v>W48</v>
      </c>
      <c r="FL33" s="90"/>
      <c r="FM33" s="91"/>
      <c r="FN33" s="92"/>
      <c r="FO33" s="63"/>
      <c r="FP33" s="63"/>
    </row>
    <row r="34" spans="1:177">
      <c r="A34" s="83">
        <v>25</v>
      </c>
      <c r="B34" s="84" t="str">
        <f t="shared" si="27"/>
        <v>Zo</v>
      </c>
      <c r="C34" s="85" t="str">
        <f t="shared" si="28"/>
        <v>Jun 23, 2024</v>
      </c>
      <c r="D34" s="86">
        <f t="shared" si="29"/>
        <v>0.875</v>
      </c>
      <c r="E34" s="87" t="str">
        <f>BD10</f>
        <v>Zwitserland</v>
      </c>
      <c r="F34" s="73"/>
      <c r="G34" s="74"/>
      <c r="H34" s="88" t="str">
        <f>BD8</f>
        <v>Duitsland</v>
      </c>
      <c r="I34" s="186" t="str">
        <f>INDEX(T,106,lang)</f>
        <v>Frankfurt</v>
      </c>
      <c r="J34" s="186"/>
      <c r="K34" s="186"/>
      <c r="L34" s="80"/>
      <c r="M34" s="82"/>
      <c r="O34" s="76" t="str">
        <f>VLOOKUP(2,BC32:BM35,2,0)</f>
        <v>Oekraïne</v>
      </c>
      <c r="P34" s="77">
        <f>Q34+R34+S34</f>
        <v>0</v>
      </c>
      <c r="Q34" s="77">
        <f>VLOOKUP(2,BC32:BM35,3,0)</f>
        <v>0</v>
      </c>
      <c r="R34" s="77">
        <f>VLOOKUP(2,BC32:BM35,4,0)</f>
        <v>0</v>
      </c>
      <c r="S34" s="77">
        <f>VLOOKUP(2,BC32:BM35,5,0)</f>
        <v>0</v>
      </c>
      <c r="T34" s="77" t="str">
        <f>VLOOKUP(2,BC32:BM35,6,0) &amp; " - " &amp; VLOOKUP(2,BC32:BM35,7,0)</f>
        <v>0 - 0</v>
      </c>
      <c r="U34" s="78">
        <f>Q34*3+R34</f>
        <v>0</v>
      </c>
      <c r="W34" s="115">
        <f>DATE(2024,6,24)+TIME(8,0,0)+gmt_delta</f>
        <v>45467.875</v>
      </c>
      <c r="X34" s="117" t="str">
        <f t="shared" si="0"/>
        <v/>
      </c>
      <c r="Y34" s="117" t="str">
        <f t="shared" si="1"/>
        <v/>
      </c>
      <c r="Z34" s="116">
        <f t="shared" si="2"/>
        <v>0</v>
      </c>
      <c r="AA34" s="115">
        <f t="shared" si="3"/>
        <v>0</v>
      </c>
      <c r="AB34" s="115">
        <f t="shared" si="4"/>
        <v>0</v>
      </c>
      <c r="AC34" s="115">
        <f t="shared" si="5"/>
        <v>2</v>
      </c>
      <c r="AD34" s="115">
        <f t="shared" si="6"/>
        <v>3</v>
      </c>
      <c r="AE34" s="115">
        <f t="shared" si="7"/>
        <v>2</v>
      </c>
      <c r="AF34" s="115" t="str">
        <f t="shared" si="8"/>
        <v>232</v>
      </c>
      <c r="AG34" s="115">
        <f t="shared" si="9"/>
        <v>0</v>
      </c>
      <c r="AH34" s="115">
        <f t="shared" si="10"/>
        <v>0</v>
      </c>
      <c r="AI34" s="115">
        <f t="shared" si="11"/>
        <v>0</v>
      </c>
      <c r="AJ34" s="115" t="str">
        <f t="shared" si="12"/>
        <v>223</v>
      </c>
      <c r="AK34" s="115">
        <f t="shared" si="13"/>
        <v>0</v>
      </c>
      <c r="AL34" s="115">
        <f t="shared" si="14"/>
        <v>0</v>
      </c>
      <c r="AM34" s="115">
        <f t="shared" si="15"/>
        <v>0</v>
      </c>
      <c r="AO34" s="115" t="str">
        <f t="shared" si="33"/>
        <v>232</v>
      </c>
      <c r="AP34" s="115">
        <v>0</v>
      </c>
      <c r="AQ34" s="115">
        <v>0</v>
      </c>
      <c r="AR34" s="115">
        <v>0</v>
      </c>
      <c r="AS34" s="115" t="str">
        <f t="shared" si="34"/>
        <v>223</v>
      </c>
      <c r="AT34" s="115">
        <v>0</v>
      </c>
      <c r="AU34" s="115">
        <v>0</v>
      </c>
      <c r="AV34" s="115">
        <v>0</v>
      </c>
      <c r="AW34" s="115">
        <f t="shared" si="35"/>
        <v>0</v>
      </c>
      <c r="AX34" s="115" t="str">
        <f t="shared" si="24"/>
        <v>232</v>
      </c>
      <c r="AY34" s="115">
        <f t="shared" si="36"/>
        <v>0</v>
      </c>
      <c r="AZ34" s="115" t="str">
        <f t="shared" si="25"/>
        <v>223</v>
      </c>
      <c r="BA34" s="115">
        <f t="shared" si="37"/>
        <v>0</v>
      </c>
      <c r="BC34" s="115">
        <f>DQ34</f>
        <v>3</v>
      </c>
      <c r="BD34" s="116" t="str">
        <f>INDEX(T,39,lang)</f>
        <v>Roemenië</v>
      </c>
      <c r="BE34" s="115">
        <f>COUNTIF($X$7:$Y$42,"=" &amp; BD34 &amp; "_win")</f>
        <v>0</v>
      </c>
      <c r="BF34" s="115">
        <f>COUNTIF($X$7:$Y$42,"=" &amp; BD34 &amp; "_draw")</f>
        <v>0</v>
      </c>
      <c r="BG34" s="115">
        <f>COUNTIF($X$7:$Y$42,"=" &amp; BD34 &amp; "_lose")</f>
        <v>0</v>
      </c>
      <c r="BH34" s="115">
        <f>SUMIF($E$10:$E$45,$BD34,$F$10:$F$45) + SUMIF($H$10:$H$45,$BD34,$G$10:$G$45)</f>
        <v>0</v>
      </c>
      <c r="BI34" s="115">
        <f>SUMIF($E$10:$E$45,$BD34,$G$10:$G$45) + SUMIF($H$10:$H$45,$BD34,$F$10:$F$45)</f>
        <v>0</v>
      </c>
      <c r="BJ34" s="115">
        <f>BM34*10000</f>
        <v>0</v>
      </c>
      <c r="BK34" s="115">
        <f>BH34-BI34</f>
        <v>0</v>
      </c>
      <c r="BL34" s="115">
        <f>(BK34-BK37)/BK36</f>
        <v>0</v>
      </c>
      <c r="BM34" s="115">
        <f>BE34*3+BF34</f>
        <v>0</v>
      </c>
      <c r="BN34" s="115">
        <f>BT34/BT36*10+BU34/BU36+BX34/BX36*0.1+BV34/BV36*0.01</f>
        <v>0</v>
      </c>
      <c r="BP34" s="115">
        <f>IF(VLOOKUP(BD34,db_fifarank,2,0)="",MIN(db_fifarank),VLOOKUP(BD34,db_fifarank,2,0))</f>
        <v>21.375</v>
      </c>
      <c r="BQ34" s="115">
        <f t="shared" si="38"/>
        <v>1.4443710795642127E-2</v>
      </c>
      <c r="BR34" s="116">
        <f>10000000*BM34/BM36+100000*BN34/BN36+100*BL34+10*BH34/BH36+1*BN34/BN36+BQ34</f>
        <v>1.4443710795642127E-2</v>
      </c>
      <c r="BS34" s="116" t="str">
        <f>IF(SUM(BE32:BG35)&gt;0,O35,"3E")</f>
        <v>3E</v>
      </c>
      <c r="BT34" s="115">
        <f>SUMPRODUCT(($X$7:$X$42=BD34&amp;"_win")*($Z$7:$Z$42))+SUMPRODUCT(($Y$7:$Y$42=BD34&amp;"_win")*($Z$7:$Z$42))</f>
        <v>0</v>
      </c>
      <c r="BU34" s="115">
        <f>SUMPRODUCT(($X$7:$X$42=BD34&amp;"_draw")*($Z$7:$Z$42))+SUMPRODUCT(($Y$7:$Y$42=BD34&amp;"_draw")*($Z$7:$Z$42))</f>
        <v>0</v>
      </c>
      <c r="BV34" s="115">
        <f>SUMPRODUCT(($E$10:$E$45=BD34)*($Z$7:$Z$42)*($F$10:$F$45))+SUMPRODUCT(($H$10:$H$45=BD34)*($Z$7:$Z$42)*($G$10:$G$45))</f>
        <v>0</v>
      </c>
      <c r="BW34" s="115">
        <f>SUMPRODUCT(($E$10:$E$45=BD34)*($Z$7:$Z$42)*($G$10:$G$45))+SUMPRODUCT(($H$10:$H$45=BD34)*($Z$7:$Z$42)*($F$10:$F$45))</f>
        <v>0</v>
      </c>
      <c r="BX34" s="115">
        <f>BV34-BW34</f>
        <v>0</v>
      </c>
      <c r="CC34" s="115">
        <f>IFERROR(VLOOKUP("531",$AF$7:$AI$42,2,0),0) + IFERROR(VLOOKUP("531",$AJ$7:$AM$42,2,0),0)</f>
        <v>0</v>
      </c>
      <c r="CD34" s="115">
        <f>IFERROR(VLOOKUP("532",$AF$7:$AI$42,2,0),0) + IFERROR(VLOOKUP("532",$AJ$7:$AM$42,2,0),0)</f>
        <v>0</v>
      </c>
      <c r="CF34" s="115">
        <f>IFERROR(VLOOKUP("534",$AF$7:$AI$42,2,0),0) + IFERROR(VLOOKUP("534",$AJ$7:$AM$42,2,0),0)</f>
        <v>0</v>
      </c>
      <c r="CG34" s="116">
        <f>SUM(CC34:CF34)</f>
        <v>0</v>
      </c>
      <c r="CH34" s="115">
        <f>IFERROR(VLOOKUP("531",$AF$7:$AI$42,3,0),0) + IFERROR(VLOOKUP("531",$AJ$7:$AM$42,3,0),0)</f>
        <v>0</v>
      </c>
      <c r="CI34" s="115">
        <f>IFERROR(VLOOKUP("532",$AF$7:$AI$42,3,0),0) + IFERROR(VLOOKUP("532",$AJ$7:$AM$42,3,0),0)</f>
        <v>0</v>
      </c>
      <c r="CK34" s="115">
        <f>IFERROR(VLOOKUP("534",$AF$7:$AI$42,3,0),0) + IFERROR(VLOOKUP("534",$AJ$7:$AM$42,3,0),0)</f>
        <v>0</v>
      </c>
      <c r="CL34" s="116">
        <f>SUM(CH34:CK34)</f>
        <v>0</v>
      </c>
      <c r="CM34" s="116">
        <f>RANK(CL34,CL32:CL35)</f>
        <v>1</v>
      </c>
      <c r="CN34" s="115">
        <f>IFERROR(VLOOKUP("531",$AF$7:$AI$42,4,0),0) + IFERROR(VLOOKUP("531",$AJ$7:$AM$42,4,0),0)</f>
        <v>0</v>
      </c>
      <c r="CO34" s="115">
        <f>IFERROR(VLOOKUP("532",$AF$7:$AI$42,4,0),0) + IFERROR(VLOOKUP("532",$AJ$7:$AM$42,4,0),0)</f>
        <v>0</v>
      </c>
      <c r="CQ34" s="115">
        <f>IFERROR(VLOOKUP("534",$AF$7:$AI$42,4,0),0) + IFERROR(VLOOKUP("534",$AJ$7:$AM$42,4,0),0)</f>
        <v>0</v>
      </c>
      <c r="CR34" s="116">
        <f>SUM(CN34:CQ34)</f>
        <v>0</v>
      </c>
      <c r="CS34" s="115">
        <f>IF(CC36=CG34,CC34,0)</f>
        <v>0</v>
      </c>
      <c r="CT34" s="115">
        <f>IF(CD36=CG34,CD34,0)</f>
        <v>0</v>
      </c>
      <c r="CV34" s="115">
        <f>IF(CF36=CG34,CF34,0)</f>
        <v>0</v>
      </c>
      <c r="CW34" s="116">
        <f>SUM(CS34:CV34)</f>
        <v>0</v>
      </c>
      <c r="CX34" s="115">
        <f>IF(CC36=CG34,CH34,0)</f>
        <v>0</v>
      </c>
      <c r="CY34" s="115">
        <f>IF(CD36=CG34,CI34,0)</f>
        <v>0</v>
      </c>
      <c r="DA34" s="115">
        <f>IF(CF36=CG34,CK34,0)</f>
        <v>0</v>
      </c>
      <c r="DB34" s="116">
        <f>SUM(CX34:DA34)</f>
        <v>0</v>
      </c>
      <c r="DC34" s="116">
        <f>RANK(DB34,DB32:DB35)</f>
        <v>1</v>
      </c>
      <c r="DD34" s="115">
        <f>IF(CC36=CG34,CN34,0)</f>
        <v>0</v>
      </c>
      <c r="DE34" s="115">
        <f>IF(CD36=CG34,CO34,0)</f>
        <v>0</v>
      </c>
      <c r="DG34" s="115">
        <f>IF(CF36=CG34,CQ34,0)</f>
        <v>0</v>
      </c>
      <c r="DH34" s="116">
        <f>SUM(DD34:DG34)</f>
        <v>0</v>
      </c>
      <c r="DI34" s="116">
        <f>CG34*10000+CW34*100+(5-DC34)+DH34/10</f>
        <v>4</v>
      </c>
      <c r="DJ34" s="116">
        <f>RANK(DI34,DI32:DI35)</f>
        <v>1</v>
      </c>
      <c r="DK34" s="115">
        <f>IF(DK36=DJ34,CC34,0)</f>
        <v>0</v>
      </c>
      <c r="DL34" s="115">
        <f>IF(DL36=DJ34,CD34,0)</f>
        <v>0</v>
      </c>
      <c r="DN34" s="115">
        <f>IF(DN36=DJ34,CF34,0)</f>
        <v>0</v>
      </c>
      <c r="DO34" s="116">
        <f>SUM(DK34:DN34)</f>
        <v>0</v>
      </c>
      <c r="DP34" s="116">
        <f>(5-DJ34)*10000+DO34*100+(5-CM34)+CR34/10+(5-DX34)/100+BQ34/10000</f>
        <v>40004.040001444373</v>
      </c>
      <c r="DQ34" s="116">
        <f>RANK(DP34,DP32:DP35)</f>
        <v>3</v>
      </c>
      <c r="DS34" s="115">
        <f>IFERROR(VLOOKUP("531",$AX$7:$AY$42,2,0),0) + IFERROR(VLOOKUP("531",$AZ$7:$BA$42,2,0),0)</f>
        <v>0</v>
      </c>
      <c r="DT34" s="115">
        <f>IFERROR(VLOOKUP("532",$AX$7:$AY$42,2,0),0) + IFERROR(VLOOKUP("532",$AZ$7:$BA$42,2,0),0)</f>
        <v>0</v>
      </c>
      <c r="DV34" s="115">
        <f>IFERROR(VLOOKUP("534",$AX$7:$AY$42,2,0),0) + IFERROR(VLOOKUP("534",$AZ$7:$BA$42,2,0),0)</f>
        <v>0</v>
      </c>
      <c r="DW34" s="116">
        <f>SUM(DS34:DV34)</f>
        <v>0</v>
      </c>
      <c r="DX34" s="116">
        <f>RANK(DW34,DW32:DW35)</f>
        <v>1</v>
      </c>
      <c r="DZ34" s="116" t="str">
        <f>BD34</f>
        <v>Roemenië</v>
      </c>
      <c r="EA34" s="116">
        <f>EI34*10000+EO34*100+ET34</f>
        <v>100</v>
      </c>
      <c r="EB34" s="115">
        <f>COUNTIF(EA32:EA35,EA34)</f>
        <v>4</v>
      </c>
      <c r="EC34" s="115">
        <f>COUNTIF(CG32:CG35,CG34)</f>
        <v>4</v>
      </c>
      <c r="ED34" s="116">
        <f>IF(AND(EB34&gt;=2,EC34=2),EA34,-EA34-0.2)</f>
        <v>-100.2</v>
      </c>
      <c r="EE34" s="115">
        <f>IFERROR(VLOOKUP("531",$AO$7:$AR$42,2,0),0) + IFERROR(VLOOKUP("531",$AS$7:$AV$42,2,0),0)</f>
        <v>0</v>
      </c>
      <c r="EF34" s="115">
        <f>IFERROR(VLOOKUP("532",$AO$7:$AR$42,2,0),0) + IFERROR(VLOOKUP("532",$AS$7:$AV$42,2,0),0)</f>
        <v>0</v>
      </c>
      <c r="EH34" s="115">
        <f>IFERROR(VLOOKUP("534",$AO$7:$AR$42,2,0),0) + IFERROR(VLOOKUP("534",$AS$7:$AV$42,2,0),0)</f>
        <v>0</v>
      </c>
      <c r="EI34" s="116">
        <f>SUM(EE34:EH34)</f>
        <v>0</v>
      </c>
      <c r="EJ34" s="115">
        <f>IFERROR(VLOOKUP("531",$AO$7:$AR$42,3,0),0) + IFERROR(VLOOKUP("531",$AS$7:$AV$42,3,0),0)</f>
        <v>0</v>
      </c>
      <c r="EK34" s="115">
        <f>IFERROR(VLOOKUP("532",$AO$7:$AR$42,3,0),0) + IFERROR(VLOOKUP("532",$AS$7:$AV$42,3,0),0)</f>
        <v>0</v>
      </c>
      <c r="EM34" s="115">
        <f>IFERROR(VLOOKUP("534",$AO$7:$AR$42,3,0),0) + IFERROR(VLOOKUP("534",$AS$7:$AV$42,3,0),0)</f>
        <v>0</v>
      </c>
      <c r="EN34" s="116">
        <f>SUM(EJ34:EM34)</f>
        <v>0</v>
      </c>
      <c r="EO34" s="116">
        <f>RANK(EN34,EN32:EN35)</f>
        <v>1</v>
      </c>
      <c r="EP34" s="115">
        <f>IFERROR(VLOOKUP("531",$AO$7:$AR$42,4,0),0) + IFERROR(VLOOKUP("531",$AS$7:$AV$42,4,0),0)</f>
        <v>0</v>
      </c>
      <c r="EQ34" s="115">
        <f>IFERROR(VLOOKUP("532",$AO$7:$AR$42,4,0),0) + IFERROR(VLOOKUP("532",$AS$7:$AV$42,4,0),0)</f>
        <v>0</v>
      </c>
      <c r="ES34" s="115">
        <f>IFERROR(VLOOKUP("534",$AO$7:$AR$42,4,0),0) + IFERROR(VLOOKUP("534",$AS$7:$AV$42,4,0),0)</f>
        <v>0</v>
      </c>
      <c r="ET34" s="116">
        <f>SUM(EP34:ES34)</f>
        <v>0</v>
      </c>
      <c r="EV34" s="192">
        <v>8</v>
      </c>
      <c r="EW34" s="79" t="str">
        <f>VLOOKUP(EV34,$Z$46:$AC$53,3,0)</f>
        <v>E1</v>
      </c>
      <c r="EX34" s="80"/>
      <c r="EY34" s="81"/>
      <c r="EZ34" s="82"/>
      <c r="FA34" s="63"/>
      <c r="FB34" s="63"/>
      <c r="FC34" s="63"/>
      <c r="FD34" s="63"/>
      <c r="FE34" s="63"/>
      <c r="FF34" s="63"/>
      <c r="FG34" s="63"/>
      <c r="FH34" s="97"/>
      <c r="FI34" s="63"/>
      <c r="FJ34" s="63"/>
      <c r="FK34" s="63"/>
      <c r="FL34" s="63"/>
      <c r="FM34" s="63"/>
      <c r="FN34" s="63"/>
      <c r="FO34" s="63"/>
      <c r="FP34" s="63"/>
    </row>
    <row r="35" spans="1:177">
      <c r="A35" s="83">
        <v>26</v>
      </c>
      <c r="B35" s="84" t="str">
        <f t="shared" si="27"/>
        <v>Zo</v>
      </c>
      <c r="C35" s="85" t="str">
        <f t="shared" si="28"/>
        <v>Jun 23, 2024</v>
      </c>
      <c r="D35" s="86">
        <f t="shared" si="29"/>
        <v>0.875</v>
      </c>
      <c r="E35" s="87" t="str">
        <f>BD9</f>
        <v>Schotland</v>
      </c>
      <c r="F35" s="73"/>
      <c r="G35" s="74"/>
      <c r="H35" s="88" t="str">
        <f>BD11</f>
        <v>Hongarije</v>
      </c>
      <c r="I35" s="186" t="str">
        <f>INDEX(T,105,lang)</f>
        <v>Stuttgart</v>
      </c>
      <c r="J35" s="186"/>
      <c r="K35" s="186"/>
      <c r="L35" s="73"/>
      <c r="M35" s="74"/>
      <c r="O35" s="76" t="str">
        <f>VLOOKUP(3,BC32:BM35,2,0)</f>
        <v>Roemenië</v>
      </c>
      <c r="P35" s="77">
        <f>Q35+R35+S35</f>
        <v>0</v>
      </c>
      <c r="Q35" s="77">
        <f>VLOOKUP(3,BC32:BM35,3,0)</f>
        <v>0</v>
      </c>
      <c r="R35" s="77">
        <f>VLOOKUP(3,BC32:BM35,4,0)</f>
        <v>0</v>
      </c>
      <c r="S35" s="77">
        <f>VLOOKUP(3,BC32:BM35,5,0)</f>
        <v>0</v>
      </c>
      <c r="T35" s="77" t="str">
        <f>VLOOKUP(3,BC32:BM35,6,0) &amp; " - " &amp; VLOOKUP(3,BC32:BM35,7,0)</f>
        <v>0 - 0</v>
      </c>
      <c r="U35" s="78">
        <f>Q35*3+R35</f>
        <v>0</v>
      </c>
      <c r="W35" s="115">
        <f>DATE(2024,6,25)+TIME(5,0,0)+gmt_delta</f>
        <v>45468.75</v>
      </c>
      <c r="X35" s="117" t="str">
        <f t="shared" si="0"/>
        <v/>
      </c>
      <c r="Y35" s="117" t="str">
        <f t="shared" si="1"/>
        <v/>
      </c>
      <c r="Z35" s="116">
        <f t="shared" si="2"/>
        <v>0</v>
      </c>
      <c r="AA35" s="115">
        <f t="shared" si="3"/>
        <v>0</v>
      </c>
      <c r="AB35" s="115">
        <f t="shared" si="4"/>
        <v>0</v>
      </c>
      <c r="AC35" s="115">
        <f t="shared" si="5"/>
        <v>4</v>
      </c>
      <c r="AD35" s="115">
        <f t="shared" si="6"/>
        <v>2</v>
      </c>
      <c r="AE35" s="115">
        <f t="shared" si="7"/>
        <v>3</v>
      </c>
      <c r="AF35" s="115" t="str">
        <f t="shared" si="8"/>
        <v>423</v>
      </c>
      <c r="AG35" s="115">
        <f t="shared" si="9"/>
        <v>0</v>
      </c>
      <c r="AH35" s="115">
        <f t="shared" si="10"/>
        <v>0</v>
      </c>
      <c r="AI35" s="115">
        <f t="shared" si="11"/>
        <v>0</v>
      </c>
      <c r="AJ35" s="115" t="str">
        <f t="shared" si="12"/>
        <v>432</v>
      </c>
      <c r="AK35" s="115">
        <f t="shared" si="13"/>
        <v>0</v>
      </c>
      <c r="AL35" s="115">
        <f t="shared" si="14"/>
        <v>0</v>
      </c>
      <c r="AM35" s="115">
        <f t="shared" si="15"/>
        <v>0</v>
      </c>
      <c r="AO35" s="115" t="str">
        <f t="shared" si="33"/>
        <v>423</v>
      </c>
      <c r="AP35" s="115">
        <v>0</v>
      </c>
      <c r="AQ35" s="115">
        <v>0</v>
      </c>
      <c r="AR35" s="115">
        <v>0</v>
      </c>
      <c r="AS35" s="115" t="str">
        <f t="shared" si="34"/>
        <v>432</v>
      </c>
      <c r="AT35" s="115">
        <v>0</v>
      </c>
      <c r="AU35" s="115">
        <v>0</v>
      </c>
      <c r="AV35" s="115">
        <v>0</v>
      </c>
      <c r="AW35" s="115">
        <f t="shared" si="35"/>
        <v>0</v>
      </c>
      <c r="AX35" s="115" t="str">
        <f t="shared" si="24"/>
        <v>423</v>
      </c>
      <c r="AY35" s="115">
        <f t="shared" si="36"/>
        <v>0</v>
      </c>
      <c r="AZ35" s="115" t="str">
        <f t="shared" si="25"/>
        <v>432</v>
      </c>
      <c r="BA35" s="115">
        <f t="shared" si="37"/>
        <v>0</v>
      </c>
      <c r="BC35" s="115">
        <f>DQ35</f>
        <v>4</v>
      </c>
      <c r="BD35" s="116" t="str">
        <f>INDEX(T,51,lang)</f>
        <v>Slowakije</v>
      </c>
      <c r="BE35" s="115">
        <f>COUNTIF($X$7:$Y$42,"=" &amp; BD35 &amp; "_win")</f>
        <v>0</v>
      </c>
      <c r="BF35" s="115">
        <f>COUNTIF($X$7:$Y$42,"=" &amp; BD35 &amp; "_draw")</f>
        <v>0</v>
      </c>
      <c r="BG35" s="115">
        <f>COUNTIF($X$7:$Y$42,"=" &amp; BD35 &amp; "_lose")</f>
        <v>0</v>
      </c>
      <c r="BH35" s="115">
        <f>SUMIF($E$10:$E$45,$BD35,$F$10:$F$45) + SUMIF($H$10:$H$45,$BD35,$G$10:$G$45)</f>
        <v>0</v>
      </c>
      <c r="BI35" s="115">
        <f>SUMIF($E$10:$E$45,$BD35,$G$10:$G$45) + SUMIF($H$10:$H$45,$BD35,$F$10:$F$45)</f>
        <v>0</v>
      </c>
      <c r="BJ35" s="115">
        <f>BM35*10000</f>
        <v>0</v>
      </c>
      <c r="BK35" s="115">
        <f>BH35-BI35</f>
        <v>0</v>
      </c>
      <c r="BL35" s="115">
        <f>(BK35-BK37)/BK36</f>
        <v>0</v>
      </c>
      <c r="BM35" s="115">
        <f>BE35*3+BF35</f>
        <v>0</v>
      </c>
      <c r="BN35" s="115">
        <f>BT35/BT36*10+BU35/BU36+BX35/BX36*0.1+BV35/BV36*0.01</f>
        <v>0</v>
      </c>
      <c r="BP35" s="115">
        <f>IF(VLOOKUP(BD35,db_fifarank,2,0)="",MIN(db_fifarank),VLOOKUP(BD35,db_fifarank,2,0))</f>
        <v>19.625</v>
      </c>
      <c r="BQ35" s="115">
        <f t="shared" si="38"/>
        <v>1.263824694618686E-2</v>
      </c>
      <c r="BR35" s="116">
        <f>10000000*BM35/BM36+100000*BN35/BN36+100*BL35+10*BH35/BH36+1*BN35/BN36+BQ35</f>
        <v>1.263824694618686E-2</v>
      </c>
      <c r="BT35" s="115">
        <f>SUMPRODUCT(($X$7:$X$42=BD35&amp;"_win")*($Z$7:$Z$42))+SUMPRODUCT(($Y$7:$Y$42=BD35&amp;"_win")*($Z$7:$Z$42))</f>
        <v>0</v>
      </c>
      <c r="BU35" s="115">
        <f>SUMPRODUCT(($X$7:$X$42=BD35&amp;"_draw")*($Z$7:$Z$42))+SUMPRODUCT(($Y$7:$Y$42=BD35&amp;"_draw")*($Z$7:$Z$42))</f>
        <v>0</v>
      </c>
      <c r="BV35" s="115">
        <f>SUMPRODUCT(($E$10:$E$45=BD35)*($Z$7:$Z$42)*($F$10:$F$45))+SUMPRODUCT(($H$10:$H$45=BD35)*($Z$7:$Z$42)*($G$10:$G$45))</f>
        <v>0</v>
      </c>
      <c r="BW35" s="115">
        <f>SUMPRODUCT(($E$10:$E$45=BD35)*($Z$7:$Z$42)*($G$10:$G$45))+SUMPRODUCT(($H$10:$H$45=BD35)*($Z$7:$Z$42)*($F$10:$F$45))</f>
        <v>0</v>
      </c>
      <c r="BX35" s="115">
        <f>BV35-BW35</f>
        <v>0</v>
      </c>
      <c r="CC35" s="115">
        <f>IFERROR(VLOOKUP("541",$AF$7:$AI$42,2,0),0) + IFERROR(VLOOKUP("541",$AJ$7:$AM$42,2,0),0)</f>
        <v>0</v>
      </c>
      <c r="CD35" s="115">
        <f>IFERROR(VLOOKUP("542",$AF$7:$AI$42,2,0),0) + IFERROR(VLOOKUP("542",$AJ$7:$AM$42,2,0),0)</f>
        <v>0</v>
      </c>
      <c r="CE35" s="115">
        <f>IFERROR(VLOOKUP("543",$AF$7:$AI$42,2,0),0) + IFERROR(VLOOKUP("543",$AJ$7:$AM$42,2,0),0)</f>
        <v>0</v>
      </c>
      <c r="CG35" s="116">
        <f>SUM(CC35:CF35)</f>
        <v>0</v>
      </c>
      <c r="CH35" s="115">
        <f>IFERROR(VLOOKUP("541",$AF$7:$AI$42,3,0),0) + IFERROR(VLOOKUP("541",$AJ$7:$AM$42,3,0),0)</f>
        <v>0</v>
      </c>
      <c r="CI35" s="115">
        <f>IFERROR(VLOOKUP("542",$AF$7:$AI$42,3,0),0) + IFERROR(VLOOKUP("542",$AJ$7:$AM$42,3,0),0)</f>
        <v>0</v>
      </c>
      <c r="CJ35" s="115">
        <f>IFERROR(VLOOKUP("543",$AF$7:$AI$42,3,0),0) + IFERROR(VLOOKUP("543",$AJ$7:$AM$42,3,0),0)</f>
        <v>0</v>
      </c>
      <c r="CL35" s="116">
        <f>SUM(CH35:CK35)</f>
        <v>0</v>
      </c>
      <c r="CM35" s="116">
        <f>RANK(CL35,CL32:CL35)</f>
        <v>1</v>
      </c>
      <c r="CN35" s="115">
        <f>IFERROR(VLOOKUP("541",$AF$7:$AI$42,4,0),0) + IFERROR(VLOOKUP("541",$AJ$7:$AM$42,4,0),0)</f>
        <v>0</v>
      </c>
      <c r="CO35" s="115">
        <f>IFERROR(VLOOKUP("542",$AF$7:$AI$42,4,0),0) + IFERROR(VLOOKUP("542",$AJ$7:$AM$42,4,0),0)</f>
        <v>0</v>
      </c>
      <c r="CP35" s="115">
        <f>IFERROR(VLOOKUP("543",$AF$7:$AI$42,4,0),0) + IFERROR(VLOOKUP("543",$AJ$7:$AM$42,4,0),0)</f>
        <v>0</v>
      </c>
      <c r="CR35" s="116">
        <f>SUM(CN35:CQ35)</f>
        <v>0</v>
      </c>
      <c r="CS35" s="115">
        <f>IF(CC36=CG35,CC35,0)</f>
        <v>0</v>
      </c>
      <c r="CT35" s="115">
        <f>IF(CD36=CG35,CD35,0)</f>
        <v>0</v>
      </c>
      <c r="CU35" s="115">
        <f>IF(CE36=CG35,CE35,0)</f>
        <v>0</v>
      </c>
      <c r="CW35" s="116">
        <f>SUM(CS35:CV35)</f>
        <v>0</v>
      </c>
      <c r="CX35" s="115">
        <f>IF(CC36=CG35,CH35,0)</f>
        <v>0</v>
      </c>
      <c r="CY35" s="115">
        <f>IF(CD36=CG35,CI35,0)</f>
        <v>0</v>
      </c>
      <c r="CZ35" s="115">
        <f>IF(CE36=CG35,CJ35,0)</f>
        <v>0</v>
      </c>
      <c r="DB35" s="116">
        <f>SUM(CX35:DA35)</f>
        <v>0</v>
      </c>
      <c r="DC35" s="116">
        <f>RANK(DB35,DB32:DB35)</f>
        <v>1</v>
      </c>
      <c r="DD35" s="115">
        <f>IF(CC36=CG35,CN35,0)</f>
        <v>0</v>
      </c>
      <c r="DE35" s="115">
        <f>IF(CD36=CG35,CO35,0)</f>
        <v>0</v>
      </c>
      <c r="DF35" s="115">
        <f>IF(CE36=CG35,CP35,0)</f>
        <v>0</v>
      </c>
      <c r="DH35" s="116">
        <f>SUM(DD35:DG35)</f>
        <v>0</v>
      </c>
      <c r="DI35" s="116">
        <f>CG35*10000+CW35*100+(5-DC35)+DH35/10</f>
        <v>4</v>
      </c>
      <c r="DJ35" s="116">
        <f>RANK(DI35,DI32:DI35)</f>
        <v>1</v>
      </c>
      <c r="DK35" s="115">
        <f>IF(DK36=DJ35,CC35,0)</f>
        <v>0</v>
      </c>
      <c r="DL35" s="115">
        <f>IF(DL36=DJ35,CD35,0)</f>
        <v>0</v>
      </c>
      <c r="DM35" s="115">
        <f>IF(DM36=DJ35,CE35,0)</f>
        <v>0</v>
      </c>
      <c r="DO35" s="116">
        <f>SUM(DK35:DN35)</f>
        <v>0</v>
      </c>
      <c r="DP35" s="116">
        <f>(5-DJ35)*10000+DO35*100+(5-CM35)+CR35/10+(5-DX35)/100+BQ35/10000</f>
        <v>40004.040001263827</v>
      </c>
      <c r="DQ35" s="116">
        <f>RANK(DP35,DP32:DP35)</f>
        <v>4</v>
      </c>
      <c r="DS35" s="115">
        <f>IFERROR(VLOOKUP("541",$AX$7:$AY$42,2,0),0) + IFERROR(VLOOKUP("541",$AZ$7:$BA$42,2,0),0)</f>
        <v>0</v>
      </c>
      <c r="DT35" s="115">
        <f>IFERROR(VLOOKUP("542",$AX$7:$AY$42,2,0),0) + IFERROR(VLOOKUP("542",$AZ$7:$BA$42,2,0),0)</f>
        <v>0</v>
      </c>
      <c r="DU35" s="115">
        <f>IFERROR(VLOOKUP("543",$AX$7:$AY$42,2,0),0) + IFERROR(VLOOKUP("543",$AZ$7:$BA$42,2,0),0)</f>
        <v>0</v>
      </c>
      <c r="DW35" s="116">
        <f>SUM(DS35:DV35)</f>
        <v>0</v>
      </c>
      <c r="DX35" s="116">
        <f>RANK(DW35,DW32:DW35)</f>
        <v>1</v>
      </c>
      <c r="DZ35" s="116" t="str">
        <f>BD35</f>
        <v>Slowakije</v>
      </c>
      <c r="EA35" s="116">
        <f>EI35*10000+EO35*100+ET35</f>
        <v>100</v>
      </c>
      <c r="EB35" s="115">
        <f>COUNTIF(EA32:EA35,EA35)</f>
        <v>4</v>
      </c>
      <c r="EC35" s="115">
        <f>COUNTIF(CG32:CG35,CG35)</f>
        <v>4</v>
      </c>
      <c r="ED35" s="116">
        <f>IF(AND(EB35&gt;=2,EC35=2),EA35,-EA35-0.1)</f>
        <v>-100.1</v>
      </c>
      <c r="EE35" s="115">
        <f>IFERROR(VLOOKUP("541",$AO$7:$AR$42,2,0),0) + IFERROR(VLOOKUP("541",$AS$7:$AV$42,2,0),0)</f>
        <v>0</v>
      </c>
      <c r="EF35" s="115">
        <f>IFERROR(VLOOKUP("542",$AO$7:$AR$42,2,0),0) + IFERROR(VLOOKUP("542",$AS$7:$AV$42,2,0),0)</f>
        <v>0</v>
      </c>
      <c r="EG35" s="115">
        <f>IFERROR(VLOOKUP("543",$AO$7:$AR$42,2,0),0) + IFERROR(VLOOKUP("543",$AS$7:$AV$42,2,0),0)</f>
        <v>0</v>
      </c>
      <c r="EI35" s="116">
        <f>SUM(EE35:EH35)</f>
        <v>0</v>
      </c>
      <c r="EJ35" s="115">
        <f>IFERROR(VLOOKUP("541",$AO$7:$AR$42,3,0),0) + IFERROR(VLOOKUP("541",$AS$7:$AV$42,3,0),0)</f>
        <v>0</v>
      </c>
      <c r="EK35" s="115">
        <f>IFERROR(VLOOKUP("542",$AO$7:$AR$42,3,0),0) + IFERROR(VLOOKUP("542",$AS$7:$AV$42,3,0),0)</f>
        <v>0</v>
      </c>
      <c r="EL35" s="115">
        <f>IFERROR(VLOOKUP("543",$AO$7:$AR$42,3,0),0) + IFERROR(VLOOKUP("543",$AS$7:$AV$42,3,0),0)</f>
        <v>0</v>
      </c>
      <c r="EN35" s="116">
        <f>SUM(EJ35:EM35)</f>
        <v>0</v>
      </c>
      <c r="EO35" s="116">
        <f>RANK(EN35,EN32:EN35)</f>
        <v>1</v>
      </c>
      <c r="EP35" s="115">
        <f>IFERROR(VLOOKUP("541",$AO$7:$AR$42,4,0),0) + IFERROR(VLOOKUP("541",$AS$7:$AV$42,4,0),0)</f>
        <v>0</v>
      </c>
      <c r="EQ35" s="115">
        <f>IFERROR(VLOOKUP("542",$AO$7:$AR$42,4,0),0) + IFERROR(VLOOKUP("542",$AS$7:$AV$42,4,0),0)</f>
        <v>0</v>
      </c>
      <c r="ER35" s="115">
        <f>IFERROR(VLOOKUP("543",$AO$7:$AR$42,4,0),0) + IFERROR(VLOOKUP("543",$AS$7:$AV$42,4,0),0)</f>
        <v>0</v>
      </c>
      <c r="ET35" s="116">
        <f>SUM(EP35:ES35)</f>
        <v>0</v>
      </c>
      <c r="EV35" s="192"/>
      <c r="EW35" s="89" t="str">
        <f>VLOOKUP(EV34,$Z$46:$AC$53,4,0)</f>
        <v>3B</v>
      </c>
      <c r="EX35" s="90"/>
      <c r="EY35" s="91"/>
      <c r="EZ35" s="92"/>
      <c r="FA35" s="93"/>
      <c r="FB35" s="63"/>
      <c r="FC35" s="63" t="str">
        <f>INDEX(T,24+MONTH(W60),lang) &amp; " " &amp; DAY(W60) &amp; ", " &amp; YEAR(W60) &amp; "   " &amp; TEXT(HOUR(W60),"00") &amp; ":" &amp; TEXT(MINUTE(W60),"00")</f>
        <v>Jul 6, 2024   21:00</v>
      </c>
      <c r="FD35" s="63"/>
      <c r="FE35" s="63"/>
      <c r="FF35" s="63"/>
      <c r="FG35" s="67" t="str">
        <f>INDEX(T,107,lang)</f>
        <v>Berlijn</v>
      </c>
      <c r="FH35" s="97"/>
      <c r="FI35" s="63"/>
      <c r="FJ35" s="63"/>
      <c r="FK35" s="63"/>
      <c r="FL35" s="63"/>
      <c r="FM35" s="63"/>
      <c r="FN35" s="63"/>
      <c r="FO35" s="63"/>
      <c r="FP35" s="63"/>
    </row>
    <row r="36" spans="1:177">
      <c r="A36" s="83">
        <v>27</v>
      </c>
      <c r="B36" s="84" t="str">
        <f t="shared" si="27"/>
        <v>Ma</v>
      </c>
      <c r="C36" s="85" t="str">
        <f t="shared" si="28"/>
        <v>Jun 24, 2024</v>
      </c>
      <c r="D36" s="86">
        <f t="shared" si="29"/>
        <v>0.875</v>
      </c>
      <c r="E36" s="87" t="str">
        <f>BD17</f>
        <v>Albanië</v>
      </c>
      <c r="F36" s="73"/>
      <c r="G36" s="74"/>
      <c r="H36" s="88" t="str">
        <f>BD14</f>
        <v>Spanje</v>
      </c>
      <c r="I36" s="186" t="str">
        <f>INDEX(T,111,lang)</f>
        <v>Dusseldorf</v>
      </c>
      <c r="J36" s="186"/>
      <c r="K36" s="186"/>
      <c r="L36" s="73"/>
      <c r="M36" s="74"/>
      <c r="O36" s="94" t="str">
        <f>VLOOKUP(4,BC32:BM35,2,0)</f>
        <v>Slowakije</v>
      </c>
      <c r="P36" s="95">
        <f>Q36+R36+S36</f>
        <v>0</v>
      </c>
      <c r="Q36" s="95">
        <f>VLOOKUP(4,BC32:BM35,3,0)</f>
        <v>0</v>
      </c>
      <c r="R36" s="95">
        <f>VLOOKUP(4,BC32:BM35,4,0)</f>
        <v>0</v>
      </c>
      <c r="S36" s="95">
        <f>VLOOKUP(4,BC32:BM35,5,0)</f>
        <v>0</v>
      </c>
      <c r="T36" s="95" t="str">
        <f>VLOOKUP(4,BC32:BM35,6,0) &amp; " - " &amp; VLOOKUP(4,BC32:BM35,7,0)</f>
        <v>0 - 0</v>
      </c>
      <c r="U36" s="96">
        <f>Q36*3+R36</f>
        <v>0</v>
      </c>
      <c r="W36" s="115">
        <f>DATE(2024,6,25)+TIME(5,0,0)+gmt_delta</f>
        <v>45468.75</v>
      </c>
      <c r="X36" s="117" t="str">
        <f t="shared" si="0"/>
        <v/>
      </c>
      <c r="Y36" s="117" t="str">
        <f t="shared" si="1"/>
        <v/>
      </c>
      <c r="Z36" s="116">
        <f t="shared" si="2"/>
        <v>0</v>
      </c>
      <c r="AA36" s="115">
        <f t="shared" si="3"/>
        <v>0</v>
      </c>
      <c r="AB36" s="115">
        <f t="shared" si="4"/>
        <v>0</v>
      </c>
      <c r="AC36" s="115">
        <f t="shared" si="5"/>
        <v>4</v>
      </c>
      <c r="AD36" s="115">
        <f t="shared" si="6"/>
        <v>1</v>
      </c>
      <c r="AE36" s="115">
        <f t="shared" si="7"/>
        <v>4</v>
      </c>
      <c r="AF36" s="115" t="str">
        <f t="shared" si="8"/>
        <v>414</v>
      </c>
      <c r="AG36" s="115">
        <f t="shared" si="9"/>
        <v>0</v>
      </c>
      <c r="AH36" s="115">
        <f t="shared" si="10"/>
        <v>0</v>
      </c>
      <c r="AI36" s="115">
        <f t="shared" si="11"/>
        <v>0</v>
      </c>
      <c r="AJ36" s="115" t="str">
        <f t="shared" si="12"/>
        <v>441</v>
      </c>
      <c r="AK36" s="115">
        <f t="shared" si="13"/>
        <v>0</v>
      </c>
      <c r="AL36" s="115">
        <f t="shared" si="14"/>
        <v>0</v>
      </c>
      <c r="AM36" s="115">
        <f t="shared" si="15"/>
        <v>0</v>
      </c>
      <c r="AO36" s="115" t="str">
        <f t="shared" si="33"/>
        <v>414</v>
      </c>
      <c r="AP36" s="115">
        <v>0</v>
      </c>
      <c r="AQ36" s="115">
        <v>0</v>
      </c>
      <c r="AR36" s="115">
        <v>0</v>
      </c>
      <c r="AS36" s="115" t="str">
        <f t="shared" si="34"/>
        <v>441</v>
      </c>
      <c r="AT36" s="115">
        <v>0</v>
      </c>
      <c r="AU36" s="115">
        <v>0</v>
      </c>
      <c r="AV36" s="115">
        <v>0</v>
      </c>
      <c r="AW36" s="115">
        <f t="shared" si="35"/>
        <v>0</v>
      </c>
      <c r="AX36" s="115" t="str">
        <f t="shared" si="24"/>
        <v>414</v>
      </c>
      <c r="AY36" s="115">
        <f t="shared" si="36"/>
        <v>0</v>
      </c>
      <c r="AZ36" s="115" t="str">
        <f t="shared" si="25"/>
        <v>441</v>
      </c>
      <c r="BA36" s="115">
        <f t="shared" si="37"/>
        <v>0</v>
      </c>
      <c r="BE36" s="115">
        <f>MAX(BE32:BE35)-MIN(BE32:BE35)+1</f>
        <v>1</v>
      </c>
      <c r="BF36" s="115">
        <f>MAX(BF32:BF35)-MIN(BF32:BF35)+1</f>
        <v>1</v>
      </c>
      <c r="BG36" s="115">
        <f>MAX(BG32:BG35)-MIN(BG32:BG35)+1</f>
        <v>1</v>
      </c>
      <c r="BH36" s="115">
        <f>MAX(BH32:BH35)-MIN(BH32:BH35)+1</f>
        <v>1</v>
      </c>
      <c r="BI36" s="115">
        <f>MAX(BI32:BI35)-MIN(BI32:BI35)+1</f>
        <v>1</v>
      </c>
      <c r="BJ36" s="115">
        <f>MAX(BJ32:BJ35)-BJ37+1</f>
        <v>1</v>
      </c>
      <c r="BK36" s="115">
        <f>MAX(BK32:BK35)-BK37+1</f>
        <v>1</v>
      </c>
      <c r="BM36" s="115">
        <f>MAX(BM32:BM35)-MIN(BM32:BM35)+1</f>
        <v>1</v>
      </c>
      <c r="BN36" s="115">
        <f>MAX(BN32:BN35)-MIN(BN32:BN35)+1</f>
        <v>1</v>
      </c>
      <c r="BT36" s="115">
        <f>MAX(BT32:BT35)-MIN(BT32:BT35)+1</f>
        <v>1</v>
      </c>
      <c r="BU36" s="115">
        <f>MAX(BU32:BU35)-MIN(BU32:BU35)+1</f>
        <v>1</v>
      </c>
      <c r="BV36" s="115">
        <f>MAX(BV32:BV35)-MIN(BV32:BV35)+1</f>
        <v>1</v>
      </c>
      <c r="BW36" s="115">
        <f>MAX(BW32:BW35)-MIN(BW32:BW35)+1</f>
        <v>1</v>
      </c>
      <c r="BX36" s="115">
        <f>MAX(BX32:BX35)-MIN(BX32:BX35)+1</f>
        <v>1</v>
      </c>
      <c r="CC36" s="115">
        <f>CG32</f>
        <v>0</v>
      </c>
      <c r="CD36" s="115">
        <f>CG33</f>
        <v>0</v>
      </c>
      <c r="CE36" s="115">
        <f>CG34</f>
        <v>0</v>
      </c>
      <c r="CF36" s="115">
        <f>CG35</f>
        <v>0</v>
      </c>
      <c r="DK36" s="115">
        <f>DJ32</f>
        <v>1</v>
      </c>
      <c r="DL36" s="115">
        <f>DJ33</f>
        <v>1</v>
      </c>
      <c r="DM36" s="115">
        <f>DJ34</f>
        <v>1</v>
      </c>
      <c r="DN36" s="115">
        <f>DJ35</f>
        <v>1</v>
      </c>
      <c r="DO36" s="116">
        <f>SUM(DK36:DN36)</f>
        <v>4</v>
      </c>
      <c r="DS36" s="115">
        <f>DW32</f>
        <v>0</v>
      </c>
      <c r="DT36" s="115">
        <f>DW33</f>
        <v>0</v>
      </c>
      <c r="DU36" s="115">
        <f>DW34</f>
        <v>0</v>
      </c>
      <c r="DV36" s="115">
        <f>DW35</f>
        <v>0</v>
      </c>
      <c r="EE36" s="115">
        <f>EI32</f>
        <v>0</v>
      </c>
      <c r="EF36" s="115">
        <f>EI33</f>
        <v>0</v>
      </c>
      <c r="EG36" s="115">
        <f>EI34</f>
        <v>0</v>
      </c>
      <c r="EH36" s="115">
        <f>EI35</f>
        <v>0</v>
      </c>
      <c r="EV36" s="111"/>
      <c r="EW36" s="63"/>
      <c r="EX36" s="63"/>
      <c r="EY36" s="63"/>
      <c r="EZ36" s="63"/>
      <c r="FA36" s="97"/>
      <c r="FB36" s="63"/>
      <c r="FC36" s="191"/>
      <c r="FD36" s="79" t="str">
        <f>Y52</f>
        <v>W40</v>
      </c>
      <c r="FE36" s="80"/>
      <c r="FF36" s="81"/>
      <c r="FG36" s="82"/>
      <c r="FH36" s="99"/>
      <c r="FI36" s="63"/>
      <c r="FJ36" s="63"/>
      <c r="FK36" s="63"/>
      <c r="FL36" s="63"/>
      <c r="FM36" s="63"/>
      <c r="FN36" s="63"/>
      <c r="FO36" s="63"/>
      <c r="FP36" s="63"/>
    </row>
    <row r="37" spans="1:177">
      <c r="A37" s="83">
        <v>28</v>
      </c>
      <c r="B37" s="84" t="str">
        <f t="shared" si="27"/>
        <v>Ma</v>
      </c>
      <c r="C37" s="85" t="str">
        <f t="shared" si="28"/>
        <v>Jun 24, 2024</v>
      </c>
      <c r="D37" s="86">
        <f t="shared" si="29"/>
        <v>0.875</v>
      </c>
      <c r="E37" s="87" t="str">
        <f>BD16</f>
        <v>Kroatië</v>
      </c>
      <c r="F37" s="73"/>
      <c r="G37" s="74"/>
      <c r="H37" s="88" t="str">
        <f>BD15</f>
        <v>Italië</v>
      </c>
      <c r="I37" s="186" t="str">
        <f>INDEX(T,112,lang)</f>
        <v>Leipzig</v>
      </c>
      <c r="J37" s="186"/>
      <c r="K37" s="186"/>
      <c r="L37" s="73"/>
      <c r="M37" s="74"/>
      <c r="W37" s="115">
        <f>DATE(2024,6,25)+TIME(8,0,0)+gmt_delta</f>
        <v>45468.875</v>
      </c>
      <c r="X37" s="117" t="str">
        <f t="shared" si="0"/>
        <v/>
      </c>
      <c r="Y37" s="117" t="str">
        <f t="shared" si="1"/>
        <v/>
      </c>
      <c r="Z37" s="116">
        <f t="shared" si="2"/>
        <v>0</v>
      </c>
      <c r="AA37" s="115">
        <f t="shared" si="3"/>
        <v>0</v>
      </c>
      <c r="AB37" s="115">
        <f t="shared" si="4"/>
        <v>0</v>
      </c>
      <c r="AC37" s="115">
        <f t="shared" si="5"/>
        <v>3</v>
      </c>
      <c r="AD37" s="115">
        <f t="shared" si="6"/>
        <v>1</v>
      </c>
      <c r="AE37" s="115">
        <f t="shared" si="7"/>
        <v>4</v>
      </c>
      <c r="AF37" s="115" t="str">
        <f t="shared" si="8"/>
        <v>314</v>
      </c>
      <c r="AG37" s="115">
        <f t="shared" si="9"/>
        <v>0</v>
      </c>
      <c r="AH37" s="115">
        <f t="shared" si="10"/>
        <v>0</v>
      </c>
      <c r="AI37" s="115">
        <f t="shared" si="11"/>
        <v>0</v>
      </c>
      <c r="AJ37" s="115" t="str">
        <f t="shared" si="12"/>
        <v>341</v>
      </c>
      <c r="AK37" s="115">
        <f t="shared" si="13"/>
        <v>0</v>
      </c>
      <c r="AL37" s="115">
        <f t="shared" si="14"/>
        <v>0</v>
      </c>
      <c r="AM37" s="115">
        <f t="shared" si="15"/>
        <v>0</v>
      </c>
      <c r="AO37" s="115" t="str">
        <f t="shared" si="33"/>
        <v>314</v>
      </c>
      <c r="AP37" s="115">
        <v>0</v>
      </c>
      <c r="AQ37" s="115">
        <v>0</v>
      </c>
      <c r="AR37" s="115">
        <v>0</v>
      </c>
      <c r="AS37" s="115" t="str">
        <f t="shared" si="34"/>
        <v>341</v>
      </c>
      <c r="AT37" s="115">
        <v>0</v>
      </c>
      <c r="AU37" s="115">
        <v>0</v>
      </c>
      <c r="AV37" s="115">
        <v>0</v>
      </c>
      <c r="AW37" s="115">
        <f t="shared" si="35"/>
        <v>0</v>
      </c>
      <c r="AX37" s="115" t="str">
        <f t="shared" si="24"/>
        <v>314</v>
      </c>
      <c r="AY37" s="115">
        <f t="shared" si="36"/>
        <v>0</v>
      </c>
      <c r="AZ37" s="115" t="str">
        <f t="shared" si="25"/>
        <v>341</v>
      </c>
      <c r="BA37" s="115">
        <f t="shared" si="37"/>
        <v>0</v>
      </c>
      <c r="BJ37" s="115">
        <f>MIN(BJ32:BJ35)</f>
        <v>0</v>
      </c>
      <c r="BK37" s="115">
        <f>MIN(BK32:BK35)</f>
        <v>0</v>
      </c>
      <c r="EV37" s="111" t="str">
        <f>VLOOKUP(EV38,$Z$46:$AC$53,2,0)</f>
        <v>Jul 2, 2024   21:00</v>
      </c>
      <c r="EW37" s="63"/>
      <c r="EX37" s="63"/>
      <c r="EY37" s="63"/>
      <c r="EZ37" s="67" t="str">
        <f>INDEX(T,112,lang)</f>
        <v>Leipzig</v>
      </c>
      <c r="FA37" s="97"/>
      <c r="FB37" s="98"/>
      <c r="FC37" s="191"/>
      <c r="FD37" s="89" t="str">
        <f>Y53</f>
        <v>W44</v>
      </c>
      <c r="FE37" s="90"/>
      <c r="FF37" s="91"/>
      <c r="FG37" s="92"/>
      <c r="FH37" s="63"/>
      <c r="FI37" s="63"/>
      <c r="FJ37" s="63"/>
      <c r="FK37" s="63"/>
      <c r="FL37" s="63"/>
      <c r="FM37" s="63"/>
      <c r="FN37" s="63"/>
      <c r="FO37" s="63"/>
      <c r="FP37" s="63"/>
      <c r="FQ37" s="63"/>
      <c r="FR37" s="63"/>
      <c r="FS37" s="63"/>
      <c r="FT37" s="63"/>
      <c r="FU37" s="63"/>
    </row>
    <row r="38" spans="1:177">
      <c r="A38" s="83">
        <v>29</v>
      </c>
      <c r="B38" s="84" t="str">
        <f t="shared" si="27"/>
        <v>Di</v>
      </c>
      <c r="C38" s="85" t="str">
        <f t="shared" si="28"/>
        <v>Jun 25, 2024</v>
      </c>
      <c r="D38" s="86">
        <f t="shared" si="29"/>
        <v>0.75</v>
      </c>
      <c r="E38" s="87" t="str">
        <f>BD27</f>
        <v>Nederland</v>
      </c>
      <c r="F38" s="73"/>
      <c r="G38" s="74"/>
      <c r="H38" s="88" t="str">
        <f>BD28</f>
        <v>Oostenrijk</v>
      </c>
      <c r="I38" s="186" t="str">
        <f>INDEX(T,107,lang)</f>
        <v>Berlijn</v>
      </c>
      <c r="J38" s="186"/>
      <c r="K38" s="186"/>
      <c r="L38" s="73"/>
      <c r="M38" s="74"/>
      <c r="O38" s="61" t="str">
        <f>INDEX(T,9,lang) &amp; " " &amp; "F"</f>
        <v>Groep F</v>
      </c>
      <c r="P38" s="62" t="str">
        <f>INDEX(T,10,lang)</f>
        <v>WG</v>
      </c>
      <c r="Q38" s="62" t="str">
        <f>INDEX(T,11,lang)</f>
        <v>W</v>
      </c>
      <c r="R38" s="62" t="str">
        <f>INDEX(T,12,lang)</f>
        <v>G</v>
      </c>
      <c r="S38" s="62" t="str">
        <f>INDEX(T,13,lang)</f>
        <v>V</v>
      </c>
      <c r="T38" s="62" t="str">
        <f>INDEX(T,14,lang)</f>
        <v>DV-DT</v>
      </c>
      <c r="U38" s="62" t="str">
        <f>INDEX(T,15,lang)</f>
        <v>PNT</v>
      </c>
      <c r="W38" s="115">
        <f>DATE(2024,6,25)+TIME(8,0,0)+gmt_delta</f>
        <v>45468.875</v>
      </c>
      <c r="X38" s="117" t="str">
        <f t="shared" si="0"/>
        <v/>
      </c>
      <c r="Y38" s="117" t="str">
        <f t="shared" si="1"/>
        <v/>
      </c>
      <c r="Z38" s="116">
        <f t="shared" si="2"/>
        <v>0</v>
      </c>
      <c r="AA38" s="115">
        <f t="shared" si="3"/>
        <v>0</v>
      </c>
      <c r="AB38" s="115">
        <f t="shared" si="4"/>
        <v>0</v>
      </c>
      <c r="AC38" s="115">
        <f t="shared" si="5"/>
        <v>3</v>
      </c>
      <c r="AD38" s="115">
        <f t="shared" si="6"/>
        <v>2</v>
      </c>
      <c r="AE38" s="115">
        <f t="shared" si="7"/>
        <v>3</v>
      </c>
      <c r="AF38" s="115" t="str">
        <f t="shared" si="8"/>
        <v>323</v>
      </c>
      <c r="AG38" s="115">
        <f t="shared" si="9"/>
        <v>0</v>
      </c>
      <c r="AH38" s="115">
        <f t="shared" si="10"/>
        <v>0</v>
      </c>
      <c r="AI38" s="115">
        <f t="shared" si="11"/>
        <v>0</v>
      </c>
      <c r="AJ38" s="115" t="str">
        <f t="shared" si="12"/>
        <v>332</v>
      </c>
      <c r="AK38" s="115">
        <f t="shared" si="13"/>
        <v>0</v>
      </c>
      <c r="AL38" s="115">
        <f t="shared" si="14"/>
        <v>0</v>
      </c>
      <c r="AM38" s="115">
        <f t="shared" si="15"/>
        <v>0</v>
      </c>
      <c r="AO38" s="115" t="str">
        <f t="shared" si="33"/>
        <v>323</v>
      </c>
      <c r="AP38" s="115">
        <v>0</v>
      </c>
      <c r="AQ38" s="115">
        <v>0</v>
      </c>
      <c r="AR38" s="115">
        <v>0</v>
      </c>
      <c r="AS38" s="115" t="str">
        <f t="shared" si="34"/>
        <v>332</v>
      </c>
      <c r="AT38" s="115">
        <v>0</v>
      </c>
      <c r="AU38" s="115">
        <v>0</v>
      </c>
      <c r="AV38" s="115">
        <v>0</v>
      </c>
      <c r="AW38" s="115">
        <f t="shared" si="35"/>
        <v>0</v>
      </c>
      <c r="AX38" s="115" t="str">
        <f t="shared" si="24"/>
        <v>323</v>
      </c>
      <c r="AY38" s="115">
        <f t="shared" si="36"/>
        <v>0</v>
      </c>
      <c r="AZ38" s="115" t="str">
        <f t="shared" si="25"/>
        <v>332</v>
      </c>
      <c r="BA38" s="115">
        <f t="shared" si="37"/>
        <v>0</v>
      </c>
      <c r="BC38" s="115">
        <f>DQ38</f>
        <v>1</v>
      </c>
      <c r="BD38" s="116" t="str">
        <f>INDEX(T,42,lang)</f>
        <v>Portugal</v>
      </c>
      <c r="BE38" s="115">
        <f>COUNTIF($X$7:$Y$42,"=" &amp; BD38 &amp; "_win")</f>
        <v>0</v>
      </c>
      <c r="BF38" s="115">
        <f>COUNTIF($X$7:$Y$42,"=" &amp; BD38 &amp; "_draw")</f>
        <v>0</v>
      </c>
      <c r="BG38" s="115">
        <f>COUNTIF($X$7:$Y$42,"=" &amp; BD38 &amp; "_lose")</f>
        <v>0</v>
      </c>
      <c r="BH38" s="115">
        <f>SUMIF($E$10:$E$45,$BD38,$F$10:$F$45) + SUMIF($H$10:$H$45,$BD38,$G$10:$G$45)</f>
        <v>0</v>
      </c>
      <c r="BI38" s="115">
        <f>SUMIF($E$10:$E$45,$BD38,$G$10:$G$45) + SUMIF($H$10:$H$45,$BD38,$F$10:$F$45)</f>
        <v>0</v>
      </c>
      <c r="BJ38" s="115">
        <f>BM38*10000</f>
        <v>0</v>
      </c>
      <c r="BK38" s="115">
        <f>BH38-BI38</f>
        <v>0</v>
      </c>
      <c r="BL38" s="115">
        <f>(BK38-BK43)/BK42</f>
        <v>0</v>
      </c>
      <c r="BM38" s="115">
        <f>BE38*3+BF38</f>
        <v>0</v>
      </c>
      <c r="BN38" s="115">
        <f>BT38/BT42*10+BU38/BU42+BX38/BX42*0.1+BV38/BV42*0.01</f>
        <v>0</v>
      </c>
      <c r="BP38" s="115">
        <f>IF(VLOOKUP(BD38,db_fifarank,2,0)="",MIN(db_fifarank),VLOOKUP(BD38,db_fifarank,2,0))</f>
        <v>56.316000000000003</v>
      </c>
      <c r="BQ38" s="115">
        <f>0.1*((BP38-$BP$44)/$BP$46-(COUNTIF($BP$8:$BP$41,BP38)-1)/(100-ROW(BP38)))</f>
        <v>5.04921178606801E-2</v>
      </c>
      <c r="BR38" s="116">
        <f>10000000*BM38/BM42+100000*BN38/BN42+100*BL38+10*BH38/BH42+1*BN38/BN42+BQ38</f>
        <v>5.04921178606801E-2</v>
      </c>
      <c r="BS38" s="116" t="str">
        <f>IF(SUM(BE38:BG41)=12,O39,INDEX(T,80,lang))</f>
        <v>F1</v>
      </c>
      <c r="BT38" s="115">
        <f>SUMPRODUCT(($X$7:$X$42=BD38&amp;"_win")*($Z$7:$Z$42))+SUMPRODUCT(($Y$7:$Y$42=BD38&amp;"_win")*($Z$7:$Z$42))</f>
        <v>0</v>
      </c>
      <c r="BU38" s="115">
        <f>SUMPRODUCT(($X$7:$X$42=BD38&amp;"_draw")*($Z$7:$Z$42))+SUMPRODUCT(($Y$7:$Y$42=BD38&amp;"_draw")*($Z$7:$Z$42))</f>
        <v>0</v>
      </c>
      <c r="BV38" s="115">
        <f>SUMPRODUCT(($E$10:$E$45=BD38)*($Z$7:$Z$42)*($F$10:$F$45))+SUMPRODUCT(($H$10:$H$45=BD38)*($Z$7:$Z$42)*($G$10:$G$45))</f>
        <v>0</v>
      </c>
      <c r="BW38" s="115">
        <f>SUMPRODUCT(($E$10:$E$45=BD38)*($Z$7:$Z$42)*($G$10:$G$45))+SUMPRODUCT(($H$10:$H$45=BD38)*($Z$7:$Z$42)*($F$10:$F$45))</f>
        <v>0</v>
      </c>
      <c r="BX38" s="115">
        <f>BV38-BW38</f>
        <v>0</v>
      </c>
      <c r="CD38" s="115">
        <f>IFERROR(VLOOKUP("612",$AF$7:$AI$42,2,0),0) + IFERROR(VLOOKUP("612",$AJ$7:$AM$42,2,0),0)</f>
        <v>0</v>
      </c>
      <c r="CE38" s="115">
        <f>IFERROR(VLOOKUP("613",$AF$7:$AI$42,2,0),0) + IFERROR(VLOOKUP("613",$AJ$7:$AM$42,2,0),0)</f>
        <v>0</v>
      </c>
      <c r="CF38" s="115">
        <f>IFERROR(VLOOKUP("614",$AF$7:$AI$42,2,0),0) + IFERROR(VLOOKUP("614",$AJ$7:$AM$42,2,0),0)</f>
        <v>0</v>
      </c>
      <c r="CG38" s="116">
        <f>SUM(CC38:CF38)</f>
        <v>0</v>
      </c>
      <c r="CI38" s="115">
        <f>IFERROR(VLOOKUP("612",$AF$7:$AI$42,3,0),0) + IFERROR(VLOOKUP("612",$AJ$7:$AM$42,3,0),0)</f>
        <v>0</v>
      </c>
      <c r="CJ38" s="115">
        <f>IFERROR(VLOOKUP("613",$AF$7:$AI$42,3,0),0) + IFERROR(VLOOKUP("613",$AJ$7:$AM$42,3,0),0)</f>
        <v>0</v>
      </c>
      <c r="CK38" s="115">
        <f>IFERROR(VLOOKUP("614",$AF$7:$AI$42,3,0),0) + IFERROR(VLOOKUP("614",$AJ$7:$AM$42,3,0),0)</f>
        <v>0</v>
      </c>
      <c r="CL38" s="116">
        <f>SUM(CH38:CK38)</f>
        <v>0</v>
      </c>
      <c r="CM38" s="116">
        <f>RANK(CL38,CL38:CL41)</f>
        <v>1</v>
      </c>
      <c r="CO38" s="115">
        <f>IFERROR(VLOOKUP("612",$AF$7:$AI$42,4,0),0) + IFERROR(VLOOKUP("612",$AJ$7:$AM$42,4,0),0)</f>
        <v>0</v>
      </c>
      <c r="CP38" s="115">
        <f>IFERROR(VLOOKUP("613",$AF$7:$AI$42,4,0),0) + IFERROR(VLOOKUP("613",$AJ$7:$AM$42,4,0),0)</f>
        <v>0</v>
      </c>
      <c r="CQ38" s="115">
        <f>IFERROR(VLOOKUP("614",$AF$7:$AI$42,4,0),0) + IFERROR(VLOOKUP("614",$AJ$7:$AM$42,4,0),0)</f>
        <v>0</v>
      </c>
      <c r="CR38" s="116">
        <f>SUM(CN38:CQ38)</f>
        <v>0</v>
      </c>
      <c r="CT38" s="115">
        <f>IF(CD42=CG38,CD38,0)</f>
        <v>0</v>
      </c>
      <c r="CU38" s="115">
        <f>IF(CE42=CG38,CE38,0)</f>
        <v>0</v>
      </c>
      <c r="CV38" s="115">
        <f>IF(CF42=CG38,CF38,0)</f>
        <v>0</v>
      </c>
      <c r="CW38" s="116">
        <f>SUM(CS38:CV38)</f>
        <v>0</v>
      </c>
      <c r="CY38" s="115">
        <f>IF(CD42=CG38,CI38,0)</f>
        <v>0</v>
      </c>
      <c r="CZ38" s="115">
        <f>IF(CE42=CG38,CJ38,0)</f>
        <v>0</v>
      </c>
      <c r="DA38" s="115">
        <f>IF(CF42=CG38,CK38,0)</f>
        <v>0</v>
      </c>
      <c r="DB38" s="116">
        <f>SUM(CX38:DA38)</f>
        <v>0</v>
      </c>
      <c r="DC38" s="116">
        <f>RANK(DB38,DB38:DB41)</f>
        <v>1</v>
      </c>
      <c r="DE38" s="115">
        <f>IF(CD42=CG38,CO38,0)</f>
        <v>0</v>
      </c>
      <c r="DF38" s="115">
        <f>IF(CE42=CG38,CP38,0)</f>
        <v>0</v>
      </c>
      <c r="DG38" s="115">
        <f>IF(CF42=CG38,CQ38,0)</f>
        <v>0</v>
      </c>
      <c r="DH38" s="116">
        <f>SUM(DD38:DG38)</f>
        <v>0</v>
      </c>
      <c r="DI38" s="116">
        <f>CG38*10000+CW38*100+(5-DC38)+DH38/10</f>
        <v>4</v>
      </c>
      <c r="DJ38" s="116">
        <f>RANK(DI38,DI38:DI41)</f>
        <v>1</v>
      </c>
      <c r="DL38" s="115">
        <f>IF(DL42=DJ38,CD38,0)</f>
        <v>0</v>
      </c>
      <c r="DM38" s="115">
        <f>IF(DM42=DJ38,CE38,0)</f>
        <v>0</v>
      </c>
      <c r="DN38" s="115">
        <f>IF(DN42=DJ38,CF38,0)</f>
        <v>0</v>
      </c>
      <c r="DO38" s="116">
        <f>SUM(DK38:DN38)</f>
        <v>0</v>
      </c>
      <c r="DP38" s="116">
        <f>(5-DJ38)*10000+DO38*100+(5-CM38)+CR38/10+(5-DX38)/100+BQ38/10000</f>
        <v>40004.04000504921</v>
      </c>
      <c r="DQ38" s="116">
        <f>RANK(DP38,DP38:DP41)</f>
        <v>1</v>
      </c>
      <c r="DT38" s="115">
        <f>IFERROR(VLOOKUP("612",$AX$7:$AY$42,2,0),0) + IFERROR(VLOOKUP("612",$AZ$7:$BA$42,2,0),0)</f>
        <v>0</v>
      </c>
      <c r="DU38" s="115">
        <f>IFERROR(VLOOKUP("613",$AX$7:$AY$42,2,0),0) + IFERROR(VLOOKUP("613",$AZ$7:$BA$42,2,0),0)</f>
        <v>0</v>
      </c>
      <c r="DV38" s="115">
        <f>IFERROR(VLOOKUP("614",$AX$7:$AY$42,2,0),0) + IFERROR(VLOOKUP("614",$AZ$7:$BA$42,2,0),0)</f>
        <v>0</v>
      </c>
      <c r="DW38" s="116">
        <f>SUM(DS38:DV38)</f>
        <v>0</v>
      </c>
      <c r="DX38" s="116">
        <f>RANK(DW38,DW38:DW41)</f>
        <v>1</v>
      </c>
      <c r="DZ38" s="116" t="str">
        <f>BD38</f>
        <v>Portugal</v>
      </c>
      <c r="EA38" s="116">
        <f>EI38*10000+EO38*100+ET38</f>
        <v>100</v>
      </c>
      <c r="EB38" s="115">
        <f>COUNTIF(EA38:EA41,EA38)</f>
        <v>4</v>
      </c>
      <c r="EC38" s="115">
        <f>COUNTIF(CG38:CG41,CG38)</f>
        <v>4</v>
      </c>
      <c r="ED38" s="116">
        <f>IF(AND(EB38&gt;=2,EC38=2),EA38,-EA38-0.4)</f>
        <v>-100.4</v>
      </c>
      <c r="EF38" s="115">
        <f>IFERROR(VLOOKUP("612",$AO$7:$AR$42,2,0),0) + IFERROR(VLOOKUP("612",$AS$7:$AV$42,2,0),0)</f>
        <v>0</v>
      </c>
      <c r="EG38" s="115">
        <f>IFERROR(VLOOKUP("613",$AO$7:$AR$42,2,0),0) + IFERROR(VLOOKUP("613",$AS$7:$AV$42,2,0),0)</f>
        <v>0</v>
      </c>
      <c r="EH38" s="115">
        <f>IFERROR(VLOOKUP("614",$AO$7:$AR$42,2,0),0) + IFERROR(VLOOKUP("614",$AS$7:$AV$42,2,0),0)</f>
        <v>0</v>
      </c>
      <c r="EI38" s="116">
        <f>SUM(EE38:EH38)</f>
        <v>0</v>
      </c>
      <c r="EK38" s="115">
        <f>IFERROR(VLOOKUP("612",$AO$7:$AR$42,3,0),0) + IFERROR(VLOOKUP("612",$AS$7:$AV$42,3,0),0)</f>
        <v>0</v>
      </c>
      <c r="EL38" s="115">
        <f>IFERROR(VLOOKUP("613",$AO$7:$AR$42,3,0),0) + IFERROR(VLOOKUP("613",$AS$7:$AV$42,3,0),0)</f>
        <v>0</v>
      </c>
      <c r="EM38" s="115">
        <f>IFERROR(VLOOKUP("614",$AO$7:$AR$42,3,0),0) + IFERROR(VLOOKUP("614",$AS$7:$AV$42,3,0),0)</f>
        <v>0</v>
      </c>
      <c r="EN38" s="116">
        <f>SUM(EJ38:EM38)</f>
        <v>0</v>
      </c>
      <c r="EO38" s="116">
        <f>RANK(EN38,EN38:EN41)</f>
        <v>1</v>
      </c>
      <c r="EQ38" s="115">
        <f>IFERROR(VLOOKUP("612",$AO$7:$AR$42,4,0),0) + IFERROR(VLOOKUP("612",$AS$7:$AV$42,4,0),0)</f>
        <v>0</v>
      </c>
      <c r="ER38" s="115">
        <f>IFERROR(VLOOKUP("613",$AO$7:$AR$42,4,0),0) + IFERROR(VLOOKUP("613",$AS$7:$AV$42,4,0),0)</f>
        <v>0</v>
      </c>
      <c r="ES38" s="115">
        <f>IFERROR(VLOOKUP("614",$AO$7:$AR$42,4,0),0) + IFERROR(VLOOKUP("614",$AS$7:$AV$42,4,0),0)</f>
        <v>0</v>
      </c>
      <c r="ET38" s="116">
        <f>SUM(EP38:ES38)</f>
        <v>0</v>
      </c>
      <c r="EV38" s="192">
        <v>7</v>
      </c>
      <c r="EW38" s="79" t="str">
        <f>VLOOKUP(EV38,$Z$46:$AC$53,3,0)</f>
        <v>D1</v>
      </c>
      <c r="EX38" s="80"/>
      <c r="EY38" s="81"/>
      <c r="EZ38" s="82"/>
      <c r="FA38" s="99"/>
      <c r="FB38" s="63"/>
      <c r="FH38" s="63"/>
      <c r="FI38" s="63"/>
      <c r="FJ38" s="63"/>
      <c r="FK38" s="63"/>
      <c r="FL38" s="63"/>
      <c r="FM38" s="63"/>
      <c r="FN38" s="63"/>
      <c r="FO38" s="63"/>
      <c r="FP38" s="63"/>
      <c r="FQ38" s="63"/>
      <c r="FR38" s="63"/>
      <c r="FS38" s="63"/>
      <c r="FT38" s="63"/>
      <c r="FU38" s="63"/>
    </row>
    <row r="39" spans="1:177">
      <c r="A39" s="83">
        <v>30</v>
      </c>
      <c r="B39" s="84" t="str">
        <f t="shared" si="27"/>
        <v>Di</v>
      </c>
      <c r="C39" s="85" t="str">
        <f t="shared" si="28"/>
        <v>Jun 25, 2024</v>
      </c>
      <c r="D39" s="86">
        <f t="shared" si="29"/>
        <v>0.75</v>
      </c>
      <c r="E39" s="87" t="str">
        <f>BD26</f>
        <v>Frankrijk</v>
      </c>
      <c r="F39" s="73"/>
      <c r="G39" s="74"/>
      <c r="H39" s="88" t="str">
        <f>BD29</f>
        <v>Polen</v>
      </c>
      <c r="I39" s="186" t="str">
        <f>INDEX(T,108,lang)</f>
        <v>Dortmund</v>
      </c>
      <c r="J39" s="186"/>
      <c r="K39" s="186"/>
      <c r="L39" s="73"/>
      <c r="M39" s="74"/>
      <c r="O39" s="64" t="str">
        <f>VLOOKUP(1,BC38:BM41,2,0)</f>
        <v>Portugal</v>
      </c>
      <c r="P39" s="65">
        <f>Q39+R39+S39</f>
        <v>0</v>
      </c>
      <c r="Q39" s="65">
        <f>VLOOKUP(1,BC38:BM41,3,0)</f>
        <v>0</v>
      </c>
      <c r="R39" s="65">
        <f>VLOOKUP(1,BC38:BM41,4,0)</f>
        <v>0</v>
      </c>
      <c r="S39" s="65">
        <f>VLOOKUP(1,BC38:BM41,5,0)</f>
        <v>0</v>
      </c>
      <c r="T39" s="65" t="str">
        <f>VLOOKUP(1,BC38:BM41,6,0) &amp; " - " &amp; VLOOKUP(1,BC38:BM41,7,0)</f>
        <v>0 - 0</v>
      </c>
      <c r="U39" s="66">
        <f>Q39*3+R39</f>
        <v>0</v>
      </c>
      <c r="W39" s="115">
        <f>DATE(2024,6,26)+TIME(5,0,0)+gmt_delta</f>
        <v>45469.75</v>
      </c>
      <c r="X39" s="117" t="str">
        <f t="shared" si="0"/>
        <v/>
      </c>
      <c r="Y39" s="117" t="str">
        <f t="shared" si="1"/>
        <v/>
      </c>
      <c r="Z39" s="116">
        <f t="shared" si="2"/>
        <v>0</v>
      </c>
      <c r="AA39" s="115">
        <f t="shared" si="3"/>
        <v>0</v>
      </c>
      <c r="AB39" s="115">
        <f t="shared" si="4"/>
        <v>0</v>
      </c>
      <c r="AC39" s="115">
        <f t="shared" si="5"/>
        <v>5</v>
      </c>
      <c r="AD39" s="115">
        <f t="shared" si="6"/>
        <v>4</v>
      </c>
      <c r="AE39" s="115">
        <f t="shared" si="7"/>
        <v>3</v>
      </c>
      <c r="AF39" s="115" t="str">
        <f t="shared" si="8"/>
        <v>543</v>
      </c>
      <c r="AG39" s="115">
        <f t="shared" si="9"/>
        <v>0</v>
      </c>
      <c r="AH39" s="115">
        <f t="shared" si="10"/>
        <v>0</v>
      </c>
      <c r="AI39" s="115">
        <f t="shared" si="11"/>
        <v>0</v>
      </c>
      <c r="AJ39" s="115" t="str">
        <f t="shared" si="12"/>
        <v>534</v>
      </c>
      <c r="AK39" s="115">
        <f t="shared" si="13"/>
        <v>0</v>
      </c>
      <c r="AL39" s="115">
        <f t="shared" si="14"/>
        <v>0</v>
      </c>
      <c r="AM39" s="115">
        <f t="shared" si="15"/>
        <v>0</v>
      </c>
      <c r="AO39" s="115" t="str">
        <f t="shared" si="33"/>
        <v>543</v>
      </c>
      <c r="AP39" s="115">
        <v>0</v>
      </c>
      <c r="AQ39" s="115">
        <v>0</v>
      </c>
      <c r="AR39" s="115">
        <v>0</v>
      </c>
      <c r="AS39" s="115" t="str">
        <f t="shared" si="34"/>
        <v>534</v>
      </c>
      <c r="AT39" s="115">
        <v>0</v>
      </c>
      <c r="AU39" s="115">
        <v>0</v>
      </c>
      <c r="AV39" s="115">
        <v>0</v>
      </c>
      <c r="AW39" s="115">
        <f t="shared" si="35"/>
        <v>0</v>
      </c>
      <c r="AX39" s="115" t="str">
        <f t="shared" si="24"/>
        <v>543</v>
      </c>
      <c r="AY39" s="115">
        <f t="shared" si="36"/>
        <v>0</v>
      </c>
      <c r="AZ39" s="115" t="str">
        <f t="shared" si="25"/>
        <v>534</v>
      </c>
      <c r="BA39" s="115">
        <f t="shared" si="37"/>
        <v>0</v>
      </c>
      <c r="BC39" s="115">
        <f>DQ39</f>
        <v>2</v>
      </c>
      <c r="BD39" s="116" t="str">
        <f>INDEX(T,46,lang)</f>
        <v>Turkije</v>
      </c>
      <c r="BE39" s="115">
        <f>COUNTIF($X$7:$Y$42,"=" &amp; BD39 &amp; "_win")</f>
        <v>0</v>
      </c>
      <c r="BF39" s="115">
        <f>COUNTIF($X$7:$Y$42,"=" &amp; BD39 &amp; "_draw")</f>
        <v>0</v>
      </c>
      <c r="BG39" s="115">
        <f>COUNTIF($X$7:$Y$42,"=" &amp; BD39 &amp; "_lose")</f>
        <v>0</v>
      </c>
      <c r="BH39" s="115">
        <f>SUMIF($E$10:$E$45,$BD39,$F$10:$F$45) + SUMIF($H$10:$H$45,$BD39,$G$10:$G$45)</f>
        <v>0</v>
      </c>
      <c r="BI39" s="115">
        <f>SUMIF($E$10:$E$45,$BD39,$G$10:$G$45) + SUMIF($H$10:$H$45,$BD39,$F$10:$F$45)</f>
        <v>0</v>
      </c>
      <c r="BJ39" s="115">
        <f>BM39*10000</f>
        <v>0</v>
      </c>
      <c r="BK39" s="115">
        <f>BH39-BI39</f>
        <v>0</v>
      </c>
      <c r="BL39" s="115">
        <f>(BK39-BK43)/BK42</f>
        <v>0</v>
      </c>
      <c r="BM39" s="115">
        <f>BE39*3+BF39</f>
        <v>0</v>
      </c>
      <c r="BN39" s="115">
        <f>BT39/BT42*10+BU39/BU42+BX39/BX42*0.1+BV39/BV42*0.01</f>
        <v>0</v>
      </c>
      <c r="BP39" s="115">
        <f>IF(VLOOKUP(BD39,db_fifarank,2,0)="",MIN(db_fifarank),VLOOKUP(BD39,db_fifarank,2,0))</f>
        <v>38.6</v>
      </c>
      <c r="BQ39" s="115">
        <f t="shared" ref="BQ39:BQ41" si="39">0.1*((BP39-$BP$44)/$BP$46-(COUNTIF($BP$8:$BP$41,BP39)-1)/(100-ROW(BP39)))</f>
        <v>3.2214633542423245E-2</v>
      </c>
      <c r="BR39" s="116">
        <f>10000000*BM39/BM42+100000*BN39/BN42+100*BL39+10*BH39/BH42+1*BN39/BN42+BQ39</f>
        <v>3.2214633542423245E-2</v>
      </c>
      <c r="BS39" s="116" t="str">
        <f>IF(SUM(BE38:BG41)=12,O40,INDEX(T,81,lang))</f>
        <v>F2</v>
      </c>
      <c r="BT39" s="115">
        <f>SUMPRODUCT(($X$7:$X$42=BD39&amp;"_win")*($Z$7:$Z$42))+SUMPRODUCT(($Y$7:$Y$42=BD39&amp;"_win")*($Z$7:$Z$42))</f>
        <v>0</v>
      </c>
      <c r="BU39" s="115">
        <f>SUMPRODUCT(($X$7:$X$42=BD39&amp;"_draw")*($Z$7:$Z$42))+SUMPRODUCT(($Y$7:$Y$42=BD39&amp;"_draw")*($Z$7:$Z$42))</f>
        <v>0</v>
      </c>
      <c r="BV39" s="115">
        <f>SUMPRODUCT(($E$10:$E$45=BD39)*($Z$7:$Z$42)*($F$10:$F$45))+SUMPRODUCT(($H$10:$H$45=BD39)*($Z$7:$Z$42)*($G$10:$G$45))</f>
        <v>0</v>
      </c>
      <c r="BW39" s="115">
        <f>SUMPRODUCT(($E$10:$E$45=BD39)*($Z$7:$Z$42)*($G$10:$G$45))+SUMPRODUCT(($H$10:$H$45=BD39)*($Z$7:$Z$42)*($F$10:$F$45))</f>
        <v>0</v>
      </c>
      <c r="BX39" s="115">
        <f>BV39-BW39</f>
        <v>0</v>
      </c>
      <c r="CC39" s="115">
        <f>IFERROR(VLOOKUP("621",$AF$7:$AI$42,2,0),0) + IFERROR(VLOOKUP("621",$AJ$7:$AM$42,2,0),0)</f>
        <v>0</v>
      </c>
      <c r="CE39" s="115">
        <f>IFERROR(VLOOKUP("623",$AF$7:$AI$42,2,0),0) + IFERROR(VLOOKUP("623",$AJ$7:$AM$42,2,0),0)</f>
        <v>0</v>
      </c>
      <c r="CF39" s="115">
        <f>IFERROR(VLOOKUP("624",$AF$7:$AI$42,2,0),0) + IFERROR(VLOOKUP("624",$AJ$7:$AM$42,2,0),0)</f>
        <v>0</v>
      </c>
      <c r="CG39" s="116">
        <f>SUM(CC39:CF39)</f>
        <v>0</v>
      </c>
      <c r="CH39" s="115">
        <f>IFERROR(VLOOKUP("621",$AF$7:$AI$42,3,0),0) + IFERROR(VLOOKUP("621",$AJ$7:$AM$42,3,0),0)</f>
        <v>0</v>
      </c>
      <c r="CJ39" s="115">
        <f>IFERROR(VLOOKUP("623",$AF$7:$AI$42,3,0),0) + IFERROR(VLOOKUP("623",$AJ$7:$AM$42,3,0),0)</f>
        <v>0</v>
      </c>
      <c r="CK39" s="115">
        <f>IFERROR(VLOOKUP("624",$AF$7:$AI$42,3,0),0) + IFERROR(VLOOKUP("624",$AJ$7:$AM$42,3,0),0)</f>
        <v>0</v>
      </c>
      <c r="CL39" s="116">
        <f>SUM(CH39:CK39)</f>
        <v>0</v>
      </c>
      <c r="CM39" s="116">
        <f>RANK(CL39,CL38:CL41)</f>
        <v>1</v>
      </c>
      <c r="CN39" s="115">
        <f>IFERROR(VLOOKUP("621",$AF$7:$AI$42,4,0),0) + IFERROR(VLOOKUP("621",$AJ$7:$AM$42,4,0),0)</f>
        <v>0</v>
      </c>
      <c r="CP39" s="115">
        <f>IFERROR(VLOOKUP("623",$AF$7:$AI$42,4,0),0) + IFERROR(VLOOKUP("623",$AJ$7:$AM$42,4,0),0)</f>
        <v>0</v>
      </c>
      <c r="CQ39" s="115">
        <f>IFERROR(VLOOKUP("624",$AF$7:$AI$42,4,0),0) + IFERROR(VLOOKUP("624",$AJ$7:$AM$42,4,0),0)</f>
        <v>0</v>
      </c>
      <c r="CR39" s="116">
        <f>SUM(CN39:CQ39)</f>
        <v>0</v>
      </c>
      <c r="CS39" s="115">
        <f>IF(CC42=CG39,CC39,0)</f>
        <v>0</v>
      </c>
      <c r="CU39" s="115">
        <f>IF(CE42=CG39,CE39,0)</f>
        <v>0</v>
      </c>
      <c r="CV39" s="115">
        <f>IF(CF42=CG39,CF39,0)</f>
        <v>0</v>
      </c>
      <c r="CW39" s="116">
        <f>SUM(CS39:CV39)</f>
        <v>0</v>
      </c>
      <c r="CX39" s="115">
        <f>IF(CC42=CG39,CH39,0)</f>
        <v>0</v>
      </c>
      <c r="CZ39" s="115">
        <f>IF(CE42=CG39,CJ39,0)</f>
        <v>0</v>
      </c>
      <c r="DA39" s="115">
        <f>IF(CF42=CG39,CK39,0)</f>
        <v>0</v>
      </c>
      <c r="DB39" s="116">
        <f>SUM(CX39:DA39)</f>
        <v>0</v>
      </c>
      <c r="DC39" s="116">
        <f>RANK(DB39,DB38:DB41)</f>
        <v>1</v>
      </c>
      <c r="DD39" s="115">
        <f>IF(CC42=CG39,CN39,0)</f>
        <v>0</v>
      </c>
      <c r="DF39" s="115">
        <f>IF(CE42=CG39,CP39,0)</f>
        <v>0</v>
      </c>
      <c r="DG39" s="115">
        <f>IF(CF42=CG39,CQ39,0)</f>
        <v>0</v>
      </c>
      <c r="DH39" s="116">
        <f>SUM(DD39:DG39)</f>
        <v>0</v>
      </c>
      <c r="DI39" s="116">
        <f>CG39*10000+CW39*100+(5-DC39)+DH39/10</f>
        <v>4</v>
      </c>
      <c r="DJ39" s="116">
        <f>RANK(DI39,DI38:DI41)</f>
        <v>1</v>
      </c>
      <c r="DK39" s="115">
        <f>IF(DK42=DJ39,CC39,0)</f>
        <v>0</v>
      </c>
      <c r="DM39" s="115">
        <f>IF(DM42=DJ39,CE39,0)</f>
        <v>0</v>
      </c>
      <c r="DN39" s="115">
        <f>IF(DN42=DJ39,CF39,0)</f>
        <v>0</v>
      </c>
      <c r="DO39" s="116">
        <f>SUM(DK39:DN39)</f>
        <v>0</v>
      </c>
      <c r="DP39" s="116">
        <f>(5-DJ39)*10000+DO39*100+(5-CM39)+CR39/10+(5-DX39)/100+BQ39/10000</f>
        <v>40004.040003221467</v>
      </c>
      <c r="DQ39" s="116">
        <f>RANK(DP39,DP38:DP41)</f>
        <v>2</v>
      </c>
      <c r="DS39" s="115">
        <f>IFERROR(VLOOKUP("621",$AX$7:$AY$42,2,0),0) + IFERROR(VLOOKUP("621",$AZ$7:$BA$42,2,0),0)</f>
        <v>0</v>
      </c>
      <c r="DU39" s="115">
        <f>IFERROR(VLOOKUP("623",$AX$7:$AY$42,2,0),0) + IFERROR(VLOOKUP("623",$AZ$7:$BA$42,2,0),0)</f>
        <v>0</v>
      </c>
      <c r="DV39" s="115">
        <f>IFERROR(VLOOKUP("624",$AX$7:$AY$42,2,0),0) + IFERROR(VLOOKUP("624",$AZ$7:$BA$42,2,0),0)</f>
        <v>0</v>
      </c>
      <c r="DW39" s="116">
        <f>SUM(DS39:DV39)</f>
        <v>0</v>
      </c>
      <c r="DX39" s="116">
        <f>RANK(DW39,DW38:DW41)</f>
        <v>1</v>
      </c>
      <c r="DZ39" s="116" t="str">
        <f>BD39</f>
        <v>Turkije</v>
      </c>
      <c r="EA39" s="116">
        <f>EI39*10000+EO39*100+ET39</f>
        <v>100</v>
      </c>
      <c r="EB39" s="115">
        <f>COUNTIF(EA38:EA41,EA39)</f>
        <v>4</v>
      </c>
      <c r="EC39" s="115">
        <f>COUNTIF(CG38:CG41,CG39)</f>
        <v>4</v>
      </c>
      <c r="ED39" s="116">
        <f>IF(AND(EB39&gt;=2,EC39=2),EA39,-EA39-0.3)</f>
        <v>-100.3</v>
      </c>
      <c r="EE39" s="115">
        <f>IFERROR(VLOOKUP("621",$AO$7:$AR$42,2,0),0) + IFERROR(VLOOKUP("621",$AS$7:$AV$42,2,0),0)</f>
        <v>0</v>
      </c>
      <c r="EG39" s="115">
        <f>IFERROR(VLOOKUP("623",$AO$7:$AR$42,2,0),0) + IFERROR(VLOOKUP("623",$AS$7:$AV$42,2,0),0)</f>
        <v>0</v>
      </c>
      <c r="EH39" s="115">
        <f>IFERROR(VLOOKUP("624",$AO$7:$AR$42,2,0),0) + IFERROR(VLOOKUP("624",$AS$7:$AV$42,2,0),0)</f>
        <v>0</v>
      </c>
      <c r="EI39" s="116">
        <f>SUM(EE39:EH39)</f>
        <v>0</v>
      </c>
      <c r="EJ39" s="115">
        <f>IFERROR(VLOOKUP("621",$AO$7:$AR$42,3,0),0) + IFERROR(VLOOKUP("621",$AS$7:$AV$42,3,0),0)</f>
        <v>0</v>
      </c>
      <c r="EL39" s="115">
        <f>IFERROR(VLOOKUP("623",$AO$7:$AR$42,3,0),0) + IFERROR(VLOOKUP("623",$AS$7:$AV$42,3,0),0)</f>
        <v>0</v>
      </c>
      <c r="EM39" s="115">
        <f>IFERROR(VLOOKUP("624",$AO$7:$AR$42,3,0),0) + IFERROR(VLOOKUP("624",$AS$7:$AV$42,3,0),0)</f>
        <v>0</v>
      </c>
      <c r="EN39" s="116">
        <f>SUM(EJ39:EM39)</f>
        <v>0</v>
      </c>
      <c r="EO39" s="116">
        <f>RANK(EN39,EN38:EN41)</f>
        <v>1</v>
      </c>
      <c r="EP39" s="115">
        <f>IFERROR(VLOOKUP("621",$AO$7:$AR$42,4,0),0) + IFERROR(VLOOKUP("621",$AS$7:$AV$42,4,0),0)</f>
        <v>0</v>
      </c>
      <c r="ER39" s="115">
        <f>IFERROR(VLOOKUP("623",$AO$7:$AR$42,4,0),0) + IFERROR(VLOOKUP("623",$AS$7:$AV$42,4,0),0)</f>
        <v>0</v>
      </c>
      <c r="ES39" s="115">
        <f>IFERROR(VLOOKUP("624",$AO$7:$AR$42,4,0),0) + IFERROR(VLOOKUP("624",$AS$7:$AV$42,4,0),0)</f>
        <v>0</v>
      </c>
      <c r="ET39" s="116">
        <f>SUM(EP39:ES39)</f>
        <v>0</v>
      </c>
      <c r="EV39" s="192"/>
      <c r="EW39" s="89" t="str">
        <f>VLOOKUP(EV38,$Z$46:$AC$53,4,0)</f>
        <v>F2</v>
      </c>
      <c r="EX39" s="90"/>
      <c r="EY39" s="91"/>
      <c r="EZ39" s="92"/>
      <c r="FA39" s="63"/>
      <c r="FB39" s="63"/>
      <c r="FJ39" s="63"/>
      <c r="FK39" s="63"/>
      <c r="FL39" s="63"/>
      <c r="FM39" s="63"/>
      <c r="FN39" s="63"/>
      <c r="FO39" s="63"/>
      <c r="FP39" s="63"/>
      <c r="FQ39" s="63"/>
      <c r="FR39" s="63"/>
      <c r="FS39" s="63"/>
      <c r="FT39" s="63"/>
      <c r="FU39" s="63"/>
    </row>
    <row r="40" spans="1:177">
      <c r="A40" s="83">
        <v>31</v>
      </c>
      <c r="B40" s="84" t="str">
        <f t="shared" si="27"/>
        <v>Di</v>
      </c>
      <c r="C40" s="85" t="str">
        <f t="shared" si="28"/>
        <v>Jun 25, 2024</v>
      </c>
      <c r="D40" s="86">
        <f t="shared" si="29"/>
        <v>0.875</v>
      </c>
      <c r="E40" s="87" t="str">
        <f>BD20</f>
        <v>Engeland</v>
      </c>
      <c r="F40" s="73"/>
      <c r="G40" s="74"/>
      <c r="H40" s="88" t="str">
        <f>BD23</f>
        <v>Slovenië</v>
      </c>
      <c r="I40" s="186" t="str">
        <f>INDEX(T,104,lang)</f>
        <v>Keulen</v>
      </c>
      <c r="J40" s="186"/>
      <c r="K40" s="186"/>
      <c r="L40" s="73"/>
      <c r="M40" s="74"/>
      <c r="O40" s="76" t="str">
        <f>VLOOKUP(2,BC38:BM41,2,0)</f>
        <v>Turkije</v>
      </c>
      <c r="P40" s="77">
        <f>Q40+R40+S40</f>
        <v>0</v>
      </c>
      <c r="Q40" s="77">
        <f>VLOOKUP(2,BC38:BM41,3,0)</f>
        <v>0</v>
      </c>
      <c r="R40" s="77">
        <f>VLOOKUP(2,BC38:BM41,4,0)</f>
        <v>0</v>
      </c>
      <c r="S40" s="77">
        <f>VLOOKUP(2,BC38:BM41,5,0)</f>
        <v>0</v>
      </c>
      <c r="T40" s="77" t="str">
        <f>VLOOKUP(2,BC38:BM41,6,0) &amp; " - " &amp; VLOOKUP(2,BC38:BM41,7,0)</f>
        <v>0 - 0</v>
      </c>
      <c r="U40" s="78">
        <f>Q40*3+R40</f>
        <v>0</v>
      </c>
      <c r="W40" s="115">
        <f>DATE(2024,6,26)+TIME(5,0,0)+gmt_delta</f>
        <v>45469.75</v>
      </c>
      <c r="X40" s="117" t="str">
        <f t="shared" si="0"/>
        <v/>
      </c>
      <c r="Y40" s="117" t="str">
        <f t="shared" si="1"/>
        <v/>
      </c>
      <c r="Z40" s="116">
        <f t="shared" si="2"/>
        <v>0</v>
      </c>
      <c r="AA40" s="115">
        <f t="shared" si="3"/>
        <v>0</v>
      </c>
      <c r="AB40" s="115">
        <f t="shared" si="4"/>
        <v>0</v>
      </c>
      <c r="AC40" s="115">
        <f t="shared" si="5"/>
        <v>5</v>
      </c>
      <c r="AD40" s="115">
        <f t="shared" si="6"/>
        <v>2</v>
      </c>
      <c r="AE40" s="115">
        <f t="shared" si="7"/>
        <v>1</v>
      </c>
      <c r="AF40" s="115" t="str">
        <f t="shared" si="8"/>
        <v>521</v>
      </c>
      <c r="AG40" s="115">
        <f t="shared" si="9"/>
        <v>0</v>
      </c>
      <c r="AH40" s="115">
        <f t="shared" si="10"/>
        <v>0</v>
      </c>
      <c r="AI40" s="115">
        <f t="shared" si="11"/>
        <v>0</v>
      </c>
      <c r="AJ40" s="115" t="str">
        <f t="shared" si="12"/>
        <v>512</v>
      </c>
      <c r="AK40" s="115">
        <f t="shared" si="13"/>
        <v>0</v>
      </c>
      <c r="AL40" s="115">
        <f t="shared" si="14"/>
        <v>0</v>
      </c>
      <c r="AM40" s="115">
        <f t="shared" si="15"/>
        <v>0</v>
      </c>
      <c r="AO40" s="115" t="str">
        <f t="shared" si="33"/>
        <v>521</v>
      </c>
      <c r="AP40" s="115">
        <v>0</v>
      </c>
      <c r="AQ40" s="115">
        <v>0</v>
      </c>
      <c r="AR40" s="115">
        <v>0</v>
      </c>
      <c r="AS40" s="115" t="str">
        <f t="shared" si="34"/>
        <v>512</v>
      </c>
      <c r="AT40" s="115">
        <v>0</v>
      </c>
      <c r="AU40" s="115">
        <v>0</v>
      </c>
      <c r="AV40" s="115">
        <v>0</v>
      </c>
      <c r="AW40" s="115">
        <f t="shared" si="35"/>
        <v>0</v>
      </c>
      <c r="AX40" s="115" t="str">
        <f t="shared" si="24"/>
        <v>521</v>
      </c>
      <c r="AY40" s="115">
        <f t="shared" si="36"/>
        <v>0</v>
      </c>
      <c r="AZ40" s="115" t="str">
        <f t="shared" si="25"/>
        <v>512</v>
      </c>
      <c r="BA40" s="115">
        <f t="shared" si="37"/>
        <v>0</v>
      </c>
      <c r="BC40" s="115">
        <f>DQ40</f>
        <v>3</v>
      </c>
      <c r="BD40" s="116" t="str">
        <f>INDEX(T,58,lang)</f>
        <v>Tsjechische Republiek</v>
      </c>
      <c r="BE40" s="115">
        <f>COUNTIF($X$7:$Y$42,"=" &amp; BD40 &amp; "_win")</f>
        <v>0</v>
      </c>
      <c r="BF40" s="115">
        <f>COUNTIF($X$7:$Y$42,"=" &amp; BD40 &amp; "_draw")</f>
        <v>0</v>
      </c>
      <c r="BG40" s="115">
        <f>COUNTIF($X$7:$Y$42,"=" &amp; BD40 &amp; "_lose")</f>
        <v>0</v>
      </c>
      <c r="BH40" s="115">
        <f>SUMIF($E$10:$E$45,$BD40,$F$10:$F$45) + SUMIF($H$10:$H$45,$BD40,$G$10:$G$45)</f>
        <v>0</v>
      </c>
      <c r="BI40" s="115">
        <f>SUMIF($E$10:$E$45,$BD40,$G$10:$G$45) + SUMIF($H$10:$H$45,$BD40,$F$10:$F$45)</f>
        <v>0</v>
      </c>
      <c r="BJ40" s="115">
        <f>BM40*10000</f>
        <v>0</v>
      </c>
      <c r="BK40" s="115">
        <f>BH40-BI40</f>
        <v>0</v>
      </c>
      <c r="BL40" s="115">
        <f>(BK40-BK43)/BK42</f>
        <v>0</v>
      </c>
      <c r="BM40" s="115">
        <f>BE40*3+BF40</f>
        <v>0</v>
      </c>
      <c r="BN40" s="115">
        <f>BT40/BT42*10+BU40/BU42+BX40/BX42*0.1+BV40/BV42*0.01</f>
        <v>0</v>
      </c>
      <c r="BP40" s="115">
        <f>IF(VLOOKUP(BD40,db_fifarank,2,0)="",MIN(db_fifarank),VLOOKUP(BD40,db_fifarank,2,0))</f>
        <v>36.049999999999997</v>
      </c>
      <c r="BQ40" s="115">
        <f t="shared" si="39"/>
        <v>2.7917148123693187E-2</v>
      </c>
      <c r="BR40" s="116">
        <f>10000000*BM40/BM42+100000*BN40/BN42+100*BL40+10*BH40/BH42+1*BN40/BN42+BQ40</f>
        <v>2.7917148123693187E-2</v>
      </c>
      <c r="BS40" s="116" t="str">
        <f>IF(SUM(BE38:BG41)&gt;0,O41,"3F")</f>
        <v>3F</v>
      </c>
      <c r="BT40" s="115">
        <f>SUMPRODUCT(($X$7:$X$42=BD40&amp;"_win")*($Z$7:$Z$42))+SUMPRODUCT(($Y$7:$Y$42=BD40&amp;"_win")*($Z$7:$Z$42))</f>
        <v>0</v>
      </c>
      <c r="BU40" s="115">
        <f>SUMPRODUCT(($X$7:$X$42=BD40&amp;"_draw")*($Z$7:$Z$42))+SUMPRODUCT(($Y$7:$Y$42=BD40&amp;"_draw")*($Z$7:$Z$42))</f>
        <v>0</v>
      </c>
      <c r="BV40" s="115">
        <f>SUMPRODUCT(($E$10:$E$45=BD40)*($Z$7:$Z$42)*($F$10:$F$45))+SUMPRODUCT(($H$10:$H$45=BD40)*($Z$7:$Z$42)*($G$10:$G$45))</f>
        <v>0</v>
      </c>
      <c r="BW40" s="115">
        <f>SUMPRODUCT(($E$10:$E$45=BD40)*($Z$7:$Z$42)*($G$10:$G$45))+SUMPRODUCT(($H$10:$H$45=BD40)*($Z$7:$Z$42)*($F$10:$F$45))</f>
        <v>0</v>
      </c>
      <c r="BX40" s="115">
        <f>BV40-BW40</f>
        <v>0</v>
      </c>
      <c r="CC40" s="115">
        <f>IFERROR(VLOOKUP("631",$AF$7:$AI$42,2,0),0) + IFERROR(VLOOKUP("631",$AJ$7:$AM$42,2,0),0)</f>
        <v>0</v>
      </c>
      <c r="CD40" s="115">
        <f>IFERROR(VLOOKUP("632",$AF$7:$AI$42,2,0),0) + IFERROR(VLOOKUP("632",$AJ$7:$AM$42,2,0),0)</f>
        <v>0</v>
      </c>
      <c r="CF40" s="115">
        <f>IFERROR(VLOOKUP("634",$AF$7:$AI$42,2,0),0) + IFERROR(VLOOKUP("634",$AJ$7:$AM$42,2,0),0)</f>
        <v>0</v>
      </c>
      <c r="CG40" s="116">
        <f>SUM(CC40:CF40)</f>
        <v>0</v>
      </c>
      <c r="CH40" s="115">
        <f>IFERROR(VLOOKUP("631",$AF$7:$AI$42,3,0),0) + IFERROR(VLOOKUP("631",$AJ$7:$AM$42,3,0),0)</f>
        <v>0</v>
      </c>
      <c r="CI40" s="115">
        <f>IFERROR(VLOOKUP("632",$AF$7:$AI$42,3,0),0) + IFERROR(VLOOKUP("632",$AJ$7:$AM$42,3,0),0)</f>
        <v>0</v>
      </c>
      <c r="CK40" s="115">
        <f>IFERROR(VLOOKUP("634",$AF$7:$AI$42,3,0),0) + IFERROR(VLOOKUP("634",$AJ$7:$AM$42,3,0),0)</f>
        <v>0</v>
      </c>
      <c r="CL40" s="116">
        <f>SUM(CH40:CK40)</f>
        <v>0</v>
      </c>
      <c r="CM40" s="116">
        <f>RANK(CL40,CL38:CL41)</f>
        <v>1</v>
      </c>
      <c r="CN40" s="115">
        <f>IFERROR(VLOOKUP("631",$AF$7:$AI$42,4,0),0) + IFERROR(VLOOKUP("631",$AJ$7:$AM$42,4,0),0)</f>
        <v>0</v>
      </c>
      <c r="CO40" s="115">
        <f>IFERROR(VLOOKUP("632",$AF$7:$AI$42,4,0),0) + IFERROR(VLOOKUP("632",$AJ$7:$AM$42,4,0),0)</f>
        <v>0</v>
      </c>
      <c r="CQ40" s="115">
        <f>IFERROR(VLOOKUP("634",$AF$7:$AI$42,4,0),0) + IFERROR(VLOOKUP("634",$AJ$7:$AM$42,4,0),0)</f>
        <v>0</v>
      </c>
      <c r="CR40" s="116">
        <f>SUM(CN40:CQ40)</f>
        <v>0</v>
      </c>
      <c r="CS40" s="115">
        <f>IF(CC42=CG40,CC40,0)</f>
        <v>0</v>
      </c>
      <c r="CT40" s="115">
        <f>IF(CD42=CG40,CD40,0)</f>
        <v>0</v>
      </c>
      <c r="CV40" s="115">
        <f>IF(CF42=CG40,CF40,0)</f>
        <v>0</v>
      </c>
      <c r="CW40" s="116">
        <f>SUM(CS40:CV40)</f>
        <v>0</v>
      </c>
      <c r="CX40" s="115">
        <f>IF(CC42=CG40,CH40,0)</f>
        <v>0</v>
      </c>
      <c r="CY40" s="115">
        <f>IF(CD42=CG40,CI40,0)</f>
        <v>0</v>
      </c>
      <c r="DA40" s="115">
        <f>IF(CF42=CG40,CK40,0)</f>
        <v>0</v>
      </c>
      <c r="DB40" s="116">
        <f>SUM(CX40:DA40)</f>
        <v>0</v>
      </c>
      <c r="DC40" s="116">
        <f>RANK(DB40,DB38:DB41)</f>
        <v>1</v>
      </c>
      <c r="DD40" s="115">
        <f>IF(CC42=CG40,CN40,0)</f>
        <v>0</v>
      </c>
      <c r="DE40" s="115">
        <f>IF(CD42=CG40,CO40,0)</f>
        <v>0</v>
      </c>
      <c r="DG40" s="115">
        <f>IF(CF42=CG40,CQ40,0)</f>
        <v>0</v>
      </c>
      <c r="DH40" s="116">
        <f>SUM(DD40:DG40)</f>
        <v>0</v>
      </c>
      <c r="DI40" s="116">
        <f>CG40*10000+CW40*100+(5-DC40)+DH40/10</f>
        <v>4</v>
      </c>
      <c r="DJ40" s="116">
        <f>RANK(DI40,DI38:DI41)</f>
        <v>1</v>
      </c>
      <c r="DK40" s="115">
        <f>IF(DK42=DJ40,CC40,0)</f>
        <v>0</v>
      </c>
      <c r="DL40" s="115">
        <f>IF(DL42=DJ40,CD40,0)</f>
        <v>0</v>
      </c>
      <c r="DN40" s="115">
        <f>IF(DN42=DJ40,CF40,0)</f>
        <v>0</v>
      </c>
      <c r="DO40" s="116">
        <f>SUM(DK40:DN40)</f>
        <v>0</v>
      </c>
      <c r="DP40" s="116">
        <f>(5-DJ40)*10000+DO40*100+(5-CM40)+CR40/10+(5-DX40)/100+BQ40/10000</f>
        <v>40004.040002791713</v>
      </c>
      <c r="DQ40" s="116">
        <f>RANK(DP40,DP38:DP41)</f>
        <v>3</v>
      </c>
      <c r="DS40" s="115">
        <f>IFERROR(VLOOKUP("631",$AX$7:$AY$42,2,0),0) + IFERROR(VLOOKUP("631",$AZ$7:$BA$42,2,0),0)</f>
        <v>0</v>
      </c>
      <c r="DT40" s="115">
        <f>IFERROR(VLOOKUP("632",$AX$7:$AY$42,2,0),0) + IFERROR(VLOOKUP("632",$AZ$7:$BA$42,2,0),0)</f>
        <v>0</v>
      </c>
      <c r="DV40" s="115">
        <f>IFERROR(VLOOKUP("634",$AX$7:$AY$42,2,0),0) + IFERROR(VLOOKUP("634",$AZ$7:$BA$42,2,0),0)</f>
        <v>0</v>
      </c>
      <c r="DW40" s="116">
        <f>SUM(DS40:DV40)</f>
        <v>0</v>
      </c>
      <c r="DX40" s="116">
        <f>RANK(DW40,DW38:DW41)</f>
        <v>1</v>
      </c>
      <c r="DZ40" s="116" t="str">
        <f>BD40</f>
        <v>Tsjechische Republiek</v>
      </c>
      <c r="EA40" s="116">
        <f>EI40*10000+EO40*100+ET40</f>
        <v>100</v>
      </c>
      <c r="EB40" s="115">
        <f>COUNTIF(EA38:EA41,EA40)</f>
        <v>4</v>
      </c>
      <c r="EC40" s="115">
        <f>COUNTIF(CG38:CG41,CG40)</f>
        <v>4</v>
      </c>
      <c r="ED40" s="116">
        <f>IF(AND(EB40&gt;=2,EC40=2),EA40,-EA40-0.2)</f>
        <v>-100.2</v>
      </c>
      <c r="EE40" s="115">
        <f>IFERROR(VLOOKUP("631",$AO$7:$AR$42,2,0),0) + IFERROR(VLOOKUP("631",$AS$7:$AV$42,2,0),0)</f>
        <v>0</v>
      </c>
      <c r="EF40" s="115">
        <f>IFERROR(VLOOKUP("632",$AO$7:$AR$42,2,0),0) + IFERROR(VLOOKUP("632",$AS$7:$AV$42,2,0),0)</f>
        <v>0</v>
      </c>
      <c r="EH40" s="115">
        <f>IFERROR(VLOOKUP("634",$AO$7:$AR$42,2,0),0) + IFERROR(VLOOKUP("634",$AS$7:$AV$42,2,0),0)</f>
        <v>0</v>
      </c>
      <c r="EI40" s="116">
        <f>SUM(EE40:EH40)</f>
        <v>0</v>
      </c>
      <c r="EJ40" s="115">
        <f>IFERROR(VLOOKUP("631",$AO$7:$AR$42,3,0),0) + IFERROR(VLOOKUP("631",$AS$7:$AV$42,3,0),0)</f>
        <v>0</v>
      </c>
      <c r="EK40" s="115">
        <f>IFERROR(VLOOKUP("632",$AO$7:$AR$42,3,0),0) + IFERROR(VLOOKUP("632",$AS$7:$AV$42,3,0),0)</f>
        <v>0</v>
      </c>
      <c r="EM40" s="115">
        <f>IFERROR(VLOOKUP("634",$AO$7:$AR$42,3,0),0) + IFERROR(VLOOKUP("634",$AS$7:$AV$42,3,0),0)</f>
        <v>0</v>
      </c>
      <c r="EN40" s="116">
        <f>SUM(EJ40:EM40)</f>
        <v>0</v>
      </c>
      <c r="EO40" s="116">
        <f>RANK(EN40,EN38:EN41)</f>
        <v>1</v>
      </c>
      <c r="EP40" s="115">
        <f>IFERROR(VLOOKUP("631",$AO$7:$AR$42,4,0),0) + IFERROR(VLOOKUP("631",$AS$7:$AV$42,4,0),0)</f>
        <v>0</v>
      </c>
      <c r="EQ40" s="115">
        <f>IFERROR(VLOOKUP("632",$AO$7:$AR$42,4,0),0) + IFERROR(VLOOKUP("632",$AS$7:$AV$42,4,0),0)</f>
        <v>0</v>
      </c>
      <c r="ES40" s="115">
        <f>IFERROR(VLOOKUP("634",$AO$7:$AR$42,4,0),0) + IFERROR(VLOOKUP("634",$AS$7:$AV$42,4,0),0)</f>
        <v>0</v>
      </c>
      <c r="ET40" s="116">
        <f>SUM(EP40:ES40)</f>
        <v>0</v>
      </c>
    </row>
    <row r="41" spans="1:177">
      <c r="A41" s="83">
        <v>32</v>
      </c>
      <c r="B41" s="84" t="str">
        <f t="shared" si="27"/>
        <v>Di</v>
      </c>
      <c r="C41" s="85" t="str">
        <f t="shared" si="28"/>
        <v>Jun 25, 2024</v>
      </c>
      <c r="D41" s="86">
        <f t="shared" si="29"/>
        <v>0.875</v>
      </c>
      <c r="E41" s="87" t="str">
        <f>BD21</f>
        <v>Denemarken</v>
      </c>
      <c r="F41" s="73"/>
      <c r="G41" s="74"/>
      <c r="H41" s="88" t="str">
        <f>BD22</f>
        <v>Servië</v>
      </c>
      <c r="I41" s="186" t="str">
        <f>INDEX(T,103,lang)</f>
        <v>München</v>
      </c>
      <c r="J41" s="186"/>
      <c r="K41" s="186"/>
      <c r="L41" s="73"/>
      <c r="M41" s="74"/>
      <c r="O41" s="76" t="str">
        <f>VLOOKUP(3,BC38:BM41,2,0)</f>
        <v>Tsjechische Republiek</v>
      </c>
      <c r="P41" s="77">
        <f>Q41+R41+S41</f>
        <v>0</v>
      </c>
      <c r="Q41" s="77">
        <f>VLOOKUP(3,BC38:BM41,3,0)</f>
        <v>0</v>
      </c>
      <c r="R41" s="77">
        <f>VLOOKUP(3,BC38:BM41,4,0)</f>
        <v>0</v>
      </c>
      <c r="S41" s="77">
        <f>VLOOKUP(3,BC38:BM41,5,0)</f>
        <v>0</v>
      </c>
      <c r="T41" s="77" t="str">
        <f>VLOOKUP(3,BC38:BM41,6,0) &amp; " - " &amp; VLOOKUP(3,BC38:BM41,7,0)</f>
        <v>0 - 0</v>
      </c>
      <c r="U41" s="78">
        <f>Q41*3+R41</f>
        <v>0</v>
      </c>
      <c r="W41" s="115">
        <f>DATE(2024,6,26)+TIME(8,0,0)+gmt_delta</f>
        <v>45469.875</v>
      </c>
      <c r="X41" s="117" t="str">
        <f t="shared" si="0"/>
        <v/>
      </c>
      <c r="Y41" s="117" t="str">
        <f t="shared" si="1"/>
        <v/>
      </c>
      <c r="Z41" s="116">
        <f t="shared" si="2"/>
        <v>0</v>
      </c>
      <c r="AA41" s="115">
        <f t="shared" si="3"/>
        <v>0</v>
      </c>
      <c r="AB41" s="115">
        <f t="shared" si="4"/>
        <v>0</v>
      </c>
      <c r="AC41" s="115">
        <f t="shared" si="5"/>
        <v>6</v>
      </c>
      <c r="AD41" s="115">
        <f t="shared" si="6"/>
        <v>4</v>
      </c>
      <c r="AE41" s="115">
        <f t="shared" si="7"/>
        <v>1</v>
      </c>
      <c r="AF41" s="115" t="str">
        <f t="shared" si="8"/>
        <v>641</v>
      </c>
      <c r="AG41" s="115">
        <f t="shared" si="9"/>
        <v>0</v>
      </c>
      <c r="AH41" s="115">
        <f t="shared" si="10"/>
        <v>0</v>
      </c>
      <c r="AI41" s="115">
        <f t="shared" si="11"/>
        <v>0</v>
      </c>
      <c r="AJ41" s="115" t="str">
        <f t="shared" si="12"/>
        <v>614</v>
      </c>
      <c r="AK41" s="115">
        <f t="shared" si="13"/>
        <v>0</v>
      </c>
      <c r="AL41" s="115">
        <f t="shared" si="14"/>
        <v>0</v>
      </c>
      <c r="AM41" s="115">
        <f t="shared" si="15"/>
        <v>0</v>
      </c>
      <c r="AO41" s="115" t="str">
        <f t="shared" si="33"/>
        <v>641</v>
      </c>
      <c r="AP41" s="115">
        <v>0</v>
      </c>
      <c r="AQ41" s="115">
        <v>0</v>
      </c>
      <c r="AR41" s="115">
        <v>0</v>
      </c>
      <c r="AS41" s="115" t="str">
        <f t="shared" si="34"/>
        <v>614</v>
      </c>
      <c r="AT41" s="115">
        <v>0</v>
      </c>
      <c r="AU41" s="115">
        <v>0</v>
      </c>
      <c r="AV41" s="115">
        <v>0</v>
      </c>
      <c r="AW41" s="115">
        <f t="shared" si="35"/>
        <v>0</v>
      </c>
      <c r="AX41" s="115" t="str">
        <f t="shared" si="24"/>
        <v>641</v>
      </c>
      <c r="AY41" s="115">
        <f t="shared" si="36"/>
        <v>0</v>
      </c>
      <c r="AZ41" s="115" t="str">
        <f t="shared" si="25"/>
        <v>614</v>
      </c>
      <c r="BA41" s="115">
        <f t="shared" si="37"/>
        <v>0</v>
      </c>
      <c r="BC41" s="115">
        <f>DQ41</f>
        <v>4</v>
      </c>
      <c r="BD41" s="116" t="str">
        <f>INDEX(T,65,lang)</f>
        <v>Georgië</v>
      </c>
      <c r="BE41" s="115">
        <f>COUNTIF($X$7:$Y$42,"=" &amp; BD41 &amp; "_win")</f>
        <v>0</v>
      </c>
      <c r="BF41" s="115">
        <f>COUNTIF($X$7:$Y$42,"=" &amp; BD41 &amp; "_draw")</f>
        <v>0</v>
      </c>
      <c r="BG41" s="115">
        <f>COUNTIF($X$7:$Y$42,"=" &amp; BD41 &amp; "_lose")</f>
        <v>0</v>
      </c>
      <c r="BH41" s="115">
        <f>SUMIF($E$10:$E$45,$BD41,$F$10:$F$45) + SUMIF($H$10:$H$45,$BD41,$G$10:$G$45)</f>
        <v>0</v>
      </c>
      <c r="BI41" s="115">
        <f>SUMIF($E$10:$E$45,$BD41,$G$10:$G$45) + SUMIF($H$10:$H$45,$BD41,$F$10:$F$45)</f>
        <v>0</v>
      </c>
      <c r="BJ41" s="115">
        <f>BM41*10000</f>
        <v>0</v>
      </c>
      <c r="BK41" s="115">
        <f>BH41-BI41</f>
        <v>0</v>
      </c>
      <c r="BL41" s="115">
        <f>(BK41-BK43)/BK42</f>
        <v>0</v>
      </c>
      <c r="BM41" s="115">
        <f>BE41*3+BF41</f>
        <v>0</v>
      </c>
      <c r="BN41" s="115">
        <f>BT41/BT42*10+BU41/BU42+BX41/BX42*0.1+BV41/BV42*0.01</f>
        <v>0</v>
      </c>
      <c r="BP41" s="115">
        <f>IF(VLOOKUP(BD41,db_fifarank,2,0)="",MIN(db_fifarank),VLOOKUP(BD41,db_fifarank,2,0))</f>
        <v>7.625</v>
      </c>
      <c r="BQ41" s="115">
        <f t="shared" si="39"/>
        <v>2.57923407065038E-4</v>
      </c>
      <c r="BR41" s="116">
        <f>10000000*BM41/BM42+100000*BN41/BN42+100*BL41+10*BH41/BH42+1*BN41/BN42+BQ41</f>
        <v>2.57923407065038E-4</v>
      </c>
      <c r="BT41" s="115">
        <f>SUMPRODUCT(($X$7:$X$42=BD41&amp;"_win")*($Z$7:$Z$42))+SUMPRODUCT(($Y$7:$Y$42=BD41&amp;"_win")*($Z$7:$Z$42))</f>
        <v>0</v>
      </c>
      <c r="BU41" s="115">
        <f>SUMPRODUCT(($X$7:$X$42=BD41&amp;"_draw")*($Z$7:$Z$42))+SUMPRODUCT(($Y$7:$Y$42=BD41&amp;"_draw")*($Z$7:$Z$42))</f>
        <v>0</v>
      </c>
      <c r="BV41" s="115">
        <f>SUMPRODUCT(($E$10:$E$45=BD41)*($Z$7:$Z$42)*($F$10:$F$45))+SUMPRODUCT(($H$10:$H$45=BD41)*($Z$7:$Z$42)*($G$10:$G$45))</f>
        <v>0</v>
      </c>
      <c r="BW41" s="115">
        <f>SUMPRODUCT(($E$10:$E$45=BD41)*($Z$7:$Z$42)*($G$10:$G$45))+SUMPRODUCT(($H$10:$H$45=BD41)*($Z$7:$Z$42)*($F$10:$F$45))</f>
        <v>0</v>
      </c>
      <c r="BX41" s="115">
        <f>BV41-BW41</f>
        <v>0</v>
      </c>
      <c r="CC41" s="115">
        <f>IFERROR(VLOOKUP("641",$AF$7:$AI$42,2,0),0) + IFERROR(VLOOKUP("641",$AJ$7:$AM$42,2,0),0)</f>
        <v>0</v>
      </c>
      <c r="CD41" s="115">
        <f>IFERROR(VLOOKUP("642",$AF$7:$AI$42,2,0),0) + IFERROR(VLOOKUP("642",$AJ$7:$AM$42,2,0),0)</f>
        <v>0</v>
      </c>
      <c r="CE41" s="115">
        <f>IFERROR(VLOOKUP("643",$AF$7:$AI$42,2,0),0) + IFERROR(VLOOKUP("643",$AJ$7:$AM$42,2,0),0)</f>
        <v>0</v>
      </c>
      <c r="CG41" s="116">
        <f>SUM(CC41:CF41)</f>
        <v>0</v>
      </c>
      <c r="CH41" s="115">
        <f>IFERROR(VLOOKUP("641",$AF$7:$AI$42,3,0),0) + IFERROR(VLOOKUP("641",$AJ$7:$AM$42,3,0),0)</f>
        <v>0</v>
      </c>
      <c r="CI41" s="115">
        <f>IFERROR(VLOOKUP("642",$AF$7:$AI$42,3,0),0) + IFERROR(VLOOKUP("642",$AJ$7:$AM$42,3,0),0)</f>
        <v>0</v>
      </c>
      <c r="CJ41" s="115">
        <f>IFERROR(VLOOKUP("643",$AF$7:$AI$42,3,0),0) + IFERROR(VLOOKUP("643",$AJ$7:$AM$42,3,0),0)</f>
        <v>0</v>
      </c>
      <c r="CL41" s="116">
        <f>SUM(CH41:CK41)</f>
        <v>0</v>
      </c>
      <c r="CM41" s="116">
        <f>RANK(CL41,CL38:CL41)</f>
        <v>1</v>
      </c>
      <c r="CN41" s="115">
        <f>IFERROR(VLOOKUP("641",$AF$7:$AI$42,4,0),0) + IFERROR(VLOOKUP("641",$AJ$7:$AM$42,4,0),0)</f>
        <v>0</v>
      </c>
      <c r="CO41" s="115">
        <f>IFERROR(VLOOKUP("642",$AF$7:$AI$42,4,0),0) + IFERROR(VLOOKUP("642",$AJ$7:$AM$42,4,0),0)</f>
        <v>0</v>
      </c>
      <c r="CP41" s="115">
        <f>IFERROR(VLOOKUP("643",$AF$7:$AI$42,4,0),0) + IFERROR(VLOOKUP("643",$AJ$7:$AM$42,4,0),0)</f>
        <v>0</v>
      </c>
      <c r="CR41" s="116">
        <f>SUM(CN41:CQ41)</f>
        <v>0</v>
      </c>
      <c r="CS41" s="115">
        <f>IF(CC42=CG41,CC41,0)</f>
        <v>0</v>
      </c>
      <c r="CT41" s="115">
        <f>IF(CD42=CG41,CD41,0)</f>
        <v>0</v>
      </c>
      <c r="CU41" s="115">
        <f>IF(CE42=CG41,CE41,0)</f>
        <v>0</v>
      </c>
      <c r="CW41" s="116">
        <f>SUM(CS41:CV41)</f>
        <v>0</v>
      </c>
      <c r="CX41" s="115">
        <f>IF(CC42=CG41,CH41,0)</f>
        <v>0</v>
      </c>
      <c r="CY41" s="115">
        <f>IF(CD42=CG41,CI41,0)</f>
        <v>0</v>
      </c>
      <c r="CZ41" s="115">
        <f>IF(CE42=CG41,CJ41,0)</f>
        <v>0</v>
      </c>
      <c r="DB41" s="116">
        <f>SUM(CX41:DA41)</f>
        <v>0</v>
      </c>
      <c r="DC41" s="116">
        <f>RANK(DB41,DB38:DB41)</f>
        <v>1</v>
      </c>
      <c r="DD41" s="115">
        <f>IF(CC42=CG41,CN41,0)</f>
        <v>0</v>
      </c>
      <c r="DE41" s="115">
        <f>IF(CD42=CG41,CO41,0)</f>
        <v>0</v>
      </c>
      <c r="DF41" s="115">
        <f>IF(CE42=CG41,CP41,0)</f>
        <v>0</v>
      </c>
      <c r="DH41" s="116">
        <f>SUM(DD41:DG41)</f>
        <v>0</v>
      </c>
      <c r="DI41" s="116">
        <f>CG41*10000+CW41*100+(5-DC41)+DH41/10</f>
        <v>4</v>
      </c>
      <c r="DJ41" s="116">
        <f>RANK(DI41,DI38:DI41)</f>
        <v>1</v>
      </c>
      <c r="DK41" s="115">
        <f>IF(DK42=DJ41,CC41,0)</f>
        <v>0</v>
      </c>
      <c r="DL41" s="115">
        <f>IF(DL42=DJ41,CD41,0)</f>
        <v>0</v>
      </c>
      <c r="DM41" s="115">
        <f>IF(DM42=DJ41,CE41,0)</f>
        <v>0</v>
      </c>
      <c r="DO41" s="116">
        <f>SUM(DK41:DN41)</f>
        <v>0</v>
      </c>
      <c r="DP41" s="116">
        <f>(5-DJ41)*10000+DO41*100+(5-CM41)+CR41/10+(5-DX41)/100+BQ41/10000</f>
        <v>40004.040000025794</v>
      </c>
      <c r="DQ41" s="116">
        <f>RANK(DP41,DP38:DP41)</f>
        <v>4</v>
      </c>
      <c r="DS41" s="115">
        <f>IFERROR(VLOOKUP("641",$AX$7:$AY$42,2,0),0) + IFERROR(VLOOKUP("641",$AZ$7:$BA$42,2,0),0)</f>
        <v>0</v>
      </c>
      <c r="DT41" s="115">
        <f>IFERROR(VLOOKUP("642",$AX$7:$AY$42,2,0),0) + IFERROR(VLOOKUP("642",$AZ$7:$BA$42,2,0),0)</f>
        <v>0</v>
      </c>
      <c r="DU41" s="115">
        <f>IFERROR(VLOOKUP("643",$AX$7:$AY$42,2,0),0) + IFERROR(VLOOKUP("643",$AZ$7:$BA$42,2,0),0)</f>
        <v>0</v>
      </c>
      <c r="DW41" s="116">
        <f>SUM(DS41:DV41)</f>
        <v>0</v>
      </c>
      <c r="DX41" s="116">
        <f>RANK(DW41,DW38:DW41)</f>
        <v>1</v>
      </c>
      <c r="DZ41" s="116" t="str">
        <f>BD41</f>
        <v>Georgië</v>
      </c>
      <c r="EA41" s="116">
        <f>EI41*10000+EO41*100+ET41</f>
        <v>100</v>
      </c>
      <c r="EB41" s="115">
        <f>COUNTIF(EA38:EA41,EA41)</f>
        <v>4</v>
      </c>
      <c r="EC41" s="115">
        <f>COUNTIF(CG38:CG41,CG41)</f>
        <v>4</v>
      </c>
      <c r="ED41" s="116">
        <f>IF(AND(EB41&gt;=2,EC41=2),EA41,-EA41-0.1)</f>
        <v>-100.1</v>
      </c>
      <c r="EE41" s="115">
        <f>IFERROR(VLOOKUP("641",$AO$7:$AR$42,2,0),0) + IFERROR(VLOOKUP("641",$AS$7:$AV$42,2,0),0)</f>
        <v>0</v>
      </c>
      <c r="EF41" s="115">
        <f>IFERROR(VLOOKUP("642",$AO$7:$AR$42,2,0),0) + IFERROR(VLOOKUP("642",$AS$7:$AV$42,2,0),0)</f>
        <v>0</v>
      </c>
      <c r="EG41" s="115">
        <f>IFERROR(VLOOKUP("643",$AO$7:$AR$42,2,0),0) + IFERROR(VLOOKUP("643",$AS$7:$AV$42,2,0),0)</f>
        <v>0</v>
      </c>
      <c r="EI41" s="116">
        <f>SUM(EE41:EH41)</f>
        <v>0</v>
      </c>
      <c r="EJ41" s="115">
        <f>IFERROR(VLOOKUP("641",$AO$7:$AR$42,3,0),0) + IFERROR(VLOOKUP("641",$AS$7:$AV$42,3,0),0)</f>
        <v>0</v>
      </c>
      <c r="EK41" s="115">
        <f>IFERROR(VLOOKUP("642",$AO$7:$AR$42,3,0),0) + IFERROR(VLOOKUP("642",$AS$7:$AV$42,3,0),0)</f>
        <v>0</v>
      </c>
      <c r="EL41" s="115">
        <f>IFERROR(VLOOKUP("643",$AO$7:$AR$42,3,0),0) + IFERROR(VLOOKUP("643",$AS$7:$AV$42,3,0),0)</f>
        <v>0</v>
      </c>
      <c r="EN41" s="116">
        <f>SUM(EJ41:EM41)</f>
        <v>0</v>
      </c>
      <c r="EO41" s="116">
        <f>RANK(EN41,EN38:EN41)</f>
        <v>1</v>
      </c>
      <c r="EP41" s="115">
        <f>IFERROR(VLOOKUP("641",$AO$7:$AR$42,4,0),0) + IFERROR(VLOOKUP("641",$AS$7:$AV$42,4,0),0)</f>
        <v>0</v>
      </c>
      <c r="EQ41" s="115">
        <f>IFERROR(VLOOKUP("642",$AO$7:$AR$42,4,0),0) + IFERROR(VLOOKUP("642",$AS$7:$AV$42,4,0),0)</f>
        <v>0</v>
      </c>
      <c r="ER41" s="115">
        <f>IFERROR(VLOOKUP("643",$AO$7:$AR$42,4,0),0) + IFERROR(VLOOKUP("643",$AS$7:$AV$42,4,0),0)</f>
        <v>0</v>
      </c>
      <c r="ET41" s="116">
        <f>SUM(EP41:ES41)</f>
        <v>0</v>
      </c>
      <c r="FI41" s="189" t="str">
        <f>INDEX(T,102,lang)</f>
        <v>Kampioen 2024</v>
      </c>
      <c r="FJ41" s="189"/>
      <c r="FK41" s="189"/>
      <c r="FL41" s="189"/>
      <c r="FM41" s="189"/>
      <c r="FN41" s="189"/>
      <c r="FO41" s="190" t="str">
        <f>X73</f>
        <v/>
      </c>
      <c r="FP41" s="190"/>
      <c r="FQ41" s="190"/>
      <c r="FR41" s="190"/>
      <c r="FS41" s="190"/>
      <c r="FT41" s="190"/>
      <c r="FU41" s="190"/>
    </row>
    <row r="42" spans="1:177">
      <c r="A42" s="83">
        <v>33</v>
      </c>
      <c r="B42" s="84" t="str">
        <f t="shared" si="27"/>
        <v>Wo</v>
      </c>
      <c r="C42" s="85" t="str">
        <f t="shared" si="28"/>
        <v>Jun 26, 2024</v>
      </c>
      <c r="D42" s="86">
        <f t="shared" si="29"/>
        <v>0.75</v>
      </c>
      <c r="E42" s="87" t="str">
        <f>BD35</f>
        <v>Slowakije</v>
      </c>
      <c r="F42" s="73"/>
      <c r="G42" s="74"/>
      <c r="H42" s="88" t="str">
        <f>BD34</f>
        <v>Roemenië</v>
      </c>
      <c r="I42" s="186" t="str">
        <f>INDEX(T,106,lang)</f>
        <v>Frankfurt</v>
      </c>
      <c r="J42" s="186"/>
      <c r="K42" s="186"/>
      <c r="L42" s="73"/>
      <c r="M42" s="74"/>
      <c r="O42" s="94" t="str">
        <f>VLOOKUP(4,BC38:BM41,2,0)</f>
        <v>Georgië</v>
      </c>
      <c r="P42" s="95">
        <f>Q42+R42+S42</f>
        <v>0</v>
      </c>
      <c r="Q42" s="95">
        <f>VLOOKUP(4,BC38:BM41,3,0)</f>
        <v>0</v>
      </c>
      <c r="R42" s="95">
        <f>VLOOKUP(4,BC38:BM41,4,0)</f>
        <v>0</v>
      </c>
      <c r="S42" s="95">
        <f>VLOOKUP(4,BC38:BM41,5,0)</f>
        <v>0</v>
      </c>
      <c r="T42" s="95" t="str">
        <f>VLOOKUP(4,BC38:BM41,6,0) &amp; " - " &amp; VLOOKUP(4,BC38:BM41,7,0)</f>
        <v>0 - 0</v>
      </c>
      <c r="U42" s="96">
        <f>Q42*3+R42</f>
        <v>0</v>
      </c>
      <c r="W42" s="115">
        <f>DATE(2024,6,26)+TIME(8,0,0)+gmt_delta</f>
        <v>45469.875</v>
      </c>
      <c r="X42" s="117" t="str">
        <f t="shared" si="0"/>
        <v/>
      </c>
      <c r="Y42" s="117" t="str">
        <f t="shared" si="1"/>
        <v/>
      </c>
      <c r="Z42" s="116">
        <f t="shared" si="2"/>
        <v>0</v>
      </c>
      <c r="AA42" s="115">
        <f t="shared" si="3"/>
        <v>0</v>
      </c>
      <c r="AB42" s="115">
        <f t="shared" si="4"/>
        <v>0</v>
      </c>
      <c r="AC42" s="115">
        <f t="shared" si="5"/>
        <v>6</v>
      </c>
      <c r="AD42" s="115">
        <f t="shared" si="6"/>
        <v>3</v>
      </c>
      <c r="AE42" s="115">
        <f t="shared" si="7"/>
        <v>2</v>
      </c>
      <c r="AF42" s="115" t="str">
        <f t="shared" si="8"/>
        <v>632</v>
      </c>
      <c r="AG42" s="115">
        <f t="shared" si="9"/>
        <v>0</v>
      </c>
      <c r="AH42" s="115">
        <f t="shared" si="10"/>
        <v>0</v>
      </c>
      <c r="AI42" s="115">
        <f t="shared" si="11"/>
        <v>0</v>
      </c>
      <c r="AJ42" s="115" t="str">
        <f t="shared" si="12"/>
        <v>623</v>
      </c>
      <c r="AK42" s="115">
        <f t="shared" si="13"/>
        <v>0</v>
      </c>
      <c r="AL42" s="115">
        <f t="shared" si="14"/>
        <v>0</v>
      </c>
      <c r="AM42" s="115">
        <f t="shared" si="15"/>
        <v>0</v>
      </c>
      <c r="AO42" s="115" t="str">
        <f t="shared" si="33"/>
        <v>632</v>
      </c>
      <c r="AP42" s="115">
        <v>0</v>
      </c>
      <c r="AQ42" s="115">
        <v>0</v>
      </c>
      <c r="AR42" s="115">
        <v>0</v>
      </c>
      <c r="AS42" s="115" t="str">
        <f t="shared" si="34"/>
        <v>623</v>
      </c>
      <c r="AT42" s="115">
        <v>0</v>
      </c>
      <c r="AU42" s="115">
        <v>0</v>
      </c>
      <c r="AV42" s="115">
        <v>0</v>
      </c>
      <c r="AW42" s="115">
        <f t="shared" si="35"/>
        <v>0</v>
      </c>
      <c r="AX42" s="115" t="str">
        <f t="shared" si="24"/>
        <v>632</v>
      </c>
      <c r="AY42" s="115">
        <f t="shared" si="36"/>
        <v>0</v>
      </c>
      <c r="AZ42" s="115" t="str">
        <f t="shared" si="25"/>
        <v>623</v>
      </c>
      <c r="BA42" s="115">
        <f t="shared" si="37"/>
        <v>0</v>
      </c>
      <c r="BE42" s="115">
        <f>MAX(BE38:BE41)-MIN(BE38:BE41)+1</f>
        <v>1</v>
      </c>
      <c r="BF42" s="115">
        <f>MAX(BF38:BF41)-MIN(BF38:BF41)+1</f>
        <v>1</v>
      </c>
      <c r="BG42" s="115">
        <f>MAX(BG38:BG41)-MIN(BG38:BG41)+1</f>
        <v>1</v>
      </c>
      <c r="BH42" s="115">
        <f>MAX(BH38:BH41)-MIN(BH38:BH41)+1</f>
        <v>1</v>
      </c>
      <c r="BI42" s="115">
        <f>MAX(BI38:BI41)-MIN(BI38:BI41)+1</f>
        <v>1</v>
      </c>
      <c r="BJ42" s="115">
        <f>MAX(BJ38:BJ41)-BJ43+1</f>
        <v>1</v>
      </c>
      <c r="BK42" s="115">
        <f>MAX(BK38:BK41)-BK43+1</f>
        <v>1</v>
      </c>
      <c r="BM42" s="115">
        <f>MAX(BM38:BM41)-MIN(BM38:BM41)+1</f>
        <v>1</v>
      </c>
      <c r="BN42" s="115">
        <f>MAX(BN38:BN41)-MIN(BN38:BN41)+1</f>
        <v>1</v>
      </c>
      <c r="BT42" s="115">
        <f>MAX(BT38:BT41)-MIN(BT38:BT41)+1</f>
        <v>1</v>
      </c>
      <c r="BU42" s="115">
        <f>MAX(BU38:BU41)-MIN(BU38:BU41)+1</f>
        <v>1</v>
      </c>
      <c r="BV42" s="115">
        <f>MAX(BV38:BV41)-MIN(BV38:BV41)+1</f>
        <v>1</v>
      </c>
      <c r="BW42" s="115">
        <f>MAX(BW38:BW41)-MIN(BW38:BW41)+1</f>
        <v>1</v>
      </c>
      <c r="BX42" s="115">
        <f>MAX(BX38:BX41)-MIN(BX38:BX41)+1</f>
        <v>1</v>
      </c>
      <c r="CC42" s="115">
        <f>CG38</f>
        <v>0</v>
      </c>
      <c r="CD42" s="115">
        <f>CG39</f>
        <v>0</v>
      </c>
      <c r="CE42" s="115">
        <f>CG40</f>
        <v>0</v>
      </c>
      <c r="CF42" s="115">
        <f>CG41</f>
        <v>0</v>
      </c>
      <c r="DK42" s="115">
        <f>DJ38</f>
        <v>1</v>
      </c>
      <c r="DL42" s="115">
        <f>DJ39</f>
        <v>1</v>
      </c>
      <c r="DM42" s="115">
        <f>DJ40</f>
        <v>1</v>
      </c>
      <c r="DN42" s="115">
        <f>DJ41</f>
        <v>1</v>
      </c>
      <c r="DO42" s="116">
        <f>SUM(DK42:DN42)</f>
        <v>4</v>
      </c>
      <c r="DS42" s="115">
        <f>DW38</f>
        <v>0</v>
      </c>
      <c r="DT42" s="115">
        <f>DW39</f>
        <v>0</v>
      </c>
      <c r="DU42" s="115">
        <f>DW40</f>
        <v>0</v>
      </c>
      <c r="DV42" s="115">
        <f>DW41</f>
        <v>0</v>
      </c>
      <c r="EE42" s="115">
        <f>EI38</f>
        <v>0</v>
      </c>
      <c r="EF42" s="115">
        <f>EI39</f>
        <v>0</v>
      </c>
      <c r="EG42" s="115">
        <f>EI40</f>
        <v>0</v>
      </c>
      <c r="EH42" s="115">
        <f>EI41</f>
        <v>0</v>
      </c>
      <c r="FI42" s="189"/>
      <c r="FJ42" s="189"/>
      <c r="FK42" s="189"/>
      <c r="FL42" s="189"/>
      <c r="FM42" s="189"/>
      <c r="FN42" s="189"/>
      <c r="FO42" s="190"/>
      <c r="FP42" s="190"/>
      <c r="FQ42" s="190"/>
      <c r="FR42" s="190"/>
      <c r="FS42" s="190"/>
      <c r="FT42" s="190"/>
      <c r="FU42" s="190"/>
    </row>
    <row r="43" spans="1:177">
      <c r="A43" s="83">
        <v>34</v>
      </c>
      <c r="B43" s="84" t="str">
        <f t="shared" si="27"/>
        <v>Wo</v>
      </c>
      <c r="C43" s="85" t="str">
        <f t="shared" si="28"/>
        <v>Jun 26, 2024</v>
      </c>
      <c r="D43" s="86">
        <f t="shared" si="29"/>
        <v>0.75</v>
      </c>
      <c r="E43" s="87" t="str">
        <f>BD33</f>
        <v>Oekraïne</v>
      </c>
      <c r="F43" s="73"/>
      <c r="G43" s="74"/>
      <c r="H43" s="88" t="str">
        <f>BD32</f>
        <v>België</v>
      </c>
      <c r="I43" s="186" t="str">
        <f>INDEX(T,105,lang)</f>
        <v>Stuttgart</v>
      </c>
      <c r="J43" s="186"/>
      <c r="K43" s="186"/>
      <c r="L43" s="73"/>
      <c r="M43" s="74"/>
      <c r="BJ43" s="115">
        <f>MIN(BJ38:BJ41)</f>
        <v>0</v>
      </c>
      <c r="BK43" s="115">
        <f>MIN(BK38:BK41)</f>
        <v>0</v>
      </c>
    </row>
    <row r="44" spans="1:177">
      <c r="A44" s="83">
        <v>35</v>
      </c>
      <c r="B44" s="84" t="str">
        <f t="shared" si="27"/>
        <v>Wo</v>
      </c>
      <c r="C44" s="85" t="str">
        <f t="shared" si="28"/>
        <v>Jun 26, 2024</v>
      </c>
      <c r="D44" s="86">
        <f t="shared" si="29"/>
        <v>0.875</v>
      </c>
      <c r="E44" s="87" t="str">
        <f>BD41</f>
        <v>Georgië</v>
      </c>
      <c r="F44" s="73"/>
      <c r="G44" s="74"/>
      <c r="H44" s="88" t="str">
        <f>BD38</f>
        <v>Portugal</v>
      </c>
      <c r="I44" s="186" t="str">
        <f>INDEX(T,110,lang)</f>
        <v>Gelsenkirchen</v>
      </c>
      <c r="J44" s="186"/>
      <c r="K44" s="186"/>
      <c r="L44" s="73"/>
      <c r="M44" s="74"/>
      <c r="O44" s="61" t="str">
        <f>INDEX(T,9,lang) &amp; " "</f>
        <v xml:space="preserve">Groep </v>
      </c>
      <c r="P44" s="62" t="str">
        <f>INDEX(T,10,lang)</f>
        <v>WG</v>
      </c>
      <c r="Q44" s="62" t="str">
        <f>INDEX(T,11,lang)</f>
        <v>W</v>
      </c>
      <c r="R44" s="62" t="str">
        <f>INDEX(T,12,lang)</f>
        <v>G</v>
      </c>
      <c r="S44" s="62" t="str">
        <f>INDEX(T,13,lang)</f>
        <v>V</v>
      </c>
      <c r="T44" s="62" t="str">
        <f>INDEX(T,14,lang)</f>
        <v>DV-DT</v>
      </c>
      <c r="U44" s="62" t="str">
        <f>INDEX(T,15,lang)</f>
        <v>PNT</v>
      </c>
      <c r="AW44" s="116" t="str">
        <f>IF(AX44&lt;5,"A","")</f>
        <v>A</v>
      </c>
      <c r="BB44" s="116" t="str">
        <f>IF(BC44&lt;5,"A","")</f>
        <v>A</v>
      </c>
      <c r="BC44" s="115">
        <f t="shared" ref="BC44:BC49" si="40">COUNTIF($BR$44:$BR$49,CONCATENATE("&gt;=",BR44))</f>
        <v>1</v>
      </c>
      <c r="BD44" s="116" t="str">
        <f>BS10</f>
        <v>3A</v>
      </c>
      <c r="BE44" s="115">
        <f>IFERROR(VLOOKUP($BD44,$BD$8:$BI$41,2,0),0)</f>
        <v>0</v>
      </c>
      <c r="BF44" s="115">
        <f t="shared" ref="BF44:BF49" si="41">IFERROR(VLOOKUP($BD44,$BD$8:$BI$41,3,0),0)</f>
        <v>0</v>
      </c>
      <c r="BG44" s="115">
        <f t="shared" ref="BG44:BG49" si="42">IFERROR(VLOOKUP($BD44,$BD$8:$BI$41,4,0),0)</f>
        <v>0</v>
      </c>
      <c r="BH44" s="115">
        <f t="shared" ref="BH44:BH49" si="43">IFERROR(VLOOKUP($BD44,$BD$8:$BI$41,5,0),0)</f>
        <v>0</v>
      </c>
      <c r="BI44" s="115">
        <f t="shared" ref="BI44:BI49" si="44">IFERROR(VLOOKUP($BD44,$BD$8:$BI$41,6,0),0)</f>
        <v>0</v>
      </c>
      <c r="BK44" s="115">
        <f t="shared" ref="BK44:BK49" si="45">BH44-BI44</f>
        <v>0</v>
      </c>
      <c r="BL44" s="115">
        <f>(BK44-BK51)/BK50</f>
        <v>0</v>
      </c>
      <c r="BM44" s="115">
        <f t="shared" ref="BM44:BM49" si="46">BE44*3+BF44</f>
        <v>0</v>
      </c>
      <c r="BP44" s="115">
        <f>MIN(BP8:BP41)</f>
        <v>7.375</v>
      </c>
      <c r="BQ44" s="115">
        <f>IFERROR(VLOOKUP(BD44,db_fifarank,2,0)/2000000,6)</f>
        <v>6</v>
      </c>
      <c r="BR44" s="116">
        <f>BM44/$BM$50*10000+BL44*1000+BH44/$BH$50*100+BE44/$BE$50*10+BQ44</f>
        <v>6</v>
      </c>
    </row>
    <row r="45" spans="1:177">
      <c r="A45" s="103">
        <v>36</v>
      </c>
      <c r="B45" s="104" t="str">
        <f t="shared" si="27"/>
        <v>Wo</v>
      </c>
      <c r="C45" s="105" t="str">
        <f t="shared" si="28"/>
        <v>Jun 26, 2024</v>
      </c>
      <c r="D45" s="106">
        <f t="shared" si="29"/>
        <v>0.875</v>
      </c>
      <c r="E45" s="107" t="str">
        <f>BD40</f>
        <v>Tsjechische Republiek</v>
      </c>
      <c r="F45" s="90"/>
      <c r="G45" s="92"/>
      <c r="H45" s="108" t="str">
        <f>BD39</f>
        <v>Turkije</v>
      </c>
      <c r="I45" s="187" t="str">
        <f>INDEX(T,109,lang)</f>
        <v>Hamburg</v>
      </c>
      <c r="J45" s="187"/>
      <c r="K45" s="187"/>
      <c r="L45" s="90"/>
      <c r="M45" s="92"/>
      <c r="O45" s="109" t="str">
        <f>VLOOKUP(1,BC44:BM49,2,0)</f>
        <v>3A</v>
      </c>
      <c r="P45" s="65">
        <f t="shared" ref="P45:P50" si="47">Q45+R45+S45</f>
        <v>0</v>
      </c>
      <c r="Q45" s="65">
        <f>VLOOKUP(1,BC44:BM49,3,0)</f>
        <v>0</v>
      </c>
      <c r="R45" s="65">
        <f>VLOOKUP(1,BC44:BM49,4,0)</f>
        <v>0</v>
      </c>
      <c r="S45" s="65">
        <f>VLOOKUP(1,BC44:BM49,5,0)</f>
        <v>0</v>
      </c>
      <c r="T45" s="65" t="str">
        <f>VLOOKUP(1,BC44:BM49,6,0) &amp; " - " &amp; VLOOKUP(1,BC44:BM49,7,0)</f>
        <v>0 - 0</v>
      </c>
      <c r="U45" s="66">
        <f t="shared" ref="U45:U50" si="48">Q45*3+R45</f>
        <v>0</v>
      </c>
      <c r="AW45" s="116" t="str">
        <f>IF(AX45&lt;5,"B","")</f>
        <v>B</v>
      </c>
      <c r="BB45" s="116" t="str">
        <f>IF(BC45&lt;5,"B","")</f>
        <v>B</v>
      </c>
      <c r="BC45" s="115">
        <f t="shared" si="40"/>
        <v>2</v>
      </c>
      <c r="BD45" s="116" t="str">
        <f>BS16</f>
        <v>3B</v>
      </c>
      <c r="BE45" s="115">
        <f>IFERROR(VLOOKUP(BD45,$BD$8:$BI$41,2,0),0)</f>
        <v>0</v>
      </c>
      <c r="BF45" s="115">
        <f t="shared" si="41"/>
        <v>0</v>
      </c>
      <c r="BG45" s="115">
        <f t="shared" si="42"/>
        <v>0</v>
      </c>
      <c r="BH45" s="115">
        <f t="shared" si="43"/>
        <v>0</v>
      </c>
      <c r="BI45" s="115">
        <f t="shared" si="44"/>
        <v>0</v>
      </c>
      <c r="BK45" s="115">
        <f t="shared" si="45"/>
        <v>0</v>
      </c>
      <c r="BL45" s="115">
        <f>(BK45-BK51)/BK50</f>
        <v>0</v>
      </c>
      <c r="BM45" s="115">
        <f t="shared" si="46"/>
        <v>0</v>
      </c>
      <c r="BP45" s="115">
        <f>MAX(BP8:BP41)</f>
        <v>104.303</v>
      </c>
      <c r="BQ45" s="115">
        <f>IFERROR(VLOOKUP(BD45,db_fifarank,2,0)/2000000,5)</f>
        <v>5</v>
      </c>
      <c r="BR45" s="116">
        <f>BM45/$BM$50*10000+BL45*1000+BH45/$BH$50*100+BE45/$BE$50*10+BQ45</f>
        <v>5</v>
      </c>
    </row>
    <row r="46" spans="1:177">
      <c r="O46" s="76" t="str">
        <f>VLOOKUP(2,BC44:BM49,2,0)</f>
        <v>3B</v>
      </c>
      <c r="P46" s="77">
        <f t="shared" si="47"/>
        <v>0</v>
      </c>
      <c r="Q46" s="77">
        <f>VLOOKUP(2,BC44:BM49,3,0)</f>
        <v>0</v>
      </c>
      <c r="R46" s="77">
        <f>VLOOKUP(2,BC44:BM49,4,0)</f>
        <v>0</v>
      </c>
      <c r="S46" s="77">
        <f>VLOOKUP(2,BC44:BM49,5,0)</f>
        <v>0</v>
      </c>
      <c r="T46" s="77" t="str">
        <f>VLOOKUP(2,BC44:BM49,6,0) &amp; " - " &amp; VLOOKUP(2,BC44:BM49,7,0)</f>
        <v>0 - 0</v>
      </c>
      <c r="U46" s="78">
        <f t="shared" si="48"/>
        <v>0</v>
      </c>
      <c r="W46" s="115">
        <f>DATE(2024,6,29)+TIME(5,0,0)+gmt_delta</f>
        <v>45472.75</v>
      </c>
      <c r="X46" s="117" t="str">
        <f>IF(OR(EX10="",EX11=""),"",IF(EX10&gt;EX11,EW10,IF(EX10&lt;EX11,EW11,IF(OR(EY10="",EY11=""),"draw",IF(EY10&gt;EY11,EW10,IF(EY10&lt;EY11,EW11,IF(OR(EZ10="",EZ11=""),"draw",IF(EZ10&gt;EZ11,EW10,IF(EZ10&lt;EZ11,EW11,"draw")))))))))</f>
        <v/>
      </c>
      <c r="Y46" s="117" t="str">
        <f>IF(OR(X46="",X46="draw"),INDEX(T,86,lang),X46)</f>
        <v>W37</v>
      </c>
      <c r="Z46" s="116">
        <v>1</v>
      </c>
      <c r="AA46" s="115" t="str">
        <f t="shared" ref="AA46:AA53" si="49">INDEX(T,24+MONTH(W46),lang) &amp; " " &amp; DAY(W46) &amp; ", " &amp; YEAR(W46) &amp; "   " &amp; TEXT(HOUR(W46), "00") &amp; ":" &amp; TEXT(MINUTE(W46),"00")</f>
        <v>Jun 29, 2024   18:00</v>
      </c>
      <c r="AB46" s="115" t="str">
        <f>BS9</f>
        <v>A2</v>
      </c>
      <c r="AC46" s="115" t="str">
        <f>BS15</f>
        <v>B2</v>
      </c>
      <c r="AW46" s="116" t="str">
        <f>IF(AX46&lt;5,"C","")</f>
        <v>C</v>
      </c>
      <c r="BB46" s="116" t="str">
        <f>IF(BC46&lt;5,"C","")</f>
        <v>C</v>
      </c>
      <c r="BC46" s="115">
        <f t="shared" si="40"/>
        <v>3</v>
      </c>
      <c r="BD46" s="116" t="str">
        <f>BS22</f>
        <v>3C</v>
      </c>
      <c r="BE46" s="115">
        <f>IFERROR(VLOOKUP(BD46,$BD$8:$BI$41,2,0),0)</f>
        <v>0</v>
      </c>
      <c r="BF46" s="115">
        <f t="shared" si="41"/>
        <v>0</v>
      </c>
      <c r="BG46" s="115">
        <f t="shared" si="42"/>
        <v>0</v>
      </c>
      <c r="BH46" s="115">
        <f t="shared" si="43"/>
        <v>0</v>
      </c>
      <c r="BI46" s="115">
        <f t="shared" si="44"/>
        <v>0</v>
      </c>
      <c r="BK46" s="115">
        <f t="shared" si="45"/>
        <v>0</v>
      </c>
      <c r="BL46" s="115">
        <f>(BK46-BK51)/BK50</f>
        <v>0</v>
      </c>
      <c r="BM46" s="115">
        <f t="shared" si="46"/>
        <v>0</v>
      </c>
      <c r="BP46" s="115">
        <f>IF(BP45-BP44=0,0.1,BP45-BP44)</f>
        <v>96.927999999999997</v>
      </c>
      <c r="BQ46" s="115">
        <f>IFERROR(VLOOKUP(BD46,db_fifarank,2,0)/2000000,4)</f>
        <v>4</v>
      </c>
      <c r="BR46" s="116">
        <f t="shared" ref="BR46:BR49" si="50">BM46/$BM$50*10000+BL46*1000+BH46/$BH$50*100+BE46/$BE$50*10+BQ46</f>
        <v>4</v>
      </c>
    </row>
    <row r="47" spans="1:177">
      <c r="O47" s="76" t="str">
        <f>VLOOKUP(3,BC44:BM49,2,0)</f>
        <v>3C</v>
      </c>
      <c r="P47" s="77">
        <f t="shared" si="47"/>
        <v>0</v>
      </c>
      <c r="Q47" s="77">
        <f>VLOOKUP(3,BC44:BM49,3,0)</f>
        <v>0</v>
      </c>
      <c r="R47" s="77">
        <f>VLOOKUP(3,BC44:BM49,4,0)</f>
        <v>0</v>
      </c>
      <c r="S47" s="77">
        <f>VLOOKUP(3,BC44:BM49,5,0)</f>
        <v>0</v>
      </c>
      <c r="T47" s="77" t="str">
        <f>VLOOKUP(3,BC44:BM49,6,0) &amp; " - " &amp; VLOOKUP(3,BC44:BM49,7,0)</f>
        <v>0 - 0</v>
      </c>
      <c r="U47" s="78">
        <f t="shared" si="48"/>
        <v>0</v>
      </c>
      <c r="W47" s="115">
        <f>DATE(2024,6,29)+TIME(8,0,0)+gmt_delta</f>
        <v>45472.875</v>
      </c>
      <c r="X47" s="117" t="str">
        <f>IF(OR(EX14="",EX15=""),"",IF(EX14&gt;EX15,EW14,IF(EX14&lt;EX15,EW15,IF(OR(EY14="",EY15=""),"draw",IF(EY14&gt;EY15,EW14,IF(EY14&lt;EY15,EW15,IF(OR(EZ14="",EZ15=""),"draw",IF(EZ14&gt;EZ15,EW14,IF(EZ14&lt;EZ15,EW15,"draw")))))))))</f>
        <v/>
      </c>
      <c r="Y47" s="117" t="str">
        <f>IF(OR(X47="",X47="draw"),INDEX(T,87,lang),X47)</f>
        <v>W39</v>
      </c>
      <c r="Z47" s="116">
        <v>2</v>
      </c>
      <c r="AA47" s="115" t="str">
        <f t="shared" si="49"/>
        <v>Jun 29, 2024   21:00</v>
      </c>
      <c r="AB47" s="115" t="str">
        <f>BS8</f>
        <v>A1</v>
      </c>
      <c r="AC47" s="115" t="str">
        <f>BS21</f>
        <v>C2</v>
      </c>
      <c r="AW47" s="116" t="str">
        <f>IF(AX47&lt;5,"D","")</f>
        <v>D</v>
      </c>
      <c r="BB47" s="116" t="str">
        <f>IF(BC47&lt;5,"D","")</f>
        <v>D</v>
      </c>
      <c r="BC47" s="115">
        <f t="shared" si="40"/>
        <v>4</v>
      </c>
      <c r="BD47" s="116" t="str">
        <f>BS28</f>
        <v>3D</v>
      </c>
      <c r="BE47" s="115">
        <f>IFERROR(VLOOKUP(BD47,$BD$8:$BI$41,2,0),0)</f>
        <v>0</v>
      </c>
      <c r="BF47" s="115">
        <f t="shared" si="41"/>
        <v>0</v>
      </c>
      <c r="BG47" s="115">
        <f t="shared" si="42"/>
        <v>0</v>
      </c>
      <c r="BH47" s="115">
        <f t="shared" si="43"/>
        <v>0</v>
      </c>
      <c r="BI47" s="115">
        <f t="shared" si="44"/>
        <v>0</v>
      </c>
      <c r="BK47" s="115">
        <f t="shared" si="45"/>
        <v>0</v>
      </c>
      <c r="BL47" s="115">
        <f>(BK47-BK51)/BK50</f>
        <v>0</v>
      </c>
      <c r="BM47" s="115">
        <f t="shared" si="46"/>
        <v>0</v>
      </c>
      <c r="BQ47" s="115">
        <f>IFERROR(VLOOKUP(BD47,db_fifarank,2,0)/2000000,3)</f>
        <v>3</v>
      </c>
      <c r="BR47" s="116">
        <f t="shared" si="50"/>
        <v>3</v>
      </c>
    </row>
    <row r="48" spans="1:177">
      <c r="O48" s="76" t="str">
        <f>VLOOKUP(4,BC44:BM49,2,0)</f>
        <v>3D</v>
      </c>
      <c r="P48" s="77">
        <f t="shared" si="47"/>
        <v>0</v>
      </c>
      <c r="Q48" s="77">
        <f>VLOOKUP(4,BC44:BM49,3,0)</f>
        <v>0</v>
      </c>
      <c r="R48" s="77">
        <f>VLOOKUP(4,BC44:BM49,4,0)</f>
        <v>0</v>
      </c>
      <c r="S48" s="77">
        <f>VLOOKUP(4,BC44:BM49,5,0)</f>
        <v>0</v>
      </c>
      <c r="T48" s="77" t="str">
        <f>VLOOKUP(4,BC44:BM49,6,0) &amp; " - " &amp; VLOOKUP(4,BC44:BM49,7,0)</f>
        <v>0 - 0</v>
      </c>
      <c r="U48" s="78">
        <f t="shared" si="48"/>
        <v>0</v>
      </c>
      <c r="W48" s="115">
        <f>DATE(2024,6,30)+TIME(5,0,0)+gmt_delta</f>
        <v>45473.75</v>
      </c>
      <c r="X48" s="117" t="str">
        <f>IF(OR(EX26="",EX27=""),"",IF(EX26&gt;EX27,EW26,IF(EX26&lt;EX27,EW27,IF(OR(EY26="",EY27=""),"draw",IF(EY26&gt;EY27,EW26,IF(EY26&lt;EY27,EW27,IF(OR(EZ26="",EZ27=""),"draw",IF(EZ26&gt;EZ27,EW26,IF(EZ26&lt;EZ27,EW27,"draw")))))))))</f>
        <v/>
      </c>
      <c r="Y48" s="117" t="str">
        <f>IF(OR(X48="",X48="draw"),INDEX(T,88,lang),X48)</f>
        <v>W41</v>
      </c>
      <c r="Z48" s="116">
        <v>3</v>
      </c>
      <c r="AA48" s="115" t="str">
        <f t="shared" si="49"/>
        <v>Jun 30, 2024   18:00</v>
      </c>
      <c r="AB48" s="115" t="str">
        <f>BS20</f>
        <v>C1</v>
      </c>
      <c r="AC48" s="115" t="str">
        <f>VLOOKUP(lookup_3rd,tbl_lookup_3rd,3,0)</f>
        <v>3D</v>
      </c>
      <c r="AW48" s="116" t="str">
        <f>IF(AX48&lt;5,"E","")</f>
        <v>E</v>
      </c>
      <c r="BB48" s="116" t="str">
        <f>IF(BC48&lt;5,"E","")</f>
        <v/>
      </c>
      <c r="BC48" s="115">
        <f t="shared" si="40"/>
        <v>5</v>
      </c>
      <c r="BD48" s="116" t="str">
        <f>BS34</f>
        <v>3E</v>
      </c>
      <c r="BE48" s="115">
        <f>IFERROR(VLOOKUP(BD48,$BD$8:$BI$41,2,0),0)</f>
        <v>0</v>
      </c>
      <c r="BF48" s="115">
        <f t="shared" si="41"/>
        <v>0</v>
      </c>
      <c r="BG48" s="115">
        <f t="shared" si="42"/>
        <v>0</v>
      </c>
      <c r="BH48" s="115">
        <f t="shared" si="43"/>
        <v>0</v>
      </c>
      <c r="BI48" s="115">
        <f t="shared" si="44"/>
        <v>0</v>
      </c>
      <c r="BK48" s="115">
        <f t="shared" si="45"/>
        <v>0</v>
      </c>
      <c r="BL48" s="115">
        <f>(BK48-BK51)/BK50</f>
        <v>0</v>
      </c>
      <c r="BM48" s="115">
        <f t="shared" si="46"/>
        <v>0</v>
      </c>
      <c r="BQ48" s="115">
        <f>IFERROR(VLOOKUP(BD48,db_fifarank,2,0)/2000000,2)</f>
        <v>2</v>
      </c>
      <c r="BR48" s="116">
        <f t="shared" si="50"/>
        <v>2</v>
      </c>
    </row>
    <row r="49" spans="4:70">
      <c r="O49" s="76" t="str">
        <f>VLOOKUP(5,BC44:BM49,2,0)</f>
        <v>3E</v>
      </c>
      <c r="P49" s="77">
        <f t="shared" si="47"/>
        <v>0</v>
      </c>
      <c r="Q49" s="77">
        <f>VLOOKUP(5,BC44:BM49,3,0)</f>
        <v>0</v>
      </c>
      <c r="R49" s="77">
        <f>VLOOKUP(5,BC44:BM49,4,0)</f>
        <v>0</v>
      </c>
      <c r="S49" s="77">
        <f>VLOOKUP(5,BC44:BM49,5,0)</f>
        <v>0</v>
      </c>
      <c r="T49" s="77" t="str">
        <f>VLOOKUP(5,BC44:BM49,6,0) &amp; " - " &amp; VLOOKUP(5,BC44:BM49,7,0)</f>
        <v>0 - 0</v>
      </c>
      <c r="U49" s="78">
        <f t="shared" si="48"/>
        <v>0</v>
      </c>
      <c r="W49" s="115">
        <f>DATE(2024,6,30)+TIME(8,0,0)+gmt_delta</f>
        <v>45473.875</v>
      </c>
      <c r="X49" s="117" t="str">
        <f>IF(OR(EX30="",EX31=""),"",IF(EX30&gt;EX31,EW30,IF(EX30&lt;EX31,EW31,IF(OR(EY30="",EY31=""),"draw",IF(EY30&gt;EY31,EW30,IF(EY30&lt;EY31,EW31,IF(OR(EZ30="",EZ31=""),"draw",IF(EZ30&gt;EZ31,EW30,IF(EZ30&lt;EZ31,EW31,"draw")))))))))</f>
        <v/>
      </c>
      <c r="Y49" s="117" t="str">
        <f>IF(OR(X49="",X49="draw"),INDEX(T,89,lang),X49)</f>
        <v>W43</v>
      </c>
      <c r="Z49" s="116">
        <v>4</v>
      </c>
      <c r="AA49" s="115" t="str">
        <f t="shared" si="49"/>
        <v>Jun 30, 2024   21:00</v>
      </c>
      <c r="AB49" s="115" t="str">
        <f>BS14</f>
        <v>B1</v>
      </c>
      <c r="AC49" s="115" t="str">
        <f>VLOOKUP(lookup_3rd,tbl_lookup_3rd,2,0)</f>
        <v>3A</v>
      </c>
      <c r="AW49" s="116" t="str">
        <f>IF(AX49&lt;5,"F","")</f>
        <v>F</v>
      </c>
      <c r="BB49" s="116" t="str">
        <f>IF(BC49&lt;5,"F","")</f>
        <v/>
      </c>
      <c r="BC49" s="115">
        <f t="shared" si="40"/>
        <v>6</v>
      </c>
      <c r="BD49" s="116" t="str">
        <f>BS40</f>
        <v>3F</v>
      </c>
      <c r="BE49" s="115">
        <f>IFERROR(VLOOKUP(BD49,$BD$8:$BI$41,2,0),0)</f>
        <v>0</v>
      </c>
      <c r="BF49" s="115">
        <f t="shared" si="41"/>
        <v>0</v>
      </c>
      <c r="BG49" s="115">
        <f t="shared" si="42"/>
        <v>0</v>
      </c>
      <c r="BH49" s="115">
        <f t="shared" si="43"/>
        <v>0</v>
      </c>
      <c r="BI49" s="115">
        <f t="shared" si="44"/>
        <v>0</v>
      </c>
      <c r="BK49" s="115">
        <f t="shared" si="45"/>
        <v>0</v>
      </c>
      <c r="BL49" s="115">
        <f>(BK49-BK51)/BK50</f>
        <v>0</v>
      </c>
      <c r="BM49" s="115">
        <f t="shared" si="46"/>
        <v>0</v>
      </c>
      <c r="BQ49" s="115">
        <f>IFERROR(VLOOKUP(BD49,db_fifarank,2,0)/2000000,1)</f>
        <v>1</v>
      </c>
      <c r="BR49" s="116">
        <f t="shared" si="50"/>
        <v>1</v>
      </c>
    </row>
    <row r="50" spans="4:70">
      <c r="O50" s="94" t="str">
        <f>VLOOKUP(6,BC44:BM49,2,0)</f>
        <v>3F</v>
      </c>
      <c r="P50" s="95">
        <f t="shared" si="47"/>
        <v>0</v>
      </c>
      <c r="Q50" s="95">
        <f>VLOOKUP(6,BC44:BM49,3,0)</f>
        <v>0</v>
      </c>
      <c r="R50" s="95">
        <f>VLOOKUP(6,BC44:BM49,4,0)</f>
        <v>0</v>
      </c>
      <c r="S50" s="95">
        <f>VLOOKUP(6,BC44:BM49,5,0)</f>
        <v>0</v>
      </c>
      <c r="T50" s="95" t="str">
        <f>VLOOKUP(6,BC44:BM49,6,0) &amp; " - " &amp; VLOOKUP(6,BC44:BM49,7,0)</f>
        <v>0 - 0</v>
      </c>
      <c r="U50" s="96">
        <f t="shared" si="48"/>
        <v>0</v>
      </c>
      <c r="W50" s="115">
        <f>DATE(2024,7,1)+TIME(5,0,0)+gmt_delta</f>
        <v>45474.75</v>
      </c>
      <c r="X50" s="117" t="str">
        <f>IF(OR(EX18="",EX19=""),"",IF(EX18&gt;EX19,EW18,IF(EX18&lt;EX19,EW19,IF(OR(EY18="",EY19=""),"draw",IF(EY18&gt;EY19,EW18,IF(EY18&lt;EY19,EW19,IF(OR(EZ18="",EZ19=""),"draw",IF(EZ18&gt;EZ19,EW18,IF(EZ18&lt;EZ19,EW19,"draw")))))))))</f>
        <v/>
      </c>
      <c r="Y50" s="117" t="str">
        <f>IF(OR(X50="",X50="draw"),INDEX(T,90,lang),X50)</f>
        <v>W38</v>
      </c>
      <c r="Z50" s="116">
        <v>5</v>
      </c>
      <c r="AA50" s="115" t="str">
        <f t="shared" si="49"/>
        <v>Jul 1, 2024   18:00</v>
      </c>
      <c r="AB50" s="115" t="str">
        <f>BS27</f>
        <v>D2</v>
      </c>
      <c r="AC50" s="115" t="str">
        <f>BS33</f>
        <v>E2</v>
      </c>
      <c r="AW50" s="116" t="str">
        <f>AW44&amp;AW45&amp;AW46&amp;AW47&amp;AW48&amp;AW49</f>
        <v>ABCDEF</v>
      </c>
      <c r="BB50" s="116" t="str">
        <f>BB44&amp;BB45&amp;BB46&amp;BB47&amp;BB48&amp;BB49</f>
        <v>ABCD</v>
      </c>
      <c r="BE50" s="115">
        <f>MAX(BE44:BE49)-MIN(BE44:BE49)+1</f>
        <v>1</v>
      </c>
      <c r="BF50" s="115">
        <f>MAX(BF44:BF49)-MIN(BF44:BF49)+1</f>
        <v>1</v>
      </c>
      <c r="BG50" s="115">
        <f>MAX(BG44:BG49)-MIN(BG44:BG49)+1</f>
        <v>1</v>
      </c>
      <c r="BH50" s="115">
        <f>MAX(BH44:BH49)-MIN(BH44:BH49)+1</f>
        <v>1</v>
      </c>
      <c r="BI50" s="115">
        <f>MAX(BI44:BI49)-MIN(BI44:BI49)+1</f>
        <v>1</v>
      </c>
      <c r="BK50" s="115">
        <f>MAX(BK44:BK49)-BK51+1</f>
        <v>1</v>
      </c>
      <c r="BM50" s="115">
        <f>MAX(BM44:BM49)-MIN(BM44:BM49)+1</f>
        <v>1</v>
      </c>
      <c r="BQ50" s="115"/>
    </row>
    <row r="51" spans="4:70">
      <c r="W51" s="115">
        <f>DATE(2024,7,1)+TIME(8,0,0)+gmt_delta</f>
        <v>45474.875</v>
      </c>
      <c r="X51" s="117" t="str">
        <f>IF(OR(EX22="",EX23=""),"",IF(EX22&gt;EX23,EW22,IF(EX22&lt;EX23,EW23,IF(OR(EY22="",EY23=""),"draw",IF(EY22&gt;EY23,EW22,IF(EY22&lt;EY23,EW23,IF(OR(EZ22="",EZ23=""),"draw",IF(EZ22&gt;EZ23,EW22,IF(EZ22&lt;EZ23,EW23,"draw")))))))))</f>
        <v/>
      </c>
      <c r="Y51" s="117" t="str">
        <f>IF(OR(X51="",X51="draw"),INDEX(T,91,lang),X51)</f>
        <v>W42</v>
      </c>
      <c r="Z51" s="116">
        <v>6</v>
      </c>
      <c r="AA51" s="115" t="str">
        <f t="shared" si="49"/>
        <v>Jul 1, 2024   21:00</v>
      </c>
      <c r="AB51" s="115" t="str">
        <f>BS38</f>
        <v>F1</v>
      </c>
      <c r="AC51" s="115" t="str">
        <f>VLOOKUP(lookup_3rd,tbl_lookup_3rd,5,0)</f>
        <v>3C</v>
      </c>
      <c r="BK51" s="115">
        <f>MIN(BK44:BK49)</f>
        <v>0</v>
      </c>
      <c r="BQ51" s="115"/>
    </row>
    <row r="52" spans="4:70">
      <c r="D52" s="51"/>
      <c r="E52" s="51"/>
      <c r="F52" s="51"/>
      <c r="G52" s="51"/>
      <c r="H52" s="51"/>
      <c r="I52" s="51"/>
      <c r="J52" s="51"/>
      <c r="K52" s="51"/>
      <c r="L52" s="51"/>
      <c r="M52" s="51"/>
      <c r="N52" s="51"/>
      <c r="O52" s="188"/>
      <c r="P52" s="188"/>
      <c r="Q52" s="188"/>
      <c r="R52" s="188"/>
      <c r="S52" s="188"/>
      <c r="T52" s="188"/>
      <c r="U52" s="188"/>
      <c r="W52" s="115">
        <f>DATE(2024,7,2)+TIME(8,0,0)+gmt_delta</f>
        <v>45475.875</v>
      </c>
      <c r="X52" s="117" t="str">
        <f>IF(OR(EX34="",EX35=""),"",IF(EX34&gt;EX35,EW34,IF(EX34&lt;EX35,EW35,IF(OR(EY34="",EY35=""),"draw",IF(EY34&gt;EY35,EW34,IF(EY34&lt;EY35,EW35,IF(OR(EZ34="",EZ35=""),"draw",IF(EZ34&gt;EZ35,EW34,IF(EZ34&lt;EZ35,EW35,"draw")))))))))</f>
        <v/>
      </c>
      <c r="Y52" s="117" t="str">
        <f>IF(OR(X52="",X52="draw"),INDEX(T,92,lang),X52)</f>
        <v>W40</v>
      </c>
      <c r="Z52" s="116">
        <v>7</v>
      </c>
      <c r="AA52" s="115" t="str">
        <f t="shared" si="49"/>
        <v>Jul 2, 2024   21:00</v>
      </c>
      <c r="AB52" s="115" t="str">
        <f>BS26</f>
        <v>D1</v>
      </c>
      <c r="AC52" s="115" t="str">
        <f>BS39</f>
        <v>F2</v>
      </c>
      <c r="BQ52" s="115"/>
    </row>
    <row r="53" spans="4:70">
      <c r="D53" s="51"/>
      <c r="E53" s="51"/>
      <c r="F53" s="51"/>
      <c r="G53" s="51"/>
      <c r="H53" s="51"/>
      <c r="I53" s="51"/>
      <c r="J53" s="51"/>
      <c r="K53" s="51"/>
      <c r="L53" s="51"/>
      <c r="M53" s="51"/>
      <c r="N53" s="51"/>
      <c r="O53" s="188"/>
      <c r="P53" s="188"/>
      <c r="Q53" s="188"/>
      <c r="R53" s="188"/>
      <c r="S53" s="188"/>
      <c r="T53" s="188"/>
      <c r="U53" s="188"/>
      <c r="W53" s="115">
        <f>DATE(2024,7,2)+TIME(5,0,0)+gmt_delta</f>
        <v>45475.75</v>
      </c>
      <c r="X53" s="117" t="str">
        <f>IF(OR(EX38="",EX39=""),"",IF(EX38&gt;EX39,EW38,IF(EX38&lt;EX39,EW39,IF(OR(EY38="",EY39=""),"draw",IF(EY38&gt;EY39,EW38,IF(EY38&lt;EY39,EW39,IF(OR(EZ38="",EZ39=""),"draw",IF(EZ38&gt;EZ39,EW38,IF(EZ38&lt;EZ39,EW39,"draw")))))))))</f>
        <v/>
      </c>
      <c r="Y53" s="117" t="str">
        <f>IF(OR(X53="",X53="draw"),INDEX(T,93,lang),X53)</f>
        <v>W44</v>
      </c>
      <c r="Z53" s="116">
        <v>8</v>
      </c>
      <c r="AA53" s="115" t="str">
        <f t="shared" si="49"/>
        <v>Jul 2, 2024   18:00</v>
      </c>
      <c r="AB53" s="115" t="str">
        <f>BS32</f>
        <v>E1</v>
      </c>
      <c r="AC53" s="115" t="str">
        <f>VLOOKUP(lookup_3rd,tbl_lookup_3rd,4,0)</f>
        <v>3B</v>
      </c>
      <c r="BD53" s="119" t="s">
        <v>2519</v>
      </c>
      <c r="BE53" s="119" t="str">
        <f>$BD$44</f>
        <v>3A</v>
      </c>
      <c r="BF53" s="119" t="str">
        <f>$BD$47</f>
        <v>3D</v>
      </c>
      <c r="BG53" s="119" t="str">
        <f>$BD$45</f>
        <v>3B</v>
      </c>
      <c r="BH53" s="119" t="str">
        <f>$BD$46</f>
        <v>3C</v>
      </c>
      <c r="BI53" s="119" t="s">
        <v>2551</v>
      </c>
      <c r="BJ53" s="119" t="s">
        <v>357</v>
      </c>
      <c r="BK53" s="119" t="s">
        <v>367</v>
      </c>
      <c r="BL53" s="119" t="s">
        <v>612</v>
      </c>
      <c r="BQ53" s="115"/>
    </row>
    <row r="54" spans="4:70">
      <c r="BD54" s="119" t="s">
        <v>2524</v>
      </c>
      <c r="BE54" s="119" t="str">
        <f>$BD$44</f>
        <v>3A</v>
      </c>
      <c r="BF54" s="119" t="str">
        <f>$BD$48</f>
        <v>3E</v>
      </c>
      <c r="BG54" s="119" t="str">
        <f>$BD$45</f>
        <v>3B</v>
      </c>
      <c r="BH54" s="119" t="str">
        <f>$BD$46</f>
        <v>3C</v>
      </c>
      <c r="BI54" s="119" t="s">
        <v>2551</v>
      </c>
      <c r="BJ54" s="119" t="s">
        <v>349</v>
      </c>
      <c r="BK54" s="119" t="s">
        <v>367</v>
      </c>
      <c r="BL54" s="119" t="s">
        <v>612</v>
      </c>
    </row>
    <row r="55" spans="4:70">
      <c r="BD55" s="119" t="s">
        <v>2526</v>
      </c>
      <c r="BE55" s="119" t="str">
        <f>$BD$44</f>
        <v>3A</v>
      </c>
      <c r="BF55" s="119" t="str">
        <f>$BD$49</f>
        <v>3F</v>
      </c>
      <c r="BG55" s="119" t="str">
        <f>$BD$45</f>
        <v>3B</v>
      </c>
      <c r="BH55" s="119" t="str">
        <f>$BD$46</f>
        <v>3C</v>
      </c>
      <c r="BI55" s="119" t="s">
        <v>2551</v>
      </c>
      <c r="BJ55" s="119" t="s">
        <v>321</v>
      </c>
      <c r="BK55" s="119" t="s">
        <v>367</v>
      </c>
      <c r="BL55" s="119" t="s">
        <v>612</v>
      </c>
    </row>
    <row r="56" spans="4:70" ht="12.75" customHeight="1">
      <c r="N56" s="58"/>
      <c r="BD56" s="119" t="s">
        <v>2528</v>
      </c>
      <c r="BE56" s="119" t="str">
        <f>$BD$47</f>
        <v>3D</v>
      </c>
      <c r="BF56" s="119" t="str">
        <f>$BD$48</f>
        <v>3E</v>
      </c>
      <c r="BG56" s="119" t="str">
        <f>$BD$44</f>
        <v>3A</v>
      </c>
      <c r="BH56" s="119" t="str">
        <f>$BD$45</f>
        <v>3B</v>
      </c>
      <c r="BI56" s="119" t="s">
        <v>357</v>
      </c>
      <c r="BJ56" s="119" t="s">
        <v>349</v>
      </c>
      <c r="BK56" s="119" t="s">
        <v>2551</v>
      </c>
      <c r="BL56" s="119" t="s">
        <v>367</v>
      </c>
    </row>
    <row r="57" spans="4:70" ht="12.75" customHeight="1">
      <c r="N57" s="58"/>
      <c r="W57" s="115">
        <f>DATE(2024,7,5)+TIME(8,0,0)+gmt_delta</f>
        <v>45478.875</v>
      </c>
      <c r="X57" s="117" t="str">
        <f>IF(OR(FE12="",FE13=""),"",IF(FE12&gt;FE13,FD12,IF(FE12&lt;FE13,FD13,IF(OR(FF12="",FF13=""),"draw",IF(FF12&gt;FF13,FD12,IF(FF12&lt;FF13,FD13,IF(OR(FG12="",FG13=""),"draw",IF(FG12&gt;FG13,FD12,IF(FG12&lt;FG13,FD13,"draw")))))))))</f>
        <v/>
      </c>
      <c r="Y57" s="117" t="str">
        <f>IF(OR(X57="",X57="draw"),INDEX(T,94,lang),X57)</f>
        <v>W45</v>
      </c>
      <c r="BD57" s="119" t="s">
        <v>2529</v>
      </c>
      <c r="BE57" s="119" t="str">
        <f>$BD$47</f>
        <v>3D</v>
      </c>
      <c r="BF57" s="119" t="str">
        <f>$BD$49</f>
        <v>3F</v>
      </c>
      <c r="BG57" s="119" t="str">
        <f>$BD$44</f>
        <v>3A</v>
      </c>
      <c r="BH57" s="119" t="str">
        <f>$BD$45</f>
        <v>3B</v>
      </c>
      <c r="BI57" s="119" t="s">
        <v>357</v>
      </c>
      <c r="BJ57" s="119" t="s">
        <v>321</v>
      </c>
      <c r="BK57" s="119" t="s">
        <v>2551</v>
      </c>
      <c r="BL57" s="119" t="s">
        <v>367</v>
      </c>
    </row>
    <row r="58" spans="4:70">
      <c r="W58" s="115">
        <f>DATE(2024,7,5)+TIME(5,0,0)+gmt_delta</f>
        <v>45478.75</v>
      </c>
      <c r="X58" s="117" t="str">
        <f>IF(OR(FE20="",FE21=""),"",IF(FE20&gt;FE21,FD20,IF(FE20&lt;FE21,FD21,IF(OR(FF20="",FF21=""),"draw",IF(FF20&gt;FF21,FD20,IF(FF20&lt;FF21,FD21,IF(OR(FG20="",FG21=""),"draw",IF(FG20&gt;FG21,FD20,IF(FG20&lt;FG21,FD21,"draw")))))))))</f>
        <v/>
      </c>
      <c r="Y58" s="117" t="str">
        <f>IF(OR(X58="",X58="draw"),INDEX(T,95,lang),X58)</f>
        <v>W46</v>
      </c>
      <c r="BD58" s="119" t="s">
        <v>2530</v>
      </c>
      <c r="BE58" s="119" t="str">
        <f>$BD$48</f>
        <v>3E</v>
      </c>
      <c r="BF58" s="119" t="str">
        <f>$BD$49</f>
        <v>3F</v>
      </c>
      <c r="BG58" s="119" t="str">
        <f>$BD$45</f>
        <v>3B</v>
      </c>
      <c r="BH58" s="119" t="str">
        <f>$BD$44</f>
        <v>3A</v>
      </c>
      <c r="BI58" s="119" t="s">
        <v>349</v>
      </c>
      <c r="BJ58" s="119" t="s">
        <v>321</v>
      </c>
      <c r="BK58" s="119" t="s">
        <v>367</v>
      </c>
      <c r="BL58" s="119" t="s">
        <v>2551</v>
      </c>
    </row>
    <row r="59" spans="4:70" ht="12.75" customHeight="1">
      <c r="W59" s="115">
        <f>DATE(2024,7,6)+TIME(5,0,0)+gmt_delta</f>
        <v>45479.75</v>
      </c>
      <c r="X59" s="117" t="str">
        <f>IF(OR(FE28="",FE29=""),"",IF(FE28&gt;FE29,FD28,IF(FE28&lt;FE29,FD29,IF(OR(FF28="",FF29=""),"draw",IF(FF28&gt;FF29,FD28,IF(FF28&lt;FF29,FD29,IF(OR(FG28="",FG29=""),"draw",IF(FG28&gt;FG29,FD28,IF(FG28&lt;FG29,FD29,"draw")))))))))</f>
        <v/>
      </c>
      <c r="Y59" s="117" t="str">
        <f>IF(OR(X59="",X59="draw"),INDEX(T,96,lang),X59)</f>
        <v>W47</v>
      </c>
      <c r="BD59" s="119" t="s">
        <v>2531</v>
      </c>
      <c r="BE59" s="119" t="str">
        <f>$BD$48</f>
        <v>3E</v>
      </c>
      <c r="BF59" s="119" t="str">
        <f>$BD$47</f>
        <v>3D</v>
      </c>
      <c r="BG59" s="119" t="str">
        <f>$BD$46</f>
        <v>3C</v>
      </c>
      <c r="BH59" s="119" t="str">
        <f>$BD$44</f>
        <v>3A</v>
      </c>
      <c r="BI59" s="119" t="s">
        <v>349</v>
      </c>
      <c r="BJ59" s="119" t="s">
        <v>357</v>
      </c>
      <c r="BK59" s="119" t="s">
        <v>612</v>
      </c>
      <c r="BL59" s="119" t="s">
        <v>2551</v>
      </c>
    </row>
    <row r="60" spans="4:70" ht="12.75" customHeight="1">
      <c r="W60" s="115">
        <f>DATE(2024,7,6)+TIME(8,0,0)+gmt_delta</f>
        <v>45479.875</v>
      </c>
      <c r="X60" s="117" t="str">
        <f>IF(OR(FE36="",FE37=""),"",IF(FE36&gt;FE37,FD36,IF(FE36&lt;FE37,FD37,IF(OR(FF36="",FF37=""),"draw",IF(FF36&gt;FF37,FD36,IF(FF36&lt;FF37,FD37,IF(OR(FG36="",FG37=""),"draw",IF(FG36&gt;FG37,FD36,IF(FG36&lt;FG37,FD37,"draw")))))))))</f>
        <v/>
      </c>
      <c r="Y60" s="117" t="str">
        <f>IF(OR(X60="",X60="draw"),INDEX(T,97,lang),X60)</f>
        <v>W48</v>
      </c>
      <c r="BD60" s="119" t="s">
        <v>2532</v>
      </c>
      <c r="BE60" s="119" t="str">
        <f>$BD$49</f>
        <v>3F</v>
      </c>
      <c r="BF60" s="119" t="str">
        <f>$BD$47</f>
        <v>3D</v>
      </c>
      <c r="BG60" s="119" t="str">
        <f>$BD$46</f>
        <v>3C</v>
      </c>
      <c r="BH60" s="119" t="str">
        <f>$BD$44</f>
        <v>3A</v>
      </c>
      <c r="BI60" s="119" t="s">
        <v>321</v>
      </c>
      <c r="BJ60" s="119" t="s">
        <v>357</v>
      </c>
      <c r="BK60" s="119" t="s">
        <v>612</v>
      </c>
      <c r="BL60" s="119" t="s">
        <v>2551</v>
      </c>
    </row>
    <row r="61" spans="4:70" ht="12.75" customHeight="1">
      <c r="BD61" s="119" t="s">
        <v>2533</v>
      </c>
      <c r="BE61" s="119" t="str">
        <f>$BD$48</f>
        <v>3E</v>
      </c>
      <c r="BF61" s="119" t="str">
        <f>$BD$49</f>
        <v>3F</v>
      </c>
      <c r="BG61" s="119" t="str">
        <f>$BD$46</f>
        <v>3C</v>
      </c>
      <c r="BH61" s="119" t="str">
        <f>$BD$44</f>
        <v>3A</v>
      </c>
      <c r="BI61" s="119" t="s">
        <v>349</v>
      </c>
      <c r="BJ61" s="119" t="s">
        <v>321</v>
      </c>
      <c r="BK61" s="119" t="s">
        <v>612</v>
      </c>
      <c r="BL61" s="119" t="s">
        <v>2551</v>
      </c>
    </row>
    <row r="62" spans="4:70" ht="12.75" customHeight="1">
      <c r="BD62" s="119" t="s">
        <v>2534</v>
      </c>
      <c r="BE62" s="119" t="str">
        <f>$BD$48</f>
        <v>3E</v>
      </c>
      <c r="BF62" s="119" t="str">
        <f>$BD$49</f>
        <v>3F</v>
      </c>
      <c r="BG62" s="119" t="str">
        <f>$BD$47</f>
        <v>3D</v>
      </c>
      <c r="BH62" s="119" t="str">
        <f>$BD$44</f>
        <v>3A</v>
      </c>
      <c r="BI62" s="119" t="s">
        <v>349</v>
      </c>
      <c r="BJ62" s="119" t="s">
        <v>321</v>
      </c>
      <c r="BK62" s="119" t="s">
        <v>357</v>
      </c>
      <c r="BL62" s="119" t="s">
        <v>2551</v>
      </c>
    </row>
    <row r="63" spans="4:70" ht="12.75" customHeight="1">
      <c r="BD63" s="119" t="s">
        <v>2535</v>
      </c>
      <c r="BE63" s="119" t="str">
        <f>$BD$48</f>
        <v>3E</v>
      </c>
      <c r="BF63" s="119" t="str">
        <f>$BD$47</f>
        <v>3D</v>
      </c>
      <c r="BG63" s="119" t="str">
        <f>$BD$45</f>
        <v>3B</v>
      </c>
      <c r="BH63" s="119" t="str">
        <f>$BD$46</f>
        <v>3C</v>
      </c>
      <c r="BI63" s="119" t="s">
        <v>349</v>
      </c>
      <c r="BJ63" s="119" t="s">
        <v>357</v>
      </c>
      <c r="BK63" s="119" t="s">
        <v>367</v>
      </c>
      <c r="BL63" s="119" t="s">
        <v>612</v>
      </c>
    </row>
    <row r="64" spans="4:70" ht="12.75" customHeight="1">
      <c r="W64" s="115">
        <f>DATE(2024,7,9)+TIME(8,0,0)+gmt_delta</f>
        <v>45482.875</v>
      </c>
      <c r="X64" s="117" t="str">
        <f>IF(OR(FL16="",FL17=""),"",IF(FL16&gt;FL17,FK16,IF(FL16&lt;FL17,FK17,IF(OR(FM16="",FM17=""),"draw",IF(FM16&gt;FM17,FK16,IF(FM16&lt;FM17,FK17,IF(OR(FN16="",FN17=""),"draw",IF(FN16&gt;FN17,FK16,IF(FN16&lt;FN17,FK17,"draw")))))))))</f>
        <v/>
      </c>
      <c r="Y64" s="117" t="str">
        <f>IF(OR(X64="",X64="draw"),INDEX(T,98,lang),X64)</f>
        <v>W49</v>
      </c>
      <c r="Z64" s="117" t="str">
        <f>IF(OR(FL16="",FL17=""),"",IF(FL16&lt;FL17,FK16,IF(FL16&gt;FL17,FK17,IF(OR(FN16="",FN17=""),"draw",IF(FN16&lt;FN17,FK16,IF(FN16&gt;FN17,FK17,"draw"))))))</f>
        <v/>
      </c>
      <c r="BD64" s="119" t="s">
        <v>2536</v>
      </c>
      <c r="BE64" s="119" t="str">
        <f>$BD$49</f>
        <v>3F</v>
      </c>
      <c r="BF64" s="119" t="str">
        <f>$BD$47</f>
        <v>3D</v>
      </c>
      <c r="BG64" s="119" t="str">
        <f>$BD$46</f>
        <v>3C</v>
      </c>
      <c r="BH64" s="119" t="str">
        <f>$BD$45</f>
        <v>3B</v>
      </c>
      <c r="BI64" s="119" t="s">
        <v>321</v>
      </c>
      <c r="BJ64" s="119" t="s">
        <v>357</v>
      </c>
      <c r="BK64" s="119" t="s">
        <v>612</v>
      </c>
      <c r="BL64" s="119" t="s">
        <v>367</v>
      </c>
    </row>
    <row r="65" spans="23:64" ht="12.75" customHeight="1">
      <c r="W65" s="115">
        <f>DATE(2024,7,10)+TIME(8,0,0)+gmt_delta</f>
        <v>45483.875</v>
      </c>
      <c r="X65" s="117" t="str">
        <f>IF(OR(FL32="",FL33=""),"",IF(FL32&gt;FL33,FK32,IF(FL32&lt;FL33,FK33,IF(OR(FM32="",FM33=""),"draw",IF(FM32&gt;FM33,FK32,IF(FM32&lt;FM33,FK33,IF(OR(FN32="",FN33=""),"draw",IF(FN32&gt;FN33,FK32,IF(FN32&lt;FN33,FK33,"draw")))))))))</f>
        <v/>
      </c>
      <c r="Y65" s="117" t="str">
        <f>IF(OR(X65="",X65="draw"),INDEX(T,99,lang),X65)</f>
        <v>W50</v>
      </c>
      <c r="Z65" s="117" t="str">
        <f>IF(OR(FL32="",FL33=""),"",IF(FL32&lt;FL33,FK32,IF(FL32&gt;FL33,FK33,IF(OR(FN32="",FN33=""),"draw",IF(FN32&lt;FN33,FK32,IF(FN32&gt;FN33,FK33,"draw"))))))</f>
        <v/>
      </c>
      <c r="BD65" s="119" t="s">
        <v>2537</v>
      </c>
      <c r="BE65" s="119" t="str">
        <f>$BD$49</f>
        <v>3F</v>
      </c>
      <c r="BF65" s="119" t="str">
        <f>$BD$48</f>
        <v>3E</v>
      </c>
      <c r="BG65" s="119" t="str">
        <f>$BD$46</f>
        <v>3C</v>
      </c>
      <c r="BH65" s="119" t="str">
        <f>$BD$45</f>
        <v>3B</v>
      </c>
      <c r="BI65" s="119" t="s">
        <v>321</v>
      </c>
      <c r="BJ65" s="119" t="s">
        <v>349</v>
      </c>
      <c r="BK65" s="119" t="s">
        <v>612</v>
      </c>
      <c r="BL65" s="119" t="s">
        <v>367</v>
      </c>
    </row>
    <row r="66" spans="23:64" ht="12.75" customHeight="1">
      <c r="BD66" s="119" t="s">
        <v>2538</v>
      </c>
      <c r="BE66" s="119" t="str">
        <f>$BD$49</f>
        <v>3F</v>
      </c>
      <c r="BF66" s="119" t="str">
        <f>$BD$48</f>
        <v>3E</v>
      </c>
      <c r="BG66" s="119" t="str">
        <f>$BD$47</f>
        <v>3D</v>
      </c>
      <c r="BH66" s="119" t="str">
        <f>$BD$45</f>
        <v>3B</v>
      </c>
      <c r="BI66" s="119" t="s">
        <v>321</v>
      </c>
      <c r="BJ66" s="119" t="s">
        <v>349</v>
      </c>
      <c r="BK66" s="119" t="s">
        <v>357</v>
      </c>
      <c r="BL66" s="119" t="s">
        <v>367</v>
      </c>
    </row>
    <row r="67" spans="23:64" ht="12.75" customHeight="1">
      <c r="BD67" s="119" t="s">
        <v>2539</v>
      </c>
      <c r="BE67" s="119" t="str">
        <f>$BD$49</f>
        <v>3F</v>
      </c>
      <c r="BF67" s="119" t="str">
        <f>$BD$48</f>
        <v>3E</v>
      </c>
      <c r="BG67" s="119" t="str">
        <f>$BD$47</f>
        <v>3D</v>
      </c>
      <c r="BH67" s="119" t="str">
        <f>$BD$46</f>
        <v>3C</v>
      </c>
      <c r="BI67" s="119" t="s">
        <v>321</v>
      </c>
      <c r="BJ67" s="119" t="s">
        <v>349</v>
      </c>
      <c r="BK67" s="119" t="s">
        <v>357</v>
      </c>
      <c r="BL67" s="119" t="s">
        <v>612</v>
      </c>
    </row>
    <row r="68" spans="23:64" ht="12.75" customHeight="1"/>
    <row r="69" spans="23:64" ht="12.75" customHeight="1">
      <c r="W69" s="115">
        <f>DATE(2024,7,12)+TIME(9,0,0)+gmt_delta</f>
        <v>45485.916666666664</v>
      </c>
      <c r="Y69" s="117" t="e">
        <f>IF(OR(#REF!="",#REF!=""),"",IF(#REF!&gt;#REF!,#REF!,IF(#REF!&lt;#REF!,#REF!,IF(OR(#REF!="",#REF!=""),"",IF(#REF!&gt;#REF!,#REF!,IF(#REF!&lt;#REF!,#REF!,""))))))</f>
        <v>#REF!</v>
      </c>
    </row>
    <row r="70" spans="23:64" ht="12.75" customHeight="1"/>
    <row r="71" spans="23:64" ht="12.75" customHeight="1"/>
    <row r="72" spans="23:64" ht="12.75" customHeight="1"/>
    <row r="73" spans="23:64" ht="12.75" customHeight="1">
      <c r="W73" s="115">
        <f>DATE(2024,7,14)+TIME(8,0,0)+gmt_delta</f>
        <v>45487.875</v>
      </c>
      <c r="X73" s="117" t="str">
        <f>IF(OR(FS23="",FS24=""),"",IF(FS23&gt;FS24,FR23,IF(FS23&lt;FS24,FR24,IF(OR(FT23="",FT24=""),"",IF(FT23&gt;FT24,FR23,IF(FT23&lt;FT24,FR24,IF(OR(FU23="",FU24=""),"",IF(FU23&gt;FU24,FR23,IF(FU23&lt;FU24,FR24,"")))))))))</f>
        <v/>
      </c>
      <c r="Y73" s="117" t="str">
        <f>X73</f>
        <v/>
      </c>
    </row>
    <row r="74" spans="23:64" ht="12.75" customHeight="1"/>
    <row r="75" spans="23:64" ht="12.75" customHeight="1"/>
    <row r="76" spans="23:64" ht="12.75" customHeight="1">
      <c r="AW76" s="117" t="str">
        <f>IF(OR(U64="",U64="draw"),INDEX(T,100,lang),U64)</f>
        <v>V61</v>
      </c>
      <c r="BB76" s="117" t="str">
        <f>IF(OR(Z64="",Z64="draw"),INDEX(T,100,lang),Z64)</f>
        <v>V61</v>
      </c>
    </row>
    <row r="77" spans="23:64" ht="12.75" customHeight="1">
      <c r="AW77" s="117" t="str">
        <f>IF(OR(U65="",U65="draw"),INDEX(T,101,lang),U65)</f>
        <v>V62</v>
      </c>
      <c r="BB77" s="117" t="str">
        <f>IF(OR(Z65="",Z65="draw"),INDEX(T,101,lang),Z65)</f>
        <v>V62</v>
      </c>
    </row>
    <row r="79" spans="23:64" ht="12.75" customHeight="1"/>
    <row r="80" spans="23:64" ht="12.75" customHeight="1"/>
    <row r="83" ht="12.75" customHeight="1"/>
    <row r="84" ht="12.75" customHeight="1"/>
    <row r="87" ht="12.75" customHeight="1"/>
    <row r="88" ht="12.75" customHeight="1"/>
    <row r="96" ht="12.75" customHeight="1"/>
    <row r="97" ht="12.75" customHeight="1"/>
  </sheetData>
  <mergeCells count="61">
    <mergeCell ref="A1:U1"/>
    <mergeCell ref="T6:U6"/>
    <mergeCell ref="EV6:EZ7"/>
    <mergeCell ref="FC6:FG7"/>
    <mergeCell ref="FJ6:FN7"/>
    <mergeCell ref="FQ6:FU7"/>
    <mergeCell ref="A8:K9"/>
    <mergeCell ref="I10:K10"/>
    <mergeCell ref="EV10:EV11"/>
    <mergeCell ref="I11:K11"/>
    <mergeCell ref="I12:K12"/>
    <mergeCell ref="FC12:FC13"/>
    <mergeCell ref="I13:K13"/>
    <mergeCell ref="I14:K14"/>
    <mergeCell ref="EV14:EV15"/>
    <mergeCell ref="I15:K15"/>
    <mergeCell ref="I16:K16"/>
    <mergeCell ref="FJ16:FJ17"/>
    <mergeCell ref="I17:K17"/>
    <mergeCell ref="I18:K18"/>
    <mergeCell ref="EV18:EV19"/>
    <mergeCell ref="I19:K19"/>
    <mergeCell ref="I20:K20"/>
    <mergeCell ref="FC20:FC21"/>
    <mergeCell ref="I21:K21"/>
    <mergeCell ref="I22:K22"/>
    <mergeCell ref="EV22:EV23"/>
    <mergeCell ref="I23:K23"/>
    <mergeCell ref="FQ23:FQ24"/>
    <mergeCell ref="I24:K24"/>
    <mergeCell ref="I25:K25"/>
    <mergeCell ref="I26:K26"/>
    <mergeCell ref="EV26:EV27"/>
    <mergeCell ref="I27:K27"/>
    <mergeCell ref="I28:K28"/>
    <mergeCell ref="FC28:FC29"/>
    <mergeCell ref="I29:K29"/>
    <mergeCell ref="I30:K30"/>
    <mergeCell ref="EV30:EV31"/>
    <mergeCell ref="I31:K31"/>
    <mergeCell ref="I32:K32"/>
    <mergeCell ref="FJ32:FJ33"/>
    <mergeCell ref="I33:K33"/>
    <mergeCell ref="I34:K34"/>
    <mergeCell ref="EV34:EV35"/>
    <mergeCell ref="I35:K35"/>
    <mergeCell ref="FI41:FN42"/>
    <mergeCell ref="FO41:FU42"/>
    <mergeCell ref="I42:K42"/>
    <mergeCell ref="I36:K36"/>
    <mergeCell ref="FC36:FC37"/>
    <mergeCell ref="I37:K37"/>
    <mergeCell ref="I38:K38"/>
    <mergeCell ref="EV38:EV39"/>
    <mergeCell ref="I39:K39"/>
    <mergeCell ref="I43:K43"/>
    <mergeCell ref="I44:K44"/>
    <mergeCell ref="I45:K45"/>
    <mergeCell ref="O52:U53"/>
    <mergeCell ref="I40:K40"/>
    <mergeCell ref="I41:K41"/>
  </mergeCells>
  <conditionalFormatting sqref="E10:E45">
    <cfRule type="expression" dxfId="196" priority="4">
      <formula>IF(AND($F10&gt;$G10,ISNUMBER($F10),ISNUMBER($G10)),1,0)</formula>
    </cfRule>
    <cfRule type="expression" dxfId="195" priority="5">
      <formula>IF(AND($F10&lt;$G10,ISNUMBER($F10),ISNUMBER($G10)),1,0)</formula>
    </cfRule>
    <cfRule type="expression" dxfId="194" priority="6">
      <formula>IF(AND($F10=$G10,ISNUMBER($F10),ISNUMBER($G10)),1,0)</formula>
    </cfRule>
  </conditionalFormatting>
  <conditionalFormatting sqref="F10:F45">
    <cfRule type="expression" dxfId="193" priority="2">
      <formula>IF(AND($F10&gt;$G10,ISNUMBER($F10),ISNUMBER($G10)),1,0)</formula>
    </cfRule>
  </conditionalFormatting>
  <conditionalFormatting sqref="G10:G45">
    <cfRule type="expression" dxfId="192" priority="3">
      <formula>IF(AND($F10&lt;$G10,ISNUMBER($F10),ISNUMBER($G10)),1,0)</formula>
    </cfRule>
  </conditionalFormatting>
  <conditionalFormatting sqref="H10:H45">
    <cfRule type="expression" dxfId="191" priority="7">
      <formula>IF(AND($F10&lt;$G10,ISNUMBER($F10),ISNUMBER($G10)),1,0)</formula>
    </cfRule>
    <cfRule type="expression" dxfId="190" priority="8">
      <formula>IF(AND($F10&gt;$G10,ISNUMBER($F10),ISNUMBER($G10)),1,0)</formula>
    </cfRule>
    <cfRule type="expression" dxfId="189" priority="9">
      <formula>IF(AND($F10=$G10,ISNUMBER($F10),ISNUMBER($G10)),1,0)</formula>
    </cfRule>
  </conditionalFormatting>
  <conditionalFormatting sqref="L34:M45">
    <cfRule type="expression" dxfId="188" priority="82">
      <formula>IF($AW31=0,1,0)</formula>
    </cfRule>
  </conditionalFormatting>
  <conditionalFormatting sqref="EW10">
    <cfRule type="expression" dxfId="187" priority="22">
      <formula>IF($EW10=$Y46,1,0)</formula>
    </cfRule>
    <cfRule type="expression" dxfId="186" priority="23">
      <formula>IF($EW11=$Y46,1,0)</formula>
    </cfRule>
  </conditionalFormatting>
  <conditionalFormatting sqref="EW11">
    <cfRule type="expression" dxfId="185" priority="24">
      <formula>IF($EW11=$Y46,1,0)</formula>
    </cfRule>
    <cfRule type="expression" dxfId="184" priority="25">
      <formula>IF($EW10=$Y46,1,0)</formula>
    </cfRule>
  </conditionalFormatting>
  <conditionalFormatting sqref="EW14">
    <cfRule type="expression" dxfId="183" priority="26">
      <formula>IF($EW14=$Y47,1,0)</formula>
    </cfRule>
    <cfRule type="expression" dxfId="182" priority="27">
      <formula>IF($EW15=$Y47,1,0)</formula>
    </cfRule>
  </conditionalFormatting>
  <conditionalFormatting sqref="EW15">
    <cfRule type="expression" dxfId="181" priority="28">
      <formula>IF($EW15=$Y47,1,0)</formula>
    </cfRule>
    <cfRule type="expression" dxfId="180" priority="29">
      <formula>IF($EW14=$Y47,1,0)</formula>
    </cfRule>
  </conditionalFormatting>
  <conditionalFormatting sqref="EW18">
    <cfRule type="expression" dxfId="179" priority="46">
      <formula>IF($EW18=$Y50,1,0)</formula>
    </cfRule>
    <cfRule type="expression" dxfId="178" priority="47">
      <formula>IF($EW19=$Y50,1,0)</formula>
    </cfRule>
  </conditionalFormatting>
  <conditionalFormatting sqref="EW19">
    <cfRule type="expression" dxfId="177" priority="48">
      <formula>IF($EW19=$Y50,1,0)</formula>
    </cfRule>
    <cfRule type="expression" dxfId="176" priority="49">
      <formula>IF($EW18=$Y50,1,0)</formula>
    </cfRule>
  </conditionalFormatting>
  <conditionalFormatting sqref="EW22">
    <cfRule type="expression" dxfId="175" priority="50">
      <formula>IF($EW22=$Y51,1,0)</formula>
    </cfRule>
    <cfRule type="expression" dxfId="174" priority="51">
      <formula>IF($EW23=$Y51,1,0)</formula>
    </cfRule>
  </conditionalFormatting>
  <conditionalFormatting sqref="EW23">
    <cfRule type="expression" dxfId="173" priority="52">
      <formula>IF($EW23=$Y51,1,0)</formula>
    </cfRule>
    <cfRule type="expression" dxfId="172" priority="53">
      <formula>IF($EW22=$Y51,1,0)</formula>
    </cfRule>
  </conditionalFormatting>
  <conditionalFormatting sqref="EW26">
    <cfRule type="expression" dxfId="171" priority="38">
      <formula>IF($EW26=$Y48,1,0)</formula>
    </cfRule>
    <cfRule type="expression" dxfId="170" priority="39">
      <formula>IF($EW27=$Y48,1,0)</formula>
    </cfRule>
  </conditionalFormatting>
  <conditionalFormatting sqref="EW27">
    <cfRule type="expression" dxfId="169" priority="40">
      <formula>IF($EW27=$Y48,1,0)</formula>
    </cfRule>
    <cfRule type="expression" dxfId="168" priority="41">
      <formula>IF($EW26=$Y48,1,0)</formula>
    </cfRule>
  </conditionalFormatting>
  <conditionalFormatting sqref="EW30">
    <cfRule type="expression" dxfId="167" priority="42">
      <formula>IF($EW30=$Y49,1,0)</formula>
    </cfRule>
    <cfRule type="expression" dxfId="166" priority="43">
      <formula>IF($EW31=$Y49,1,0)</formula>
    </cfRule>
  </conditionalFormatting>
  <conditionalFormatting sqref="EW31">
    <cfRule type="expression" dxfId="165" priority="44">
      <formula>IF($EW31=$Y49,1,0)</formula>
    </cfRule>
    <cfRule type="expression" dxfId="164" priority="45">
      <formula>IF($EW30=$Y49,1,0)</formula>
    </cfRule>
  </conditionalFormatting>
  <conditionalFormatting sqref="EW34">
    <cfRule type="expression" dxfId="163" priority="30">
      <formula>IF($EW34=$Y52,1,0)</formula>
    </cfRule>
    <cfRule type="expression" dxfId="162" priority="31">
      <formula>IF($EW35=$Y52,1,0)</formula>
    </cfRule>
  </conditionalFormatting>
  <conditionalFormatting sqref="EW35">
    <cfRule type="expression" dxfId="161" priority="32">
      <formula>IF($EW35=$Y52,1,0)</formula>
    </cfRule>
    <cfRule type="expression" dxfId="160" priority="33">
      <formula>IF($EW34=$Y52,1,0)</formula>
    </cfRule>
  </conditionalFormatting>
  <conditionalFormatting sqref="EW38">
    <cfRule type="expression" dxfId="159" priority="34">
      <formula>IF($EW38=$Y53,1,0)</formula>
    </cfRule>
    <cfRule type="expression" dxfId="158" priority="35">
      <formula>IF($EW39=$Y53,1,0)</formula>
    </cfRule>
  </conditionalFormatting>
  <conditionalFormatting sqref="EW39">
    <cfRule type="expression" dxfId="157" priority="36">
      <formula>IF($EW39=$Y53,1,0)</formula>
    </cfRule>
    <cfRule type="expression" dxfId="156" priority="37">
      <formula>IF($EW38=$Y53,1,0)</formula>
    </cfRule>
  </conditionalFormatting>
  <conditionalFormatting sqref="EX10:EY10">
    <cfRule type="expression" dxfId="155" priority="10">
      <formula>IF(AND($EX10&gt;$EX11,ISNUMBER($EX10),ISNUMBER($EX11)),1,0)</formula>
    </cfRule>
  </conditionalFormatting>
  <conditionalFormatting sqref="EX11:EY11">
    <cfRule type="expression" dxfId="154" priority="11">
      <formula>IF(AND($EX10&lt;$EX11,ISNUMBER($EX10),ISNUMBER($EX11)),1,0)</formula>
    </cfRule>
  </conditionalFormatting>
  <conditionalFormatting sqref="EX14:EY14">
    <cfRule type="expression" dxfId="153" priority="87">
      <formula>IF(AND($EX14&gt;$EX15,ISNUMBER($EX14),ISNUMBER($EX15)),1,0)</formula>
    </cfRule>
  </conditionalFormatting>
  <conditionalFormatting sqref="EX15:EY15">
    <cfRule type="expression" dxfId="152" priority="88">
      <formula>IF(AND($EX14&lt;$EX15,ISNUMBER($EX14),ISNUMBER($EX15)),1,0)</formula>
    </cfRule>
  </conditionalFormatting>
  <conditionalFormatting sqref="EX18:EY18">
    <cfRule type="expression" dxfId="151" priority="95">
      <formula>IF(AND($EX18&gt;$EX19,ISNUMBER($EX18),ISNUMBER($EX19)),1,0)</formula>
    </cfRule>
  </conditionalFormatting>
  <conditionalFormatting sqref="EX19:EY19">
    <cfRule type="expression" dxfId="150" priority="96">
      <formula>IF(AND($EX18&lt;$EX19,ISNUMBER($EX18),ISNUMBER($EX19)),1,0)</formula>
    </cfRule>
  </conditionalFormatting>
  <conditionalFormatting sqref="EX22:EY22">
    <cfRule type="expression" dxfId="149" priority="103">
      <formula>IF(AND($EX22&gt;$EX23,ISNUMBER($EX22),ISNUMBER($EX23)),1,0)</formula>
    </cfRule>
  </conditionalFormatting>
  <conditionalFormatting sqref="EX23:EY23">
    <cfRule type="expression" dxfId="148" priority="104">
      <formula>IF(AND($EX22&lt;$EX23,ISNUMBER($EX22),ISNUMBER($EX23)),1,0)</formula>
    </cfRule>
  </conditionalFormatting>
  <conditionalFormatting sqref="EX26:EY26">
    <cfRule type="expression" dxfId="147" priority="111">
      <formula>IF(AND($EX26&gt;$EX27,ISNUMBER($EX26),ISNUMBER($EX27)),1,0)</formula>
    </cfRule>
  </conditionalFormatting>
  <conditionalFormatting sqref="EX27:EY27">
    <cfRule type="expression" dxfId="146" priority="112">
      <formula>IF(AND($EX26&lt;$EX27,ISNUMBER($EX26),ISNUMBER($EX27)),1,0)</formula>
    </cfRule>
  </conditionalFormatting>
  <conditionalFormatting sqref="EX30:EY30">
    <cfRule type="expression" dxfId="145" priority="119">
      <formula>IF(AND($EX30&gt;$EX31,ISNUMBER($EX30),ISNUMBER($EX31)),1,0)</formula>
    </cfRule>
  </conditionalFormatting>
  <conditionalFormatting sqref="EX31:EY31">
    <cfRule type="expression" dxfId="144" priority="120">
      <formula>IF(AND($EX30&lt;$EX31,ISNUMBER($EX30),ISNUMBER($EX31)),1,0)</formula>
    </cfRule>
  </conditionalFormatting>
  <conditionalFormatting sqref="EX34:EY34">
    <cfRule type="expression" dxfId="143" priority="127">
      <formula>IF(AND($EX34&gt;$EX35,ISNUMBER($EX34),ISNUMBER($EX35)),1,0)</formula>
    </cfRule>
  </conditionalFormatting>
  <conditionalFormatting sqref="EX35:EY35">
    <cfRule type="expression" dxfId="142" priority="128">
      <formula>IF(AND($EX34&lt;$EX35,ISNUMBER($EX34),ISNUMBER($EX35)),1,0)</formula>
    </cfRule>
  </conditionalFormatting>
  <conditionalFormatting sqref="EX38:EY38">
    <cfRule type="expression" dxfId="141" priority="135">
      <formula>IF(AND($EX38&gt;$EX39,ISNUMBER($EX38),ISNUMBER($EX39)),1,0)</formula>
    </cfRule>
  </conditionalFormatting>
  <conditionalFormatting sqref="EX39:EY39">
    <cfRule type="expression" dxfId="140" priority="136">
      <formula>IF(AND($EX38&lt;$EX39,ISNUMBER($EX38),ISNUMBER($EX39)),1,0)</formula>
    </cfRule>
  </conditionalFormatting>
  <conditionalFormatting sqref="EY10">
    <cfRule type="expression" dxfId="139" priority="83">
      <formula>IF(OR(EX10="",EX11="",EX10&lt;&gt;EX11),1,0)</formula>
    </cfRule>
  </conditionalFormatting>
  <conditionalFormatting sqref="EY11">
    <cfRule type="expression" dxfId="138" priority="84">
      <formula>IF(OR(EX10="",EX11="",EX10&lt;&gt;EX11),1,0)</formula>
    </cfRule>
  </conditionalFormatting>
  <conditionalFormatting sqref="EY14">
    <cfRule type="expression" dxfId="137" priority="91">
      <formula>IF(OR(EX14="",EX15="",EX14&lt;&gt;EX15),1,0)</formula>
    </cfRule>
  </conditionalFormatting>
  <conditionalFormatting sqref="EY15">
    <cfRule type="expression" dxfId="136" priority="92">
      <formula>IF(OR(EX14="",EX15="",EX14&lt;&gt;EX15),1,0)</formula>
    </cfRule>
  </conditionalFormatting>
  <conditionalFormatting sqref="EY18">
    <cfRule type="expression" dxfId="135" priority="99">
      <formula>IF(OR(EX18="",EX19="",EX18&lt;&gt;EX19),1,0)</formula>
    </cfRule>
  </conditionalFormatting>
  <conditionalFormatting sqref="EY19">
    <cfRule type="expression" dxfId="134" priority="100">
      <formula>IF(OR(EX18="",EX19="",EX18&lt;&gt;EX19),1,0)</formula>
    </cfRule>
  </conditionalFormatting>
  <conditionalFormatting sqref="EY22">
    <cfRule type="expression" dxfId="133" priority="107">
      <formula>IF(OR(EX22="",EX23="",EX22&lt;&gt;EX23),1,0)</formula>
    </cfRule>
  </conditionalFormatting>
  <conditionalFormatting sqref="EY23">
    <cfRule type="expression" dxfId="132" priority="108">
      <formula>IF(OR(EX22="",EX23="",EX22&lt;&gt;EX23),1,0)</formula>
    </cfRule>
  </conditionalFormatting>
  <conditionalFormatting sqref="EY26">
    <cfRule type="expression" dxfId="131" priority="115">
      <formula>IF(OR(EX26="",EX27="",EX26&lt;&gt;EX27),1,0)</formula>
    </cfRule>
  </conditionalFormatting>
  <conditionalFormatting sqref="EY27">
    <cfRule type="expression" dxfId="130" priority="116">
      <formula>IF(OR(EX26="",EX27="",EX26&lt;&gt;EX27),1,0)</formula>
    </cfRule>
  </conditionalFormatting>
  <conditionalFormatting sqref="EY30">
    <cfRule type="expression" dxfId="129" priority="123">
      <formula>IF(OR(EX30="",EX31="",EX30&lt;&gt;EX31),1,0)</formula>
    </cfRule>
  </conditionalFormatting>
  <conditionalFormatting sqref="EY31">
    <cfRule type="expression" dxfId="128" priority="124">
      <formula>IF(OR(EX30="",EX31="",EX30&lt;&gt;EX31),1,0)</formula>
    </cfRule>
  </conditionalFormatting>
  <conditionalFormatting sqref="EY34">
    <cfRule type="expression" dxfId="127" priority="131">
      <formula>IF(OR(EX34="",EX35="",EX34&lt;&gt;EX35),1,0)</formula>
    </cfRule>
  </conditionalFormatting>
  <conditionalFormatting sqref="EY35">
    <cfRule type="expression" dxfId="126" priority="132">
      <formula>IF(OR(EX34="",EX35="",EX34&lt;&gt;EX35),1,0)</formula>
    </cfRule>
  </conditionalFormatting>
  <conditionalFormatting sqref="EY38">
    <cfRule type="expression" dxfId="125" priority="139">
      <formula>IF(OR(EX38="",EX39="",EX38&lt;&gt;EX39),1,0)</formula>
    </cfRule>
  </conditionalFormatting>
  <conditionalFormatting sqref="EY39">
    <cfRule type="expression" dxfId="124" priority="140">
      <formula>IF(OR(EX38="",EX39="",EX38&lt;&gt;EX39),1,0)</formula>
    </cfRule>
  </conditionalFormatting>
  <conditionalFormatting sqref="EZ10">
    <cfRule type="expression" dxfId="123" priority="12">
      <formula>IF(AND($EZ10&gt;$EZ11,ISNUMBER($EZ10),ISNUMBER($EZ11)),1,0)</formula>
    </cfRule>
    <cfRule type="expression" dxfId="122" priority="85">
      <formula>IF(OR(EX10="",EX11="",EX10&lt;&gt;EX11,EY10="",EY11="",EY10&lt;&gt;EY11),1,0)</formula>
    </cfRule>
  </conditionalFormatting>
  <conditionalFormatting sqref="EZ11">
    <cfRule type="expression" dxfId="121" priority="13">
      <formula>IF(AND($EZ10&lt;$EZ11,ISNUMBER($EZ10),ISNUMBER($EZ11)),1,0)</formula>
    </cfRule>
    <cfRule type="expression" dxfId="120" priority="86">
      <formula>IF(OR(EX10="",EX11="",EX10&lt;&gt;EX11,EY10="",EY11="",EY10&lt;&gt;EY11),1,0)</formula>
    </cfRule>
  </conditionalFormatting>
  <conditionalFormatting sqref="EZ14">
    <cfRule type="expression" dxfId="119" priority="89">
      <formula>IF(AND($EZ14&gt;$EZ15,ISNUMBER($EZ14),ISNUMBER($EZ15)),1,0)</formula>
    </cfRule>
    <cfRule type="expression" dxfId="118" priority="93">
      <formula>IF(OR(EX14="",EX15="",EX14&lt;&gt;EX15,EY14="",EY15="",EY14&lt;&gt;EY15),1,0)</formula>
    </cfRule>
  </conditionalFormatting>
  <conditionalFormatting sqref="EZ15">
    <cfRule type="expression" dxfId="117" priority="90">
      <formula>IF(AND($EZ14&lt;$EZ15,ISNUMBER($EZ14),ISNUMBER($EZ15)),1,0)</formula>
    </cfRule>
    <cfRule type="expression" dxfId="116" priority="94">
      <formula>IF(OR(EX14="",EX15="",EX14&lt;&gt;EX15,EY14="",EY15="",EY14&lt;&gt;EY15),1,0)</formula>
    </cfRule>
  </conditionalFormatting>
  <conditionalFormatting sqref="EZ18">
    <cfRule type="expression" dxfId="115" priority="97">
      <formula>IF(AND($EZ18&gt;$EZ19,ISNUMBER($EZ18),ISNUMBER($EZ19)),1,0)</formula>
    </cfRule>
    <cfRule type="expression" dxfId="114" priority="101">
      <formula>IF(OR(EX18="",EX19="",EX18&lt;&gt;EX19,EY18="",EY19="",EY18&lt;&gt;EY19),1,0)</formula>
    </cfRule>
  </conditionalFormatting>
  <conditionalFormatting sqref="EZ19">
    <cfRule type="expression" dxfId="113" priority="98">
      <formula>IF(AND($EZ18&lt;$EZ19,ISNUMBER($EZ18),ISNUMBER($EZ19)),1,0)</formula>
    </cfRule>
    <cfRule type="expression" dxfId="112" priority="102">
      <formula>IF(OR(EX18="",EX19="",EX18&lt;&gt;EX19,EY18="",EY19="",EY18&lt;&gt;EY19),1,0)</formula>
    </cfRule>
  </conditionalFormatting>
  <conditionalFormatting sqref="EZ22">
    <cfRule type="expression" dxfId="111" priority="105">
      <formula>IF(AND($EZ22&gt;$EZ23,ISNUMBER($EZ22),ISNUMBER($EZ23)),1,0)</formula>
    </cfRule>
    <cfRule type="expression" dxfId="110" priority="109">
      <formula>IF(OR(EX22="",EX23="",EX22&lt;&gt;EX23,EY22="",EY23="",EY22&lt;&gt;EY23),1,0)</formula>
    </cfRule>
  </conditionalFormatting>
  <conditionalFormatting sqref="EZ23">
    <cfRule type="expression" dxfId="109" priority="106">
      <formula>IF(AND($EZ22&lt;$EZ23,ISNUMBER($EZ22),ISNUMBER($EZ23)),1,0)</formula>
    </cfRule>
    <cfRule type="expression" dxfId="108" priority="110">
      <formula>IF(OR(EX22="",EX23="",EX22&lt;&gt;EX23,EY22="",EY23="",EY22&lt;&gt;EY23),1,0)</formula>
    </cfRule>
  </conditionalFormatting>
  <conditionalFormatting sqref="EZ26">
    <cfRule type="expression" dxfId="107" priority="113">
      <formula>IF(AND($EZ26&gt;$EZ27,ISNUMBER($EZ26),ISNUMBER($EZ27)),1,0)</formula>
    </cfRule>
    <cfRule type="expression" dxfId="106" priority="117">
      <formula>IF(OR(EX26="",EX27="",EX26&lt;&gt;EX27,EY26="",EY27="",EY26&lt;&gt;EY27),1,0)</formula>
    </cfRule>
  </conditionalFormatting>
  <conditionalFormatting sqref="EZ27">
    <cfRule type="expression" dxfId="105" priority="114">
      <formula>IF(AND($EZ26&lt;$EZ27,ISNUMBER($EZ26),ISNUMBER($EZ27)),1,0)</formula>
    </cfRule>
    <cfRule type="expression" dxfId="104" priority="118">
      <formula>IF(OR(EX26="",EX27="",EX26&lt;&gt;EX27,EY26="",EY27="",EY26&lt;&gt;EY27),1,0)</formula>
    </cfRule>
  </conditionalFormatting>
  <conditionalFormatting sqref="EZ30">
    <cfRule type="expression" dxfId="103" priority="121">
      <formula>IF(AND($EZ30&gt;$EZ31,ISNUMBER($EZ30),ISNUMBER($EZ31)),1,0)</formula>
    </cfRule>
    <cfRule type="expression" dxfId="102" priority="125">
      <formula>IF(OR(EX30="",EX31="",EX30&lt;&gt;EX31,EY30="",EY31="",EY30&lt;&gt;EY31),1,0)</formula>
    </cfRule>
  </conditionalFormatting>
  <conditionalFormatting sqref="EZ31">
    <cfRule type="expression" dxfId="101" priority="122">
      <formula>IF(AND($EZ30&lt;$EZ31,ISNUMBER($EZ30),ISNUMBER($EZ31)),1,0)</formula>
    </cfRule>
    <cfRule type="expression" dxfId="100" priority="126">
      <formula>IF(OR(EX30="",EX31="",EX30&lt;&gt;EX31,EY30="",EY31="",EY30&lt;&gt;EY31),1,0)</formula>
    </cfRule>
  </conditionalFormatting>
  <conditionalFormatting sqref="EZ34">
    <cfRule type="expression" dxfId="99" priority="129">
      <formula>IF(AND($EZ34&gt;$EZ35,ISNUMBER($EZ34),ISNUMBER($EZ35)),1,0)</formula>
    </cfRule>
    <cfRule type="expression" dxfId="98" priority="133">
      <formula>IF(OR(EX34="",EX35="",EX34&lt;&gt;EX35,EY34="",EY35="",EY34&lt;&gt;EY35),1,0)</formula>
    </cfRule>
  </conditionalFormatting>
  <conditionalFormatting sqref="EZ35">
    <cfRule type="expression" dxfId="97" priority="130">
      <formula>IF(AND($EZ34&lt;$EZ35,ISNUMBER($EZ34),ISNUMBER($EZ35)),1,0)</formula>
    </cfRule>
    <cfRule type="expression" dxfId="96" priority="134">
      <formula>IF(OR(EX34="",EX35="",EX34&lt;&gt;EX35,EY34="",EY35="",EY34&lt;&gt;EY35),1,0)</formula>
    </cfRule>
  </conditionalFormatting>
  <conditionalFormatting sqref="EZ38">
    <cfRule type="expression" dxfId="95" priority="137">
      <formula>IF(AND($EZ38&gt;$EZ39,ISNUMBER($EZ38),ISNUMBER($EZ39)),1,0)</formula>
    </cfRule>
    <cfRule type="expression" dxfId="94" priority="141">
      <formula>IF(OR(EX38="",EX39="",EX38&lt;&gt;EX39,EY38="",EY39="",EY38&lt;&gt;EY39),1,0)</formula>
    </cfRule>
  </conditionalFormatting>
  <conditionalFormatting sqref="EZ39">
    <cfRule type="expression" dxfId="93" priority="138">
      <formula>IF(AND($EZ38&lt;$EZ39,ISNUMBER($EZ38),ISNUMBER($EZ39)),1,0)</formula>
    </cfRule>
    <cfRule type="expression" dxfId="92" priority="142">
      <formula>IF(OR(EX38="",EX39="",EX38&lt;&gt;EX39,EY38="",EY39="",EY38&lt;&gt;EY39),1,0)</formula>
    </cfRule>
  </conditionalFormatting>
  <conditionalFormatting sqref="FD12">
    <cfRule type="expression" dxfId="91" priority="54">
      <formula>IF($FD12=$Y57,1,0)</formula>
    </cfRule>
    <cfRule type="expression" dxfId="90" priority="55">
      <formula>IF($FD13=$Y57,1,0)</formula>
    </cfRule>
  </conditionalFormatting>
  <conditionalFormatting sqref="FD13">
    <cfRule type="expression" dxfId="89" priority="56">
      <formula>IF($FD13=$Y57,1,0)</formula>
    </cfRule>
    <cfRule type="expression" dxfId="88" priority="57">
      <formula>IF($FD12=$Y57,1,0)</formula>
    </cfRule>
  </conditionalFormatting>
  <conditionalFormatting sqref="FD20">
    <cfRule type="expression" dxfId="87" priority="58">
      <formula>IF($FD20=$Y58,1,0)</formula>
    </cfRule>
    <cfRule type="expression" dxfId="86" priority="59">
      <formula>IF($FD21=$Y58,1,0)</formula>
    </cfRule>
  </conditionalFormatting>
  <conditionalFormatting sqref="FD21">
    <cfRule type="expression" dxfId="85" priority="60">
      <formula>IF($FD21=$Y58,1,0)</formula>
    </cfRule>
    <cfRule type="expression" dxfId="84" priority="61">
      <formula>IF($FD20=$Y58,1,0)</formula>
    </cfRule>
  </conditionalFormatting>
  <conditionalFormatting sqref="FD28">
    <cfRule type="expression" dxfId="83" priority="62">
      <formula>IF($FD28=$Y59,1,0)</formula>
    </cfRule>
    <cfRule type="expression" dxfId="82" priority="63">
      <formula>IF($FD29=$Y59,1,0)</formula>
    </cfRule>
  </conditionalFormatting>
  <conditionalFormatting sqref="FD29">
    <cfRule type="expression" dxfId="81" priority="64">
      <formula>IF($FD29=$Y59,1,0)</formula>
    </cfRule>
    <cfRule type="expression" dxfId="80" priority="65">
      <formula>IF($FD28=$Y59,1,0)</formula>
    </cfRule>
  </conditionalFormatting>
  <conditionalFormatting sqref="FD36">
    <cfRule type="expression" dxfId="79" priority="66">
      <formula>IF($FD36=$Y60,1,0)</formula>
    </cfRule>
    <cfRule type="expression" dxfId="78" priority="67">
      <formula>IF($FD37=$Y60,1,0)</formula>
    </cfRule>
  </conditionalFormatting>
  <conditionalFormatting sqref="FD37">
    <cfRule type="expression" dxfId="77" priority="68">
      <formula>IF($FD37=$Y60,1,0)</formula>
    </cfRule>
    <cfRule type="expression" dxfId="76" priority="69">
      <formula>IF($FD36=$Y60,1,0)</formula>
    </cfRule>
  </conditionalFormatting>
  <conditionalFormatting sqref="FE12:FF12">
    <cfRule type="expression" dxfId="75" priority="167">
      <formula>IF(AND($EX12&gt;$EX13,ISNUMBER($EX12),ISNUMBER($EX13)),1,0)</formula>
    </cfRule>
  </conditionalFormatting>
  <conditionalFormatting sqref="FE13:FF13">
    <cfRule type="expression" dxfId="74" priority="168">
      <formula>IF(AND($EX12&lt;$EX13,ISNUMBER($EX12),ISNUMBER($EX13)),1,0)</formula>
    </cfRule>
  </conditionalFormatting>
  <conditionalFormatting sqref="FE20:FF20">
    <cfRule type="expression" dxfId="73" priority="159">
      <formula>IF(AND($EX20&gt;$EX21,ISNUMBER($EX20),ISNUMBER($EX21)),1,0)</formula>
    </cfRule>
  </conditionalFormatting>
  <conditionalFormatting sqref="FE21:FF21">
    <cfRule type="expression" dxfId="72" priority="160">
      <formula>IF(AND($EX20&lt;$EX21,ISNUMBER($EX20),ISNUMBER($EX21)),1,0)</formula>
    </cfRule>
  </conditionalFormatting>
  <conditionalFormatting sqref="FE28:FF28">
    <cfRule type="expression" dxfId="71" priority="151">
      <formula>IF(AND($EX28&gt;$EX29,ISNUMBER($EX28),ISNUMBER($EX29)),1,0)</formula>
    </cfRule>
  </conditionalFormatting>
  <conditionalFormatting sqref="FE29:FF29">
    <cfRule type="expression" dxfId="70" priority="152">
      <formula>IF(AND($EX28&lt;$EX29,ISNUMBER($EX28),ISNUMBER($EX29)),1,0)</formula>
    </cfRule>
  </conditionalFormatting>
  <conditionalFormatting sqref="FE36:FF36">
    <cfRule type="expression" dxfId="69" priority="143">
      <formula>IF(AND($EX36&gt;$EX37,ISNUMBER($EX36),ISNUMBER($EX37)),1,0)</formula>
    </cfRule>
  </conditionalFormatting>
  <conditionalFormatting sqref="FE37:FF37">
    <cfRule type="expression" dxfId="68" priority="144">
      <formula>IF(AND($EX36&lt;$EX37,ISNUMBER($EX36),ISNUMBER($EX37)),1,0)</formula>
    </cfRule>
  </conditionalFormatting>
  <conditionalFormatting sqref="FF12">
    <cfRule type="expression" dxfId="67" priority="171">
      <formula>IF(OR(FE12="",FE13="",FE12&lt;&gt;FE13),1,0)</formula>
    </cfRule>
  </conditionalFormatting>
  <conditionalFormatting sqref="FF13">
    <cfRule type="expression" dxfId="66" priority="172">
      <formula>IF(OR(FE12="",FE13="",FE12&lt;&gt;FE13),1,0)</formula>
    </cfRule>
  </conditionalFormatting>
  <conditionalFormatting sqref="FF20">
    <cfRule type="expression" dxfId="65" priority="163">
      <formula>IF(OR(FE20="",FE21="",FE20&lt;&gt;FE21),1,0)</formula>
    </cfRule>
  </conditionalFormatting>
  <conditionalFormatting sqref="FF21">
    <cfRule type="expression" dxfId="64" priority="164">
      <formula>IF(OR(FE20="",FE21="",FE20&lt;&gt;FE21),1,0)</formula>
    </cfRule>
  </conditionalFormatting>
  <conditionalFormatting sqref="FF28">
    <cfRule type="expression" dxfId="63" priority="155">
      <formula>IF(OR(FE28="",FE29="",FE28&lt;&gt;FE29),1,0)</formula>
    </cfRule>
  </conditionalFormatting>
  <conditionalFormatting sqref="FF29">
    <cfRule type="expression" dxfId="62" priority="156">
      <formula>IF(OR(FE28="",FE29="",FE28&lt;&gt;FE29),1,0)</formula>
    </cfRule>
  </conditionalFormatting>
  <conditionalFormatting sqref="FF36">
    <cfRule type="expression" dxfId="61" priority="147">
      <formula>IF(OR(FE36="",FE37="",FE36&lt;&gt;FE37),1,0)</formula>
    </cfRule>
  </conditionalFormatting>
  <conditionalFormatting sqref="FF37">
    <cfRule type="expression" dxfId="60" priority="148">
      <formula>IF(OR(FE36="",FE37="",FE36&lt;&gt;FE37),1,0)</formula>
    </cfRule>
  </conditionalFormatting>
  <conditionalFormatting sqref="FG12">
    <cfRule type="expression" dxfId="59" priority="169">
      <formula>IF(AND($EZ12&gt;$EZ13,ISNUMBER($EZ12),ISNUMBER($EZ13)),1,0)</formula>
    </cfRule>
    <cfRule type="expression" dxfId="58" priority="173">
      <formula>IF(OR(FE12="",FE13="",FE12&lt;&gt;FE13,FF12="",FF13="",FF12&lt;&gt;FF13),1,0)</formula>
    </cfRule>
  </conditionalFormatting>
  <conditionalFormatting sqref="FG13">
    <cfRule type="expression" dxfId="57" priority="170">
      <formula>IF(AND($EZ12&lt;$EZ13,ISNUMBER($EZ12),ISNUMBER($EZ13)),1,0)</formula>
    </cfRule>
    <cfRule type="expression" dxfId="56" priority="174">
      <formula>IF(OR(FE12="",FE13="",FE12&lt;&gt;FE13,FF12="",FF13="",FF12&lt;&gt;FF13),1,0)</formula>
    </cfRule>
  </conditionalFormatting>
  <conditionalFormatting sqref="FG20">
    <cfRule type="expression" dxfId="55" priority="161">
      <formula>IF(AND($EZ20&gt;$EZ21,ISNUMBER($EZ20),ISNUMBER($EZ21)),1,0)</formula>
    </cfRule>
    <cfRule type="expression" dxfId="54" priority="165">
      <formula>IF(OR(FE20="",FE21="",FE20&lt;&gt;FE21,FF20="",FF21="",FF20&lt;&gt;FF21),1,0)</formula>
    </cfRule>
  </conditionalFormatting>
  <conditionalFormatting sqref="FG21">
    <cfRule type="expression" dxfId="53" priority="162">
      <formula>IF(AND($EZ20&lt;$EZ21,ISNUMBER($EZ20),ISNUMBER($EZ21)),1,0)</formula>
    </cfRule>
    <cfRule type="expression" dxfId="52" priority="166">
      <formula>IF(OR(FE20="",FE21="",FE20&lt;&gt;FE21,FF20="",FF21="",FF20&lt;&gt;FF21),1,0)</formula>
    </cfRule>
  </conditionalFormatting>
  <conditionalFormatting sqref="FG28">
    <cfRule type="expression" dxfId="51" priority="153">
      <formula>IF(AND($EZ28&gt;$EZ29,ISNUMBER($EZ28),ISNUMBER($EZ29)),1,0)</formula>
    </cfRule>
    <cfRule type="expression" dxfId="50" priority="157">
      <formula>IF(OR(FE28="",FE29="",FE28&lt;&gt;FE29,FF28="",FF29="",FF28&lt;&gt;FF29),1,0)</formula>
    </cfRule>
  </conditionalFormatting>
  <conditionalFormatting sqref="FG29">
    <cfRule type="expression" dxfId="49" priority="154">
      <formula>IF(AND($EZ28&lt;$EZ29,ISNUMBER($EZ28),ISNUMBER($EZ29)),1,0)</formula>
    </cfRule>
    <cfRule type="expression" dxfId="48" priority="158">
      <formula>IF(OR(FE28="",FE29="",FE28&lt;&gt;FE29,FF28="",FF29="",FF28&lt;&gt;FF29),1,0)</formula>
    </cfRule>
  </conditionalFormatting>
  <conditionalFormatting sqref="FG36">
    <cfRule type="expression" dxfId="47" priority="145">
      <formula>IF(AND($EZ36&gt;$EZ37,ISNUMBER($EZ36),ISNUMBER($EZ37)),1,0)</formula>
    </cfRule>
    <cfRule type="expression" dxfId="46" priority="149">
      <formula>IF(OR(FE36="",FE37="",FE36&lt;&gt;FE37,FF36="",FF37="",FF36&lt;&gt;FF37),1,0)</formula>
    </cfRule>
  </conditionalFormatting>
  <conditionalFormatting sqref="FG37">
    <cfRule type="expression" dxfId="45" priority="146">
      <formula>IF(AND($EZ36&lt;$EZ37,ISNUMBER($EZ36),ISNUMBER($EZ37)),1,0)</formula>
    </cfRule>
    <cfRule type="expression" dxfId="44" priority="150">
      <formula>IF(OR(FE36="",FE37="",FE36&lt;&gt;FE37,FF36="",FF37="",FF36&lt;&gt;FF37),1,0)</formula>
    </cfRule>
  </conditionalFormatting>
  <conditionalFormatting sqref="FK16">
    <cfRule type="expression" dxfId="43" priority="70">
      <formula>IF($FK16=$Y64,1,0)</formula>
    </cfRule>
    <cfRule type="expression" dxfId="42" priority="71">
      <formula>IF($FK17=$Y64,1,0)</formula>
    </cfRule>
  </conditionalFormatting>
  <conditionalFormatting sqref="FK17">
    <cfRule type="expression" dxfId="41" priority="72">
      <formula>IF($FK17=$Y64,1,0)</formula>
    </cfRule>
    <cfRule type="expression" dxfId="40" priority="73">
      <formula>IF($FK16=$Y64,1,0)</formula>
    </cfRule>
  </conditionalFormatting>
  <conditionalFormatting sqref="FK32">
    <cfRule type="expression" dxfId="39" priority="74">
      <formula>IF($FK32=$Y65,1,0)</formula>
    </cfRule>
    <cfRule type="expression" dxfId="38" priority="75">
      <formula>IF($FK33=$Y65,1,0)</formula>
    </cfRule>
  </conditionalFormatting>
  <conditionalFormatting sqref="FK33">
    <cfRule type="expression" dxfId="37" priority="76">
      <formula>IF($FK33=$Y65,1,0)</formula>
    </cfRule>
    <cfRule type="expression" dxfId="36" priority="77">
      <formula>IF($FK32=$Y65,1,0)</formula>
    </cfRule>
  </conditionalFormatting>
  <conditionalFormatting sqref="FL16:FM16">
    <cfRule type="expression" dxfId="35" priority="175">
      <formula>IF(AND($EX16&gt;$EX17,ISNUMBER($EX16),ISNUMBER($EX17)),1,0)</formula>
    </cfRule>
  </conditionalFormatting>
  <conditionalFormatting sqref="FL17:FM17">
    <cfRule type="expression" dxfId="34" priority="176">
      <formula>IF(AND($EX16&lt;$EX17,ISNUMBER($EX16),ISNUMBER($EX17)),1,0)</formula>
    </cfRule>
  </conditionalFormatting>
  <conditionalFormatting sqref="FL32:FM32">
    <cfRule type="expression" dxfId="33" priority="183">
      <formula>IF(AND($EX32&gt;$EX33,ISNUMBER($EX32),ISNUMBER($EX33)),1,0)</formula>
    </cfRule>
  </conditionalFormatting>
  <conditionalFormatting sqref="FL33:FM33">
    <cfRule type="expression" dxfId="32" priority="184">
      <formula>IF(AND($EX32&lt;$EX33,ISNUMBER($EX32),ISNUMBER($EX33)),1,0)</formula>
    </cfRule>
  </conditionalFormatting>
  <conditionalFormatting sqref="FM16">
    <cfRule type="expression" dxfId="31" priority="179">
      <formula>IF(OR(FL16="",FL17="",FL16&lt;&gt;FL17),1,0)</formula>
    </cfRule>
  </conditionalFormatting>
  <conditionalFormatting sqref="FM17">
    <cfRule type="expression" dxfId="30" priority="180">
      <formula>IF(OR(FL16="",FL17="",FL16&lt;&gt;FL17),1,0)</formula>
    </cfRule>
  </conditionalFormatting>
  <conditionalFormatting sqref="FM32">
    <cfRule type="expression" dxfId="29" priority="187">
      <formula>IF(OR(FL32="",FL33="",FL32&lt;&gt;FL33),1,0)</formula>
    </cfRule>
  </conditionalFormatting>
  <conditionalFormatting sqref="FM33">
    <cfRule type="expression" dxfId="28" priority="188">
      <formula>IF(OR(FL32="",FL33="",FL32&lt;&gt;FL33),1,0)</formula>
    </cfRule>
  </conditionalFormatting>
  <conditionalFormatting sqref="FN16">
    <cfRule type="expression" dxfId="27" priority="177">
      <formula>IF(AND($EZ16&gt;$EZ17,ISNUMBER($EZ16),ISNUMBER($EZ17)),1,0)</formula>
    </cfRule>
    <cfRule type="expression" dxfId="26" priority="181">
      <formula>IF(OR(FL16="",FL17="",FL16&lt;&gt;FL17,FM16="",FM17="",FM16&lt;&gt;FM17),1,0)</formula>
    </cfRule>
  </conditionalFormatting>
  <conditionalFormatting sqref="FN17">
    <cfRule type="expression" dxfId="25" priority="178">
      <formula>IF(AND($EZ16&lt;$EZ17,ISNUMBER($EZ16),ISNUMBER($EZ17)),1,0)</formula>
    </cfRule>
    <cfRule type="expression" dxfId="24" priority="182">
      <formula>IF(OR(FL16="",FL17="",FL16&lt;&gt;FL17,FM16="",FM17="",FM16&lt;&gt;FM17),1,0)</formula>
    </cfRule>
  </conditionalFormatting>
  <conditionalFormatting sqref="FN32">
    <cfRule type="expression" dxfId="23" priority="185">
      <formula>IF(AND($EZ32&gt;$EZ33,ISNUMBER($EZ32),ISNUMBER($EZ33)),1,0)</formula>
    </cfRule>
    <cfRule type="expression" dxfId="22" priority="189">
      <formula>IF(OR(FL32="",FL33="",FL32&lt;&gt;FL33,FM32="",FM33="",FM32&lt;&gt;FM33),1,0)</formula>
    </cfRule>
  </conditionalFormatting>
  <conditionalFormatting sqref="FN33">
    <cfRule type="expression" dxfId="21" priority="186">
      <formula>IF(AND($EZ32&lt;$EZ33,ISNUMBER($EZ32),ISNUMBER($EZ33)),1,0)</formula>
    </cfRule>
    <cfRule type="expression" dxfId="20" priority="190">
      <formula>IF(OR(FL32="",FL33="",FL32&lt;&gt;FL33,FM32="",FM33="",FM32&lt;&gt;FM33),1,0)</formula>
    </cfRule>
  </conditionalFormatting>
  <conditionalFormatting sqref="FR23">
    <cfRule type="expression" dxfId="19" priority="78">
      <formula>IF($FR23=$Y73,1,0)</formula>
    </cfRule>
    <cfRule type="expression" dxfId="18" priority="79">
      <formula>IF($FR24=$Y73,1,0)</formula>
    </cfRule>
  </conditionalFormatting>
  <conditionalFormatting sqref="FR24">
    <cfRule type="expression" dxfId="17" priority="80">
      <formula>IF($FR24=$Y73,1,0)</formula>
    </cfRule>
    <cfRule type="expression" dxfId="16" priority="81">
      <formula>IF($FR23=$Y73,1,0)</formula>
    </cfRule>
  </conditionalFormatting>
  <conditionalFormatting sqref="FS23:FT23">
    <cfRule type="expression" dxfId="15" priority="191">
      <formula>IF(AND($EX23&gt;$EX24,ISNUMBER($EX23),ISNUMBER($EX24)),1,0)</formula>
    </cfRule>
  </conditionalFormatting>
  <conditionalFormatting sqref="FS24:FT24">
    <cfRule type="expression" dxfId="14" priority="192">
      <formula>IF(AND($EX23&lt;$EX24,ISNUMBER($EX23),ISNUMBER($EX24)),1,0)</formula>
    </cfRule>
  </conditionalFormatting>
  <conditionalFormatting sqref="FT23">
    <cfRule type="expression" dxfId="13" priority="195">
      <formula>IF(OR(FS23="",FS24="",FS23&lt;&gt;FS24),1,0)</formula>
    </cfRule>
  </conditionalFormatting>
  <conditionalFormatting sqref="FT24">
    <cfRule type="expression" dxfId="12" priority="196">
      <formula>IF(OR(FS23="",FS24="",FS23&lt;&gt;FS24),1,0)</formula>
    </cfRule>
  </conditionalFormatting>
  <conditionalFormatting sqref="FU23">
    <cfRule type="expression" dxfId="11" priority="193">
      <formula>IF(AND($EZ23&gt;$EZ24,ISNUMBER($EZ23),ISNUMBER($EZ24)),1,0)</formula>
    </cfRule>
    <cfRule type="expression" dxfId="10" priority="197">
      <formula>IF(OR(FS23="",FS24="",FS23&lt;&gt;FS24,FT23="",FT24="",FT23&lt;&gt;FT24),1,0)</formula>
    </cfRule>
  </conditionalFormatting>
  <conditionalFormatting sqref="FU24">
    <cfRule type="expression" dxfId="9" priority="194">
      <formula>IF(AND($EZ23&lt;$EZ24,ISNUMBER($EZ23),ISNUMBER($EZ24)),1,0)</formula>
    </cfRule>
    <cfRule type="expression" dxfId="8" priority="198">
      <formula>IF(OR(FS23="",FS24="",FS23&lt;&gt;FS24,FT23="",FT24="",FT23&lt;&gt;FT24),1,0)</formula>
    </cfRule>
  </conditionalFormatting>
  <dataValidations count="2">
    <dataValidation type="list" allowBlank="1" showInputMessage="1" showErrorMessage="1" sqref="F10:G45 EX10:EY11 FE12:FF13 EX14:EY15 FL16:FM17 EX18:EY19 FE20:FF21 EX22:EY23 FS23:FT24 EX26:EY27 FE28:FF29 EX30:EY31 FL32:FM33 L34:M45 EX34:EY35 FE36:FF37 EX38:EY39" xr:uid="{00000000-0002-0000-0300-000000000000}">
      <formula1>"0,1,2,3,4,5,6,7,8,9"</formula1>
      <formula2>0</formula2>
    </dataValidation>
    <dataValidation type="list" allowBlank="1" showInputMessage="1" showErrorMessage="1" sqref="EZ10:EZ11 FG12:FG13 EZ14:EZ15 FN16:FN17 EZ18:EZ19 FG20:FG21 EZ22:EZ23 FU23:FU24 EZ26:EZ27 FG28:FG29 EZ30:EZ31 FN32:FN33 EZ34:EZ35 FG36:FG37 EZ38:EZ39" xr:uid="{00000000-0002-0000-0300-000001000000}">
      <formula1>"0,1,2,3,4,5,6,7,8,9,10,11,12,13,14,15,16,17,18,19,20"</formula1>
      <formula2>0</formula2>
    </dataValidation>
  </dataValidations>
  <printOptions horizontalCentered="1"/>
  <pageMargins left="0.59027777777777801" right="0.59027777777777801" top="0.78749999999999998" bottom="0.78749999999999998" header="0.51180555555555496" footer="0.51180555555555496"/>
  <pageSetup paperSize="9" scale="49" firstPageNumber="0" orientation="landscape" r:id="rId1"/>
  <headerFooter>
    <oddFooter>&amp;Cwww.excely.com (c) 2024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C207-ED73-4D98-B56A-EE72212CAE74}">
  <dimension ref="A2:C69"/>
  <sheetViews>
    <sheetView topLeftCell="A42" workbookViewId="0">
      <selection activeCell="B57" sqref="B57"/>
    </sheetView>
  </sheetViews>
  <sheetFormatPr baseColWidth="10" defaultColWidth="9" defaultRowHeight="14"/>
  <cols>
    <col min="1" max="1" width="26.19921875" customWidth="1"/>
    <col min="2" max="2" width="24.19921875" customWidth="1"/>
  </cols>
  <sheetData>
    <row r="2" spans="1:3" ht="15" thickBot="1">
      <c r="A2" s="120" t="s">
        <v>2889</v>
      </c>
    </row>
    <row r="3" spans="1:3">
      <c r="A3" t="s">
        <v>1468</v>
      </c>
      <c r="B3" t="s">
        <v>1399</v>
      </c>
      <c r="C3" s="121" t="str">
        <f>'Tornooi schema pronostiek'!F10&amp;"-"&amp;'Tornooi schema pronostiek'!G10</f>
        <v>-</v>
      </c>
    </row>
    <row r="4" spans="1:3">
      <c r="A4" t="s">
        <v>1168</v>
      </c>
      <c r="B4" t="s">
        <v>1608</v>
      </c>
      <c r="C4" s="122" t="str">
        <f>'Tornooi schema pronostiek'!F11&amp;"-"&amp;'Tornooi schema pronostiek'!G11</f>
        <v>-</v>
      </c>
    </row>
    <row r="5" spans="1:3">
      <c r="A5" t="s">
        <v>1077</v>
      </c>
      <c r="B5" t="s">
        <v>1533</v>
      </c>
      <c r="C5" s="122" t="str">
        <f>'Tornooi schema pronostiek'!F12&amp;"-"&amp;'Tornooi schema pronostiek'!G12</f>
        <v>-</v>
      </c>
    </row>
    <row r="6" spans="1:3">
      <c r="A6" t="s">
        <v>1113</v>
      </c>
      <c r="B6" t="s">
        <v>1016</v>
      </c>
      <c r="C6" s="122" t="str">
        <f>'Tornooi schema pronostiek'!F13&amp;"-"&amp;'Tornooi schema pronostiek'!G13</f>
        <v>-</v>
      </c>
    </row>
    <row r="7" spans="1:3">
      <c r="A7" t="s">
        <v>1822</v>
      </c>
      <c r="B7" t="s">
        <v>1324</v>
      </c>
      <c r="C7" s="122" t="str">
        <f>'Tornooi schema pronostiek'!F14&amp;"-"&amp;'Tornooi schema pronostiek'!G14</f>
        <v>-</v>
      </c>
    </row>
    <row r="8" spans="1:3">
      <c r="A8" t="s">
        <v>2630</v>
      </c>
      <c r="B8" t="s">
        <v>1206</v>
      </c>
      <c r="C8" s="122" t="str">
        <f>'Tornooi schema pronostiek'!F15&amp;"-"&amp;'Tornooi schema pronostiek'!G15</f>
        <v>-</v>
      </c>
    </row>
    <row r="9" spans="1:3">
      <c r="A9" t="s">
        <v>2661</v>
      </c>
      <c r="B9" t="s">
        <v>1856</v>
      </c>
      <c r="C9" s="122" t="str">
        <f>'Tornooi schema pronostiek'!F16&amp;"-"&amp;'Tornooi schema pronostiek'!G16</f>
        <v>-</v>
      </c>
    </row>
    <row r="10" spans="1:3">
      <c r="A10" t="s">
        <v>1043</v>
      </c>
      <c r="B10" t="s">
        <v>1235</v>
      </c>
      <c r="C10" s="122" t="str">
        <f>'Tornooi schema pronostiek'!F17&amp;"-"&amp;'Tornooi schema pronostiek'!G17</f>
        <v>-</v>
      </c>
    </row>
    <row r="11" spans="1:3">
      <c r="A11" t="s">
        <v>1889</v>
      </c>
      <c r="B11" t="s">
        <v>1433</v>
      </c>
      <c r="C11" s="122" t="str">
        <f>'Tornooi schema pronostiek'!F18&amp;"-"&amp;'Tornooi schema pronostiek'!G18</f>
        <v>-</v>
      </c>
    </row>
    <row r="12" spans="1:3">
      <c r="A12" t="s">
        <v>1755</v>
      </c>
      <c r="B12" t="s">
        <v>1789</v>
      </c>
      <c r="C12" s="122" t="str">
        <f>'Tornooi schema pronostiek'!F19&amp;"-"&amp;'Tornooi schema pronostiek'!G19</f>
        <v>-</v>
      </c>
    </row>
    <row r="13" spans="1:3">
      <c r="A13" t="s">
        <v>1262</v>
      </c>
      <c r="B13" t="s">
        <v>2689</v>
      </c>
      <c r="C13" s="122" t="str">
        <f>'Tornooi schema pronostiek'!F20&amp;"-"&amp;'Tornooi schema pronostiek'!G20</f>
        <v>-</v>
      </c>
    </row>
    <row r="14" spans="1:3">
      <c r="A14" t="s">
        <v>1132</v>
      </c>
      <c r="B14" t="s">
        <v>1647</v>
      </c>
      <c r="C14" s="122" t="str">
        <f>'Tornooi schema pronostiek'!F21&amp;"-"&amp;'Tornooi schema pronostiek'!G21</f>
        <v>-</v>
      </c>
    </row>
    <row r="15" spans="1:3">
      <c r="A15" t="s">
        <v>1533</v>
      </c>
      <c r="B15" t="s">
        <v>1016</v>
      </c>
      <c r="C15" s="122" t="str">
        <f>'Tornooi schema pronostiek'!F22&amp;"-"&amp;'Tornooi schema pronostiek'!G22</f>
        <v>-</v>
      </c>
    </row>
    <row r="16" spans="1:3">
      <c r="A16" t="s">
        <v>1468</v>
      </c>
      <c r="B16" t="s">
        <v>1168</v>
      </c>
      <c r="C16" s="122" t="str">
        <f>'Tornooi schema pronostiek'!F23&amp;"-"&amp;'Tornooi schema pronostiek'!G23</f>
        <v>-</v>
      </c>
    </row>
    <row r="17" spans="1:3">
      <c r="A17" t="s">
        <v>1399</v>
      </c>
      <c r="B17" t="s">
        <v>1608</v>
      </c>
      <c r="C17" s="122" t="str">
        <f>'Tornooi schema pronostiek'!F24&amp;"-"&amp;'Tornooi schema pronostiek'!G24</f>
        <v>-</v>
      </c>
    </row>
    <row r="18" spans="1:3">
      <c r="A18" t="s">
        <v>2630</v>
      </c>
      <c r="B18" t="s">
        <v>2661</v>
      </c>
      <c r="C18" s="122" t="str">
        <f>'Tornooi schema pronostiek'!F25&amp;"-"&amp;'Tornooi schema pronostiek'!G25</f>
        <v>-</v>
      </c>
    </row>
    <row r="19" spans="1:3">
      <c r="A19" t="s">
        <v>1206</v>
      </c>
      <c r="B19" t="s">
        <v>1856</v>
      </c>
      <c r="C19" s="122" t="str">
        <f>'Tornooi schema pronostiek'!F26&amp;"-"&amp;'Tornooi schema pronostiek'!G26</f>
        <v>-</v>
      </c>
    </row>
    <row r="20" spans="1:3">
      <c r="A20" t="s">
        <v>1077</v>
      </c>
      <c r="B20" t="s">
        <v>1113</v>
      </c>
      <c r="C20" s="122" t="str">
        <f>'Tornooi schema pronostiek'!F27&amp;"-"&amp;'Tornooi schema pronostiek'!G27</f>
        <v>-</v>
      </c>
    </row>
    <row r="21" spans="1:3">
      <c r="A21" t="s">
        <v>1433</v>
      </c>
      <c r="B21" t="s">
        <v>1235</v>
      </c>
      <c r="C21" s="122" t="str">
        <f>'Tornooi schema pronostiek'!F28&amp;"-"&amp;'Tornooi schema pronostiek'!G28</f>
        <v>-</v>
      </c>
    </row>
    <row r="22" spans="1:3">
      <c r="A22" t="s">
        <v>1822</v>
      </c>
      <c r="B22" t="s">
        <v>1755</v>
      </c>
      <c r="C22" s="122" t="str">
        <f>'Tornooi schema pronostiek'!F29&amp;"-"&amp;'Tornooi schema pronostiek'!G29</f>
        <v>-</v>
      </c>
    </row>
    <row r="23" spans="1:3">
      <c r="A23" t="s">
        <v>1324</v>
      </c>
      <c r="B23" t="s">
        <v>1789</v>
      </c>
      <c r="C23" s="122" t="str">
        <f>'Tornooi schema pronostiek'!F30&amp;"-"&amp;'Tornooi schema pronostiek'!G30</f>
        <v>-</v>
      </c>
    </row>
    <row r="24" spans="1:3">
      <c r="A24" t="s">
        <v>2689</v>
      </c>
      <c r="B24" t="s">
        <v>1647</v>
      </c>
      <c r="C24" s="122" t="str">
        <f>'Tornooi schema pronostiek'!F31&amp;"-"&amp;'Tornooi schema pronostiek'!G31</f>
        <v>-</v>
      </c>
    </row>
    <row r="25" spans="1:3">
      <c r="A25" t="s">
        <v>1262</v>
      </c>
      <c r="B25" t="s">
        <v>1132</v>
      </c>
      <c r="C25" s="122" t="str">
        <f>'Tornooi schema pronostiek'!F32&amp;"-"&amp;'Tornooi schema pronostiek'!G32</f>
        <v>-</v>
      </c>
    </row>
    <row r="26" spans="1:3">
      <c r="A26" t="s">
        <v>1889</v>
      </c>
      <c r="B26" t="s">
        <v>1043</v>
      </c>
      <c r="C26" s="122" t="str">
        <f>'Tornooi schema pronostiek'!F33&amp;"-"&amp;'Tornooi schema pronostiek'!G33</f>
        <v>-</v>
      </c>
    </row>
    <row r="27" spans="1:3">
      <c r="A27" t="s">
        <v>1608</v>
      </c>
      <c r="B27" t="s">
        <v>1468</v>
      </c>
      <c r="C27" s="122" t="str">
        <f>'Tornooi schema pronostiek'!F34&amp;"-"&amp;'Tornooi schema pronostiek'!G34</f>
        <v>-</v>
      </c>
    </row>
    <row r="28" spans="1:3">
      <c r="A28" t="s">
        <v>1399</v>
      </c>
      <c r="B28" t="s">
        <v>1168</v>
      </c>
      <c r="C28" s="122" t="str">
        <f>'Tornooi schema pronostiek'!F35&amp;"-"&amp;'Tornooi schema pronostiek'!G35</f>
        <v>-</v>
      </c>
    </row>
    <row r="29" spans="1:3">
      <c r="A29" t="s">
        <v>1016</v>
      </c>
      <c r="B29" t="s">
        <v>1077</v>
      </c>
      <c r="C29" s="122" t="str">
        <f>'Tornooi schema pronostiek'!F36&amp;"-"&amp;'Tornooi schema pronostiek'!G36</f>
        <v>-</v>
      </c>
    </row>
    <row r="30" spans="1:3">
      <c r="A30" t="s">
        <v>1533</v>
      </c>
      <c r="B30" t="s">
        <v>1113</v>
      </c>
      <c r="C30" s="122" t="str">
        <f>'Tornooi schema pronostiek'!F37&amp;"-"&amp;'Tornooi schema pronostiek'!G37</f>
        <v>-</v>
      </c>
    </row>
    <row r="31" spans="1:3">
      <c r="A31" t="s">
        <v>1324</v>
      </c>
      <c r="B31" t="s">
        <v>1755</v>
      </c>
      <c r="C31" s="122" t="str">
        <f>'Tornooi schema pronostiek'!F38&amp;"-"&amp;'Tornooi schema pronostiek'!G38</f>
        <v>-</v>
      </c>
    </row>
    <row r="32" spans="1:3">
      <c r="A32" t="s">
        <v>1789</v>
      </c>
      <c r="B32" t="s">
        <v>1822</v>
      </c>
      <c r="C32" s="122" t="str">
        <f>'Tornooi schema pronostiek'!F39&amp;"-"&amp;'Tornooi schema pronostiek'!G39</f>
        <v>-</v>
      </c>
    </row>
    <row r="33" spans="1:3">
      <c r="A33" t="s">
        <v>1856</v>
      </c>
      <c r="B33" t="s">
        <v>2630</v>
      </c>
      <c r="C33" s="122" t="str">
        <f>'Tornooi schema pronostiek'!F40&amp;"-"&amp;'Tornooi schema pronostiek'!G40</f>
        <v>-</v>
      </c>
    </row>
    <row r="34" spans="1:3">
      <c r="A34" t="s">
        <v>1206</v>
      </c>
      <c r="B34" t="s">
        <v>2661</v>
      </c>
      <c r="C34" s="122" t="str">
        <f>'Tornooi schema pronostiek'!F41&amp;"-"&amp;'Tornooi schema pronostiek'!G41</f>
        <v>-</v>
      </c>
    </row>
    <row r="35" spans="1:3">
      <c r="A35" t="s">
        <v>1433</v>
      </c>
      <c r="B35" t="s">
        <v>1043</v>
      </c>
      <c r="C35" s="122" t="str">
        <f>'Tornooi schema pronostiek'!F42&amp;"-"&amp;'Tornooi schema pronostiek'!G42</f>
        <v>-</v>
      </c>
    </row>
    <row r="36" spans="1:3">
      <c r="A36" t="s">
        <v>1235</v>
      </c>
      <c r="B36" t="s">
        <v>1889</v>
      </c>
      <c r="C36" s="122" t="str">
        <f>'Tornooi schema pronostiek'!F43&amp;"-"&amp;'Tornooi schema pronostiek'!G43</f>
        <v>-</v>
      </c>
    </row>
    <row r="37" spans="1:3">
      <c r="A37" t="s">
        <v>2689</v>
      </c>
      <c r="B37" t="s">
        <v>1132</v>
      </c>
      <c r="C37" s="122" t="str">
        <f>'Tornooi schema pronostiek'!F44&amp;"-"&amp;'Tornooi schema pronostiek'!G44</f>
        <v>-</v>
      </c>
    </row>
    <row r="38" spans="1:3">
      <c r="A38" t="s">
        <v>1647</v>
      </c>
      <c r="B38" t="s">
        <v>1262</v>
      </c>
      <c r="C38" s="122" t="str">
        <f>'Tornooi schema pronostiek'!F45&amp;"-"&amp;'Tornooi schema pronostiek'!G45</f>
        <v>-</v>
      </c>
    </row>
    <row r="39" spans="1:3">
      <c r="A39" s="120" t="s">
        <v>2890</v>
      </c>
      <c r="C39" s="123" t="str">
        <f>'Tornooi schema pronostiek'!EW10</f>
        <v>F1</v>
      </c>
    </row>
    <row r="40" spans="1:3">
      <c r="C40" s="122" t="str">
        <f>'Tornooi schema pronostiek'!EW11</f>
        <v>3C</v>
      </c>
    </row>
    <row r="41" spans="1:3">
      <c r="C41" s="122" t="str">
        <f>'Tornooi schema pronostiek'!EW14</f>
        <v>D2</v>
      </c>
    </row>
    <row r="42" spans="1:3">
      <c r="C42" s="122" t="str">
        <f>'Tornooi schema pronostiek'!EW15</f>
        <v>E2</v>
      </c>
    </row>
    <row r="43" spans="1:3">
      <c r="C43" s="122" t="str">
        <f>'Tornooi schema pronostiek'!EW18</f>
        <v>A1</v>
      </c>
    </row>
    <row r="44" spans="1:3">
      <c r="C44" s="122" t="str">
        <f>'Tornooi schema pronostiek'!EW19</f>
        <v>C2</v>
      </c>
    </row>
    <row r="45" spans="1:3">
      <c r="C45" s="122" t="str">
        <f>'Tornooi schema pronostiek'!EW22</f>
        <v>B1</v>
      </c>
    </row>
    <row r="46" spans="1:3">
      <c r="C46" s="122" t="str">
        <f>'Tornooi schema pronostiek'!EW23</f>
        <v>3A</v>
      </c>
    </row>
    <row r="47" spans="1:3">
      <c r="C47" s="122" t="str">
        <f>'Tornooi schema pronostiek'!EW26</f>
        <v>C1</v>
      </c>
    </row>
    <row r="48" spans="1:3">
      <c r="C48" s="122" t="str">
        <f>'Tornooi schema pronostiek'!EW27</f>
        <v>3D</v>
      </c>
    </row>
    <row r="49" spans="1:3">
      <c r="C49" s="122" t="str">
        <f>'Tornooi schema pronostiek'!EW30</f>
        <v>A2</v>
      </c>
    </row>
    <row r="50" spans="1:3">
      <c r="C50" s="122" t="str">
        <f>'Tornooi schema pronostiek'!EW31</f>
        <v>B2</v>
      </c>
    </row>
    <row r="51" spans="1:3">
      <c r="C51" s="122" t="str">
        <f>'Tornooi schema pronostiek'!EW34</f>
        <v>E1</v>
      </c>
    </row>
    <row r="52" spans="1:3">
      <c r="C52" s="122" t="str">
        <f>'Tornooi schema pronostiek'!EW35</f>
        <v>3B</v>
      </c>
    </row>
    <row r="53" spans="1:3">
      <c r="C53" s="122" t="str">
        <f>'Tornooi schema pronostiek'!EW38</f>
        <v>D1</v>
      </c>
    </row>
    <row r="54" spans="1:3">
      <c r="C54" s="122" t="str">
        <f>'Tornooi schema pronostiek'!EW39</f>
        <v>F2</v>
      </c>
    </row>
    <row r="55" spans="1:3">
      <c r="A55" s="120" t="s">
        <v>2891</v>
      </c>
      <c r="C55" s="123" t="str">
        <f>'Tornooi schema pronostiek'!FD12</f>
        <v>W37</v>
      </c>
    </row>
    <row r="56" spans="1:3">
      <c r="C56" s="122" t="str">
        <f>'Tornooi schema pronostiek'!FD13</f>
        <v>W39</v>
      </c>
    </row>
    <row r="57" spans="1:3">
      <c r="C57" s="122" t="str">
        <f>'Tornooi schema pronostiek'!FD20</f>
        <v>W38</v>
      </c>
    </row>
    <row r="58" spans="1:3">
      <c r="C58" s="122" t="str">
        <f>'Tornooi schema pronostiek'!FD21</f>
        <v>W42</v>
      </c>
    </row>
    <row r="59" spans="1:3">
      <c r="C59" s="122" t="str">
        <f>'Tornooi schema pronostiek'!FD28</f>
        <v>W41</v>
      </c>
    </row>
    <row r="60" spans="1:3">
      <c r="C60" s="122" t="str">
        <f>'Tornooi schema pronostiek'!FD29</f>
        <v>W43</v>
      </c>
    </row>
    <row r="61" spans="1:3">
      <c r="C61" s="122" t="str">
        <f>'Tornooi schema pronostiek'!FD36</f>
        <v>W40</v>
      </c>
    </row>
    <row r="62" spans="1:3">
      <c r="C62" s="122" t="str">
        <f>'Tornooi schema pronostiek'!FD37</f>
        <v>W44</v>
      </c>
    </row>
    <row r="63" spans="1:3">
      <c r="A63" s="125" t="s">
        <v>2892</v>
      </c>
      <c r="C63" s="122" t="str">
        <f>'Tornooi schema pronostiek'!FK16</f>
        <v>W45</v>
      </c>
    </row>
    <row r="64" spans="1:3">
      <c r="C64" s="122" t="str">
        <f>'Tornooi schema pronostiek'!FK17</f>
        <v>W46</v>
      </c>
    </row>
    <row r="65" spans="1:3">
      <c r="C65" s="122" t="str">
        <f>'Tornooi schema pronostiek'!FK32</f>
        <v>W47</v>
      </c>
    </row>
    <row r="66" spans="1:3">
      <c r="C66" s="124" t="str">
        <f>'Tornooi schema pronostiek'!FK33</f>
        <v>W48</v>
      </c>
    </row>
    <row r="67" spans="1:3">
      <c r="A67" s="125" t="s">
        <v>2893</v>
      </c>
      <c r="C67" s="122" t="str">
        <f>'Tornooi schema pronostiek'!FR23</f>
        <v>W49</v>
      </c>
    </row>
    <row r="68" spans="1:3">
      <c r="C68" s="122" t="str">
        <f>'Tornooi schema pronostiek'!FR24</f>
        <v>W50</v>
      </c>
    </row>
    <row r="69" spans="1:3" ht="15" thickBot="1">
      <c r="A69" s="125" t="s">
        <v>2894</v>
      </c>
      <c r="C69" s="126" t="str">
        <f>'Tornooi schema pronostiek'!FO41</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7"/>
  <sheetViews>
    <sheetView showGridLines="0" zoomScaleNormal="100" workbookViewId="0">
      <selection activeCell="C4" sqref="C4"/>
    </sheetView>
  </sheetViews>
  <sheetFormatPr baseColWidth="10" defaultColWidth="9.19921875" defaultRowHeight="14"/>
  <cols>
    <col min="1" max="1" width="1.796875" style="3" customWidth="1"/>
    <col min="2" max="2" width="21.796875" style="3" customWidth="1"/>
    <col min="3" max="3" width="19.3984375" style="4" customWidth="1"/>
    <col min="4" max="4" width="2.59765625" style="3" customWidth="1"/>
    <col min="5" max="5" width="2.19921875" style="3" customWidth="1"/>
    <col min="6" max="6" width="16.3984375" style="3" customWidth="1"/>
    <col min="7" max="7" width="28.59765625" style="3" customWidth="1"/>
    <col min="8" max="8" width="2.59765625" style="3" customWidth="1"/>
    <col min="9" max="1024" width="9.19921875" style="3"/>
  </cols>
  <sheetData>
    <row r="2" spans="2:8" ht="16">
      <c r="B2" s="5" t="s">
        <v>2465</v>
      </c>
      <c r="C2" s="6"/>
      <c r="D2" s="7"/>
      <c r="F2" s="5" t="s">
        <v>2466</v>
      </c>
      <c r="G2" s="6"/>
      <c r="H2" s="7"/>
    </row>
    <row r="3" spans="2:8">
      <c r="B3" s="8"/>
      <c r="C3" s="9"/>
      <c r="D3" s="10"/>
      <c r="F3" s="8"/>
      <c r="G3" s="9"/>
      <c r="H3" s="10"/>
    </row>
    <row r="4" spans="2:8">
      <c r="B4" s="11" t="s">
        <v>2467</v>
      </c>
      <c r="C4" s="12" t="s">
        <v>12</v>
      </c>
      <c r="D4" s="10"/>
      <c r="F4" s="8"/>
      <c r="G4" s="13"/>
      <c r="H4" s="10"/>
    </row>
    <row r="5" spans="2:8">
      <c r="B5" s="8"/>
      <c r="C5" s="9"/>
      <c r="D5" s="10"/>
      <c r="F5" s="14" t="s">
        <v>2468</v>
      </c>
      <c r="G5" s="15" t="s">
        <v>2469</v>
      </c>
      <c r="H5" s="10"/>
    </row>
    <row r="6" spans="2:8">
      <c r="B6" s="11" t="s">
        <v>2470</v>
      </c>
      <c r="C6" s="12" t="s">
        <v>2471</v>
      </c>
      <c r="D6" s="10"/>
      <c r="F6" s="14" t="s">
        <v>2472</v>
      </c>
      <c r="G6" s="16" t="s">
        <v>2473</v>
      </c>
      <c r="H6" s="10"/>
    </row>
    <row r="7" spans="2:8">
      <c r="B7" s="8"/>
      <c r="C7" s="9"/>
      <c r="D7" s="10"/>
      <c r="F7" s="14" t="s">
        <v>2474</v>
      </c>
      <c r="G7" s="16" t="s">
        <v>2475</v>
      </c>
      <c r="H7" s="10"/>
    </row>
    <row r="8" spans="2:8">
      <c r="B8" s="11" t="s">
        <v>2476</v>
      </c>
      <c r="C8" s="17" t="s">
        <v>2477</v>
      </c>
      <c r="D8" s="10"/>
      <c r="F8" s="14" t="s">
        <v>2478</v>
      </c>
      <c r="G8" s="16" t="s">
        <v>2479</v>
      </c>
      <c r="H8" s="10"/>
    </row>
    <row r="9" spans="2:8">
      <c r="B9" s="8"/>
      <c r="C9" s="9"/>
      <c r="D9" s="10"/>
      <c r="F9" s="14" t="s">
        <v>2480</v>
      </c>
      <c r="G9" s="18" t="s">
        <v>2481</v>
      </c>
      <c r="H9" s="10"/>
    </row>
    <row r="10" spans="2:8">
      <c r="B10" s="11" t="s">
        <v>2482</v>
      </c>
      <c r="C10" s="17" t="s">
        <v>2483</v>
      </c>
      <c r="D10" s="10"/>
      <c r="F10" s="8"/>
      <c r="G10" s="19"/>
      <c r="H10" s="10"/>
    </row>
    <row r="11" spans="2:8">
      <c r="B11" s="20"/>
      <c r="C11" s="21"/>
      <c r="D11" s="22"/>
      <c r="F11" s="20"/>
      <c r="G11" s="21"/>
      <c r="H11" s="22"/>
    </row>
    <row r="12" spans="2:8">
      <c r="B12" s="23"/>
      <c r="C12" s="23"/>
      <c r="D12" s="23"/>
      <c r="E12" s="23"/>
    </row>
    <row r="13" spans="2:8">
      <c r="B13" s="24"/>
      <c r="C13" s="25"/>
      <c r="D13" s="26"/>
      <c r="F13" s="27" t="s">
        <v>2484</v>
      </c>
      <c r="G13" s="27">
        <f>IF(ISERROR(MATCH(C4,lang_list,0)),1,MATCH(C4,lang_list,0))</f>
        <v>13</v>
      </c>
      <c r="H13" s="28"/>
    </row>
    <row r="14" spans="2:8" ht="17" thickBot="1">
      <c r="B14" s="8"/>
      <c r="C14" s="29" t="s">
        <v>2481</v>
      </c>
      <c r="D14" s="10"/>
      <c r="F14" s="27" t="s">
        <v>2485</v>
      </c>
      <c r="G14" s="30">
        <f>TIME(VLOOKUP(C8,F16:G39,2,0),VLOOKUP(C10,F41:G44,2,0),0)+IF(C6="Yes",TIME(1,0,0),0)</f>
        <v>0.54166666666666663</v>
      </c>
      <c r="H14" s="28"/>
    </row>
    <row r="15" spans="2:8">
      <c r="B15" s="31" t="str">
        <f>INDEX(T,66,lang)</f>
        <v>Engeland</v>
      </c>
      <c r="C15" s="112">
        <v>104.303</v>
      </c>
      <c r="D15" s="10"/>
      <c r="F15" s="27"/>
      <c r="G15" s="27"/>
      <c r="H15" s="28"/>
    </row>
    <row r="16" spans="2:8">
      <c r="B16" s="31" t="str">
        <f>INDEX(T,40,lang)</f>
        <v>Spanje</v>
      </c>
      <c r="C16" s="113">
        <v>88.864000000000004</v>
      </c>
      <c r="D16" s="10"/>
      <c r="F16" s="27" t="s">
        <v>2486</v>
      </c>
      <c r="G16" s="27">
        <v>0</v>
      </c>
      <c r="H16" s="28"/>
    </row>
    <row r="17" spans="2:8">
      <c r="B17" s="31" t="str">
        <f>INDEX(T,41,lang)</f>
        <v>Italië</v>
      </c>
      <c r="C17" s="113">
        <v>88.712000000000003</v>
      </c>
      <c r="D17" s="10"/>
      <c r="F17" s="27" t="s">
        <v>2487</v>
      </c>
      <c r="G17" s="27">
        <v>1</v>
      </c>
      <c r="H17" s="28"/>
    </row>
    <row r="18" spans="2:8">
      <c r="B18" s="31" t="str">
        <f>INDEX(T,52,lang)</f>
        <v>Duitsland</v>
      </c>
      <c r="C18" s="113">
        <v>85.337999999999994</v>
      </c>
      <c r="D18" s="10"/>
      <c r="F18" s="27" t="s">
        <v>2488</v>
      </c>
      <c r="G18" s="27">
        <v>2</v>
      </c>
      <c r="H18" s="28"/>
    </row>
    <row r="19" spans="2:8">
      <c r="B19" s="31" t="str">
        <f>INDEX(T,62,lang)</f>
        <v>Frankrijk</v>
      </c>
      <c r="C19" s="113">
        <v>66.664000000000001</v>
      </c>
      <c r="D19" s="10"/>
      <c r="F19" s="27" t="s">
        <v>2489</v>
      </c>
      <c r="G19" s="27">
        <v>3</v>
      </c>
      <c r="H19" s="28"/>
    </row>
    <row r="20" spans="2:8">
      <c r="B20" s="31" t="str">
        <f>INDEX(T,48,lang)</f>
        <v>Nederland</v>
      </c>
      <c r="C20" s="113">
        <v>61.3</v>
      </c>
      <c r="D20" s="10"/>
      <c r="F20" s="27" t="s">
        <v>2490</v>
      </c>
      <c r="G20" s="27">
        <v>4</v>
      </c>
      <c r="H20" s="28"/>
    </row>
    <row r="21" spans="2:8">
      <c r="B21" s="31" t="str">
        <f>INDEX(T,42,lang)</f>
        <v>Portugal</v>
      </c>
      <c r="C21" s="113">
        <v>56.316000000000003</v>
      </c>
      <c r="D21" s="10"/>
      <c r="F21" s="27" t="s">
        <v>2491</v>
      </c>
      <c r="G21" s="27">
        <v>5</v>
      </c>
      <c r="H21" s="28"/>
    </row>
    <row r="22" spans="2:8">
      <c r="B22" s="31" t="str">
        <f>INDEX(T,67,lang)</f>
        <v>België</v>
      </c>
      <c r="C22" s="113">
        <v>48.6</v>
      </c>
      <c r="D22" s="10"/>
      <c r="F22" s="27" t="s">
        <v>2492</v>
      </c>
      <c r="G22" s="27">
        <v>6</v>
      </c>
      <c r="H22" s="28"/>
    </row>
    <row r="23" spans="2:8">
      <c r="B23" s="31" t="str">
        <f>INDEX(T,46,lang)</f>
        <v>Turkije</v>
      </c>
      <c r="C23" s="113">
        <v>38.6</v>
      </c>
      <c r="D23" s="10"/>
      <c r="F23" s="27" t="s">
        <v>2493</v>
      </c>
      <c r="G23" s="27">
        <v>7</v>
      </c>
      <c r="H23" s="28"/>
    </row>
    <row r="24" spans="2:8">
      <c r="B24" s="31" t="str">
        <f>INDEX(T,50,lang)</f>
        <v>Schotland</v>
      </c>
      <c r="C24" s="113">
        <v>36.049999999999997</v>
      </c>
      <c r="D24" s="10"/>
      <c r="F24" s="27" t="s">
        <v>2494</v>
      </c>
      <c r="G24" s="27">
        <v>8</v>
      </c>
      <c r="H24" s="28"/>
    </row>
    <row r="25" spans="2:8">
      <c r="B25" s="31" t="str">
        <f>INDEX(T,58,lang)</f>
        <v>Tsjechische Republiek</v>
      </c>
      <c r="C25" s="113">
        <v>36.049999999999997</v>
      </c>
      <c r="D25" s="10"/>
      <c r="F25" s="27" t="s">
        <v>2495</v>
      </c>
      <c r="G25" s="27">
        <v>9</v>
      </c>
      <c r="H25" s="28"/>
    </row>
    <row r="26" spans="2:8">
      <c r="B26" s="31" t="str">
        <f>INDEX(T,57,lang)</f>
        <v>Zwitserland</v>
      </c>
      <c r="C26" s="113">
        <v>32.975000000000001</v>
      </c>
      <c r="D26" s="10"/>
      <c r="F26" s="27" t="s">
        <v>2496</v>
      </c>
      <c r="G26" s="27">
        <v>10</v>
      </c>
      <c r="H26" s="28"/>
    </row>
    <row r="27" spans="2:8">
      <c r="B27" s="31" t="str">
        <f>INDEX(T,61,lang)</f>
        <v>Oostenrijk</v>
      </c>
      <c r="C27" s="113">
        <v>32.6</v>
      </c>
      <c r="D27" s="10"/>
      <c r="F27" s="27" t="s">
        <v>2497</v>
      </c>
      <c r="G27" s="27">
        <v>11</v>
      </c>
      <c r="H27" s="28"/>
    </row>
    <row r="28" spans="2:8">
      <c r="B28" s="31" t="str">
        <f>INDEX(T,44,lang)</f>
        <v>Denemarken</v>
      </c>
      <c r="C28" s="113">
        <v>31.45</v>
      </c>
      <c r="D28" s="10"/>
      <c r="F28" s="27" t="s">
        <v>2477</v>
      </c>
      <c r="G28" s="27">
        <v>12</v>
      </c>
      <c r="H28" s="28"/>
    </row>
    <row r="29" spans="2:8">
      <c r="B29" s="31" t="str">
        <f>INDEX(T,45,lang)</f>
        <v>Oekraïne</v>
      </c>
      <c r="C29" s="113">
        <v>28</v>
      </c>
      <c r="D29" s="10"/>
      <c r="F29" s="27" t="s">
        <v>2498</v>
      </c>
      <c r="G29" s="27">
        <v>13</v>
      </c>
      <c r="H29" s="28"/>
    </row>
    <row r="30" spans="2:8">
      <c r="B30" s="31" t="str">
        <f>INDEX(T,63,lang)</f>
        <v>Servië</v>
      </c>
      <c r="C30" s="113">
        <v>27.774999999999999</v>
      </c>
      <c r="D30" s="10"/>
      <c r="F30" s="27" t="s">
        <v>2499</v>
      </c>
      <c r="G30" s="27">
        <v>14</v>
      </c>
      <c r="H30" s="28"/>
    </row>
    <row r="31" spans="2:8">
      <c r="B31" s="31" t="str">
        <f>INDEX(T,55,lang)</f>
        <v>Kroatië</v>
      </c>
      <c r="C31" s="113">
        <v>25.524999999999999</v>
      </c>
      <c r="D31" s="10"/>
      <c r="F31" s="27" t="s">
        <v>2500</v>
      </c>
      <c r="G31" s="27">
        <v>15</v>
      </c>
      <c r="H31" s="28"/>
    </row>
    <row r="32" spans="2:8">
      <c r="B32" s="31" t="str">
        <f>INDEX(T,64,lang)</f>
        <v>Polen</v>
      </c>
      <c r="C32" s="113">
        <v>25.375</v>
      </c>
      <c r="D32" s="10"/>
      <c r="F32" s="27" t="s">
        <v>2501</v>
      </c>
      <c r="G32" s="27">
        <v>16</v>
      </c>
      <c r="H32" s="28"/>
    </row>
    <row r="33" spans="2:8">
      <c r="B33" s="31" t="str">
        <f>INDEX(T,43,lang)</f>
        <v>Hongarije</v>
      </c>
      <c r="C33" s="113">
        <v>21.875</v>
      </c>
      <c r="D33" s="10"/>
      <c r="F33" s="27" t="s">
        <v>2502</v>
      </c>
      <c r="G33" s="27">
        <v>17</v>
      </c>
      <c r="H33" s="28"/>
    </row>
    <row r="34" spans="2:8">
      <c r="B34" s="31" t="str">
        <f>INDEX(T,39,lang)</f>
        <v>Roemenië</v>
      </c>
      <c r="C34" s="113">
        <v>21.375</v>
      </c>
      <c r="D34" s="10"/>
      <c r="F34" s="27" t="s">
        <v>2503</v>
      </c>
      <c r="G34" s="27">
        <v>18</v>
      </c>
      <c r="H34" s="28"/>
    </row>
    <row r="35" spans="2:8">
      <c r="B35" s="31" t="str">
        <f>INDEX(T,51,lang)</f>
        <v>Slowakije</v>
      </c>
      <c r="C35" s="113">
        <v>19.625</v>
      </c>
      <c r="D35" s="10"/>
      <c r="F35" s="27" t="s">
        <v>2504</v>
      </c>
      <c r="G35" s="27">
        <v>19</v>
      </c>
      <c r="H35" s="28"/>
    </row>
    <row r="36" spans="2:8">
      <c r="B36" s="31" t="str">
        <f>INDEX(T,53,lang)</f>
        <v>Slovenië</v>
      </c>
      <c r="C36" s="113">
        <v>13.25</v>
      </c>
      <c r="D36" s="10"/>
      <c r="F36" s="27" t="s">
        <v>2505</v>
      </c>
      <c r="G36" s="27">
        <v>20</v>
      </c>
      <c r="H36" s="28"/>
    </row>
    <row r="37" spans="2:8">
      <c r="B37" s="31" t="str">
        <f>INDEX(T,65,lang)</f>
        <v>Georgië</v>
      </c>
      <c r="C37" s="113">
        <v>7.625</v>
      </c>
      <c r="D37" s="10"/>
      <c r="F37" s="27" t="s">
        <v>2506</v>
      </c>
      <c r="G37" s="27">
        <v>21</v>
      </c>
      <c r="H37" s="28"/>
    </row>
    <row r="38" spans="2:8">
      <c r="B38" s="31" t="str">
        <f>INDEX(T,38,lang)</f>
        <v>Albanië</v>
      </c>
      <c r="C38" s="114">
        <v>7.375</v>
      </c>
      <c r="D38" s="10"/>
      <c r="F38" s="27" t="s">
        <v>2507</v>
      </c>
      <c r="G38" s="27">
        <v>22</v>
      </c>
      <c r="H38" s="28"/>
    </row>
    <row r="39" spans="2:8" hidden="1">
      <c r="B39" s="31"/>
      <c r="C39" s="32"/>
      <c r="D39" s="10"/>
      <c r="F39" s="27" t="s">
        <v>2508</v>
      </c>
      <c r="G39" s="27">
        <v>23</v>
      </c>
      <c r="H39" s="28"/>
    </row>
    <row r="40" spans="2:8" hidden="1">
      <c r="B40" s="31"/>
      <c r="C40" s="32"/>
      <c r="D40" s="10"/>
      <c r="F40" s="27"/>
      <c r="G40" s="27"/>
      <c r="H40" s="28"/>
    </row>
    <row r="41" spans="2:8" hidden="1">
      <c r="B41" s="31"/>
      <c r="C41" s="32"/>
      <c r="D41" s="10"/>
      <c r="F41" s="27" t="s">
        <v>2483</v>
      </c>
      <c r="G41" s="27">
        <v>0</v>
      </c>
      <c r="H41" s="28"/>
    </row>
    <row r="42" spans="2:8" hidden="1">
      <c r="B42" s="31"/>
      <c r="C42" s="32"/>
      <c r="D42" s="10"/>
      <c r="F42" s="27" t="s">
        <v>2509</v>
      </c>
      <c r="G42" s="27">
        <v>15</v>
      </c>
      <c r="H42" s="28"/>
    </row>
    <row r="43" spans="2:8" hidden="1">
      <c r="B43" s="31"/>
      <c r="C43" s="32"/>
      <c r="D43" s="10"/>
      <c r="F43" s="27" t="s">
        <v>2510</v>
      </c>
      <c r="G43" s="27">
        <v>30</v>
      </c>
      <c r="H43" s="28"/>
    </row>
    <row r="44" spans="2:8" hidden="1">
      <c r="B44" s="31"/>
      <c r="C44" s="32"/>
      <c r="D44" s="10"/>
      <c r="F44" s="27" t="s">
        <v>2511</v>
      </c>
      <c r="G44" s="27">
        <v>45</v>
      </c>
      <c r="H44" s="28"/>
    </row>
    <row r="45" spans="2:8" hidden="1">
      <c r="B45" s="31"/>
      <c r="C45" s="32"/>
      <c r="D45" s="10"/>
      <c r="F45" s="27"/>
      <c r="G45" s="27"/>
      <c r="H45" s="28"/>
    </row>
    <row r="46" spans="2:8" hidden="1">
      <c r="B46" s="31"/>
      <c r="C46" s="33"/>
      <c r="D46" s="10"/>
      <c r="F46" s="28" t="s">
        <v>2512</v>
      </c>
      <c r="G46" s="30">
        <f>IF(G4="Type 2",0,1)</f>
        <v>1</v>
      </c>
      <c r="H46" s="28"/>
    </row>
    <row r="47" spans="2:8">
      <c r="B47" s="20"/>
      <c r="C47" s="21"/>
      <c r="D47" s="22"/>
      <c r="F47" s="28"/>
      <c r="G47" s="28"/>
      <c r="H47" s="28"/>
    </row>
  </sheetData>
  <dataValidations count="4">
    <dataValidation type="list" allowBlank="1" showInputMessage="1" showErrorMessage="1" sqref="C6" xr:uid="{00000000-0002-0000-0100-000000000000}">
      <formula1>"Yes,No"</formula1>
      <formula2>0</formula2>
    </dataValidation>
    <dataValidation type="list" allowBlank="1" showInputMessage="1" showErrorMessage="1" sqref="C4" xr:uid="{00000000-0002-0000-0100-000001000000}">
      <formula1>lang_list</formula1>
      <formula2>0</formula2>
    </dataValidation>
    <dataValidation type="list" allowBlank="1" showInputMessage="1" showErrorMessage="1" promptTitle="Select GTM-time" prompt="Use drop-down List" sqref="C8" xr:uid="{00000000-0002-0000-0100-000002000000}">
      <formula1>$F$16:$F$39</formula1>
      <formula2>0</formula2>
    </dataValidation>
    <dataValidation type="list" allowBlank="1" showInputMessage="1" showErrorMessage="1" promptTitle="Select Minutes" prompt="Use drop-down List" sqref="C10" xr:uid="{00000000-0002-0000-0100-000003000000}">
      <formula1>$F$41:$F$44</formula1>
      <formula2>0</formula2>
    </dataValidation>
  </dataValidations>
  <pageMargins left="0.75" right="0.75" top="1" bottom="1"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0CD0-104D-473D-9773-F3150E69CB68}">
  <dimension ref="A1:DM303"/>
  <sheetViews>
    <sheetView workbookViewId="0">
      <selection activeCell="E2" sqref="E2:T2"/>
    </sheetView>
  </sheetViews>
  <sheetFormatPr baseColWidth="10" defaultColWidth="8.59765625" defaultRowHeight="14"/>
  <cols>
    <col min="1" max="2" width="8.59765625" customWidth="1"/>
    <col min="3" max="3" width="10.796875" bestFit="1" customWidth="1"/>
    <col min="4" max="4" width="12" customWidth="1"/>
    <col min="5" max="30" width="8.59765625" customWidth="1"/>
  </cols>
  <sheetData>
    <row r="1" spans="1:117" ht="15" thickBot="1">
      <c r="E1" t="s">
        <v>2926</v>
      </c>
    </row>
    <row r="2" spans="1:117" ht="15">
      <c r="B2" t="s">
        <v>2927</v>
      </c>
      <c r="E2" s="178" t="s">
        <v>652</v>
      </c>
      <c r="F2" s="178" t="s">
        <v>3111</v>
      </c>
      <c r="G2" s="178" t="s">
        <v>3112</v>
      </c>
      <c r="H2" s="178" t="s">
        <v>3113</v>
      </c>
      <c r="I2" s="178" t="s">
        <v>3114</v>
      </c>
      <c r="J2" s="178" t="s">
        <v>3115</v>
      </c>
      <c r="K2" s="178" t="s">
        <v>3116</v>
      </c>
      <c r="L2" s="178" t="s">
        <v>3117</v>
      </c>
      <c r="M2" s="178" t="s">
        <v>3118</v>
      </c>
      <c r="N2" s="178" t="s">
        <v>3110</v>
      </c>
      <c r="O2" s="178" t="s">
        <v>3119</v>
      </c>
      <c r="P2" s="178" t="s">
        <v>3120</v>
      </c>
      <c r="Q2" s="178" t="s">
        <v>3121</v>
      </c>
      <c r="R2" s="178" t="s">
        <v>3122</v>
      </c>
      <c r="S2" s="178" t="s">
        <v>3123</v>
      </c>
      <c r="T2" s="178" t="s">
        <v>3124</v>
      </c>
      <c r="U2" s="178" t="s">
        <v>2981</v>
      </c>
      <c r="V2" s="178" t="s">
        <v>2982</v>
      </c>
      <c r="W2" s="178" t="s">
        <v>2983</v>
      </c>
      <c r="X2" s="178" t="s">
        <v>2984</v>
      </c>
      <c r="Y2" s="178" t="s">
        <v>2985</v>
      </c>
      <c r="Z2" s="178" t="s">
        <v>2986</v>
      </c>
      <c r="AA2" s="178" t="s">
        <v>2987</v>
      </c>
      <c r="AB2" s="178" t="s">
        <v>2988</v>
      </c>
      <c r="AC2" s="178" t="s">
        <v>2989</v>
      </c>
      <c r="AD2" s="178" t="s">
        <v>2990</v>
      </c>
      <c r="AE2" s="178" t="s">
        <v>2991</v>
      </c>
      <c r="AF2" s="178" t="s">
        <v>2992</v>
      </c>
      <c r="AG2" s="178" t="s">
        <v>2993</v>
      </c>
      <c r="AH2" s="178" t="s">
        <v>2994</v>
      </c>
      <c r="AI2" s="178" t="s">
        <v>2995</v>
      </c>
      <c r="AJ2" s="178" t="s">
        <v>2996</v>
      </c>
      <c r="AK2" s="178" t="s">
        <v>2997</v>
      </c>
      <c r="AL2" s="178" t="s">
        <v>2998</v>
      </c>
      <c r="AM2" s="178" t="s">
        <v>2999</v>
      </c>
      <c r="AN2" s="178" t="s">
        <v>3000</v>
      </c>
      <c r="AO2" s="178" t="s">
        <v>3001</v>
      </c>
      <c r="AP2" s="178" t="s">
        <v>3002</v>
      </c>
      <c r="AQ2" s="178" t="s">
        <v>3003</v>
      </c>
      <c r="AR2" s="178" t="s">
        <v>3004</v>
      </c>
      <c r="AS2" s="178" t="s">
        <v>3005</v>
      </c>
      <c r="AT2" s="178" t="s">
        <v>3006</v>
      </c>
      <c r="AU2" s="178" t="s">
        <v>3007</v>
      </c>
      <c r="AV2" s="178" t="s">
        <v>3008</v>
      </c>
      <c r="AW2" s="178" t="s">
        <v>3009</v>
      </c>
      <c r="AX2" s="178" t="s">
        <v>3010</v>
      </c>
      <c r="AY2" s="178" t="s">
        <v>3011</v>
      </c>
      <c r="AZ2" s="178" t="s">
        <v>3012</v>
      </c>
      <c r="BA2" s="178" t="s">
        <v>3013</v>
      </c>
      <c r="BB2" s="178" t="s">
        <v>3014</v>
      </c>
      <c r="BC2" s="178" t="s">
        <v>3015</v>
      </c>
      <c r="BD2" s="178" t="s">
        <v>3016</v>
      </c>
      <c r="BE2" s="178" t="s">
        <v>3017</v>
      </c>
      <c r="BF2" s="178" t="s">
        <v>3018</v>
      </c>
      <c r="BG2" s="178" t="s">
        <v>3019</v>
      </c>
      <c r="BH2" s="178" t="s">
        <v>3020</v>
      </c>
      <c r="BI2" s="178" t="s">
        <v>3021</v>
      </c>
      <c r="BJ2" s="178" t="s">
        <v>3022</v>
      </c>
      <c r="BK2" s="178" t="s">
        <v>3023</v>
      </c>
      <c r="BL2" s="178" t="s">
        <v>3024</v>
      </c>
      <c r="BM2" s="178" t="s">
        <v>3025</v>
      </c>
      <c r="BN2" s="178" t="s">
        <v>3026</v>
      </c>
      <c r="BO2" s="178" t="s">
        <v>3027</v>
      </c>
      <c r="BP2" s="178" t="s">
        <v>3028</v>
      </c>
      <c r="BQ2" s="178" t="s">
        <v>3029</v>
      </c>
      <c r="BR2" s="178" t="s">
        <v>3030</v>
      </c>
      <c r="BS2" s="178" t="s">
        <v>3031</v>
      </c>
      <c r="BT2" s="178" t="s">
        <v>3032</v>
      </c>
      <c r="BU2" s="178" t="s">
        <v>3033</v>
      </c>
      <c r="BV2" s="178" t="s">
        <v>3034</v>
      </c>
      <c r="BW2" s="178" t="s">
        <v>3035</v>
      </c>
      <c r="BX2" s="178" t="s">
        <v>3036</v>
      </c>
      <c r="BY2" s="178" t="s">
        <v>3037</v>
      </c>
      <c r="BZ2" s="178" t="s">
        <v>3038</v>
      </c>
      <c r="CA2" s="178" t="s">
        <v>3039</v>
      </c>
      <c r="CB2" s="178" t="s">
        <v>3040</v>
      </c>
      <c r="CC2" s="178" t="s">
        <v>3041</v>
      </c>
      <c r="CD2" s="178" t="s">
        <v>3042</v>
      </c>
      <c r="CE2" s="178" t="s">
        <v>3043</v>
      </c>
      <c r="CF2" s="178" t="s">
        <v>3044</v>
      </c>
      <c r="CG2" s="178" t="s">
        <v>3045</v>
      </c>
      <c r="CH2" s="178" t="s">
        <v>3046</v>
      </c>
      <c r="CI2" s="178" t="s">
        <v>3047</v>
      </c>
      <c r="CJ2" s="178" t="s">
        <v>3048</v>
      </c>
      <c r="CK2" s="178" t="s">
        <v>3049</v>
      </c>
      <c r="CL2" s="178" t="s">
        <v>3050</v>
      </c>
      <c r="CM2" s="178" t="s">
        <v>3051</v>
      </c>
      <c r="CN2" s="178" t="s">
        <v>3052</v>
      </c>
      <c r="CO2" s="178" t="s">
        <v>3053</v>
      </c>
      <c r="CP2" s="178" t="s">
        <v>3054</v>
      </c>
      <c r="CQ2" s="178" t="s">
        <v>3055</v>
      </c>
      <c r="CR2" s="178" t="s">
        <v>3056</v>
      </c>
      <c r="CS2" s="178" t="s">
        <v>3057</v>
      </c>
      <c r="CT2" s="178" t="s">
        <v>3058</v>
      </c>
      <c r="CU2" s="178" t="s">
        <v>3059</v>
      </c>
      <c r="CV2" s="178" t="s">
        <v>3060</v>
      </c>
      <c r="CW2" s="178" t="s">
        <v>3061</v>
      </c>
      <c r="CX2" s="178" t="s">
        <v>3062</v>
      </c>
      <c r="CY2" s="178" t="s">
        <v>3063</v>
      </c>
      <c r="CZ2" s="178" t="s">
        <v>3064</v>
      </c>
      <c r="DA2" s="178" t="s">
        <v>3065</v>
      </c>
      <c r="DB2" s="178" t="s">
        <v>3066</v>
      </c>
      <c r="DC2" s="178" t="s">
        <v>3067</v>
      </c>
      <c r="DD2" s="178" t="s">
        <v>3068</v>
      </c>
      <c r="DE2" s="178" t="s">
        <v>3069</v>
      </c>
      <c r="DF2" s="178" t="s">
        <v>3070</v>
      </c>
      <c r="DG2" s="178" t="s">
        <v>3071</v>
      </c>
      <c r="DH2" s="178" t="s">
        <v>3072</v>
      </c>
      <c r="DI2" s="178" t="s">
        <v>3073</v>
      </c>
      <c r="DL2" s="140" t="s">
        <v>2928</v>
      </c>
      <c r="DM2" s="141"/>
    </row>
    <row r="3" spans="1:117">
      <c r="D3" t="s">
        <v>2929</v>
      </c>
      <c r="E3" s="142">
        <f>E120</f>
        <v>12</v>
      </c>
      <c r="F3" s="142">
        <f t="shared" ref="F3:BQ3" si="0">F120</f>
        <v>7</v>
      </c>
      <c r="G3" s="142">
        <f t="shared" si="0"/>
        <v>15</v>
      </c>
      <c r="H3" s="142">
        <f t="shared" si="0"/>
        <v>15</v>
      </c>
      <c r="I3" s="142">
        <f t="shared" si="0"/>
        <v>7</v>
      </c>
      <c r="J3" s="142">
        <f t="shared" si="0"/>
        <v>8</v>
      </c>
      <c r="K3" s="142">
        <f t="shared" si="0"/>
        <v>11</v>
      </c>
      <c r="L3" s="142">
        <f t="shared" si="0"/>
        <v>11</v>
      </c>
      <c r="M3" s="142">
        <f>M120</f>
        <v>14</v>
      </c>
      <c r="N3" s="142">
        <f t="shared" si="0"/>
        <v>8</v>
      </c>
      <c r="O3" s="142">
        <f t="shared" si="0"/>
        <v>15</v>
      </c>
      <c r="P3" s="142">
        <f t="shared" si="0"/>
        <v>12</v>
      </c>
      <c r="Q3" s="142">
        <f t="shared" si="0"/>
        <v>9</v>
      </c>
      <c r="R3" s="142">
        <f t="shared" si="0"/>
        <v>15</v>
      </c>
      <c r="S3" s="142">
        <f t="shared" si="0"/>
        <v>12</v>
      </c>
      <c r="T3" s="142">
        <f t="shared" si="0"/>
        <v>11</v>
      </c>
      <c r="U3" s="142">
        <f t="shared" si="0"/>
        <v>0</v>
      </c>
      <c r="V3" s="142">
        <f t="shared" si="0"/>
        <v>0</v>
      </c>
      <c r="W3" s="142">
        <f t="shared" si="0"/>
        <v>0</v>
      </c>
      <c r="X3" s="142">
        <f t="shared" si="0"/>
        <v>0</v>
      </c>
      <c r="Y3" s="142">
        <f t="shared" si="0"/>
        <v>0</v>
      </c>
      <c r="Z3" s="142">
        <f t="shared" si="0"/>
        <v>0</v>
      </c>
      <c r="AA3" s="142">
        <f t="shared" si="0"/>
        <v>0</v>
      </c>
      <c r="AB3" s="142">
        <f t="shared" si="0"/>
        <v>0</v>
      </c>
      <c r="AC3" s="142">
        <f t="shared" si="0"/>
        <v>0</v>
      </c>
      <c r="AD3" s="142">
        <f t="shared" si="0"/>
        <v>0</v>
      </c>
      <c r="AE3" s="142">
        <f t="shared" si="0"/>
        <v>0</v>
      </c>
      <c r="AF3" s="142">
        <f t="shared" si="0"/>
        <v>0</v>
      </c>
      <c r="AG3" s="142">
        <f t="shared" si="0"/>
        <v>0</v>
      </c>
      <c r="AH3" s="142">
        <f t="shared" si="0"/>
        <v>0</v>
      </c>
      <c r="AI3" s="142">
        <f t="shared" si="0"/>
        <v>0</v>
      </c>
      <c r="AJ3" s="142">
        <f t="shared" si="0"/>
        <v>0</v>
      </c>
      <c r="AK3" s="142">
        <f t="shared" si="0"/>
        <v>0</v>
      </c>
      <c r="AL3" s="142">
        <f t="shared" si="0"/>
        <v>0</v>
      </c>
      <c r="AM3" s="142">
        <f t="shared" si="0"/>
        <v>0</v>
      </c>
      <c r="AN3" s="142">
        <f t="shared" si="0"/>
        <v>0</v>
      </c>
      <c r="AO3" s="142">
        <f t="shared" si="0"/>
        <v>0</v>
      </c>
      <c r="AP3" s="142">
        <f t="shared" si="0"/>
        <v>0</v>
      </c>
      <c r="AQ3" s="142">
        <f t="shared" si="0"/>
        <v>0</v>
      </c>
      <c r="AR3" s="142">
        <f t="shared" si="0"/>
        <v>0</v>
      </c>
      <c r="AS3" s="142">
        <f t="shared" si="0"/>
        <v>0</v>
      </c>
      <c r="AT3" s="142">
        <f t="shared" si="0"/>
        <v>0</v>
      </c>
      <c r="AU3" s="142">
        <f t="shared" si="0"/>
        <v>0</v>
      </c>
      <c r="AV3" s="142">
        <f t="shared" si="0"/>
        <v>0</v>
      </c>
      <c r="AW3" s="142">
        <f t="shared" si="0"/>
        <v>0</v>
      </c>
      <c r="AX3" s="142">
        <f t="shared" si="0"/>
        <v>0</v>
      </c>
      <c r="AY3" s="142">
        <f t="shared" si="0"/>
        <v>0</v>
      </c>
      <c r="AZ3" s="142">
        <f t="shared" si="0"/>
        <v>0</v>
      </c>
      <c r="BA3" s="142">
        <f t="shared" si="0"/>
        <v>0</v>
      </c>
      <c r="BB3" s="142">
        <f t="shared" si="0"/>
        <v>0</v>
      </c>
      <c r="BC3" s="142">
        <f t="shared" si="0"/>
        <v>0</v>
      </c>
      <c r="BD3" s="142">
        <f t="shared" si="0"/>
        <v>0</v>
      </c>
      <c r="BE3" s="142">
        <f t="shared" si="0"/>
        <v>0</v>
      </c>
      <c r="BF3" s="142">
        <f t="shared" si="0"/>
        <v>0</v>
      </c>
      <c r="BG3" s="142">
        <f t="shared" si="0"/>
        <v>0</v>
      </c>
      <c r="BH3" s="142">
        <f t="shared" si="0"/>
        <v>0</v>
      </c>
      <c r="BI3" s="142">
        <f t="shared" si="0"/>
        <v>0</v>
      </c>
      <c r="BJ3" s="142">
        <f t="shared" si="0"/>
        <v>0</v>
      </c>
      <c r="BK3" s="142">
        <f t="shared" si="0"/>
        <v>0</v>
      </c>
      <c r="BL3" s="142">
        <f t="shared" si="0"/>
        <v>0</v>
      </c>
      <c r="BM3" s="142">
        <f t="shared" si="0"/>
        <v>0</v>
      </c>
      <c r="BN3" s="142">
        <f t="shared" si="0"/>
        <v>0</v>
      </c>
      <c r="BO3" s="142">
        <f t="shared" si="0"/>
        <v>0</v>
      </c>
      <c r="BP3" s="142">
        <f t="shared" si="0"/>
        <v>0</v>
      </c>
      <c r="BQ3" s="142">
        <f t="shared" si="0"/>
        <v>0</v>
      </c>
      <c r="BR3" s="142">
        <f t="shared" ref="BR3:DI3" si="1">BR120</f>
        <v>0</v>
      </c>
      <c r="BS3" s="142">
        <f t="shared" si="1"/>
        <v>0</v>
      </c>
      <c r="BT3" s="142">
        <f t="shared" si="1"/>
        <v>0</v>
      </c>
      <c r="BU3" s="142">
        <f t="shared" si="1"/>
        <v>0</v>
      </c>
      <c r="BV3" s="142">
        <f t="shared" si="1"/>
        <v>0</v>
      </c>
      <c r="BW3" s="142">
        <f t="shared" si="1"/>
        <v>0</v>
      </c>
      <c r="BX3" s="142">
        <f t="shared" si="1"/>
        <v>0</v>
      </c>
      <c r="BY3" s="142">
        <f t="shared" si="1"/>
        <v>0</v>
      </c>
      <c r="BZ3" s="142">
        <f t="shared" si="1"/>
        <v>0</v>
      </c>
      <c r="CA3" s="142">
        <f t="shared" si="1"/>
        <v>0</v>
      </c>
      <c r="CB3" s="142">
        <f t="shared" si="1"/>
        <v>0</v>
      </c>
      <c r="CC3" s="142">
        <f t="shared" si="1"/>
        <v>0</v>
      </c>
      <c r="CD3" s="142">
        <f t="shared" si="1"/>
        <v>0</v>
      </c>
      <c r="CE3" s="142">
        <f t="shared" si="1"/>
        <v>0</v>
      </c>
      <c r="CF3" s="142">
        <f t="shared" si="1"/>
        <v>0</v>
      </c>
      <c r="CG3" s="142">
        <f t="shared" si="1"/>
        <v>0</v>
      </c>
      <c r="CH3" s="142">
        <f t="shared" si="1"/>
        <v>0</v>
      </c>
      <c r="CI3" s="142">
        <f t="shared" si="1"/>
        <v>0</v>
      </c>
      <c r="CJ3" s="142">
        <f t="shared" si="1"/>
        <v>0</v>
      </c>
      <c r="CK3" s="142">
        <f t="shared" si="1"/>
        <v>0</v>
      </c>
      <c r="CL3" s="142">
        <f t="shared" si="1"/>
        <v>0</v>
      </c>
      <c r="CM3" s="142">
        <f t="shared" si="1"/>
        <v>0</v>
      </c>
      <c r="CN3" s="142">
        <f t="shared" si="1"/>
        <v>0</v>
      </c>
      <c r="CO3" s="142">
        <f t="shared" si="1"/>
        <v>0</v>
      </c>
      <c r="CP3" s="142">
        <f t="shared" si="1"/>
        <v>0</v>
      </c>
      <c r="CQ3" s="142">
        <f t="shared" si="1"/>
        <v>0</v>
      </c>
      <c r="CR3" s="142">
        <f t="shared" si="1"/>
        <v>0</v>
      </c>
      <c r="CS3" s="142">
        <f t="shared" si="1"/>
        <v>0</v>
      </c>
      <c r="CT3" s="142">
        <f t="shared" si="1"/>
        <v>0</v>
      </c>
      <c r="CU3" s="142">
        <f t="shared" si="1"/>
        <v>0</v>
      </c>
      <c r="CV3" s="142">
        <f t="shared" si="1"/>
        <v>0</v>
      </c>
      <c r="CW3" s="142">
        <f t="shared" si="1"/>
        <v>0</v>
      </c>
      <c r="CX3" s="142">
        <f t="shared" si="1"/>
        <v>0</v>
      </c>
      <c r="CY3" s="142">
        <f t="shared" si="1"/>
        <v>0</v>
      </c>
      <c r="CZ3" s="142">
        <f t="shared" si="1"/>
        <v>0</v>
      </c>
      <c r="DA3" s="142">
        <f t="shared" si="1"/>
        <v>0</v>
      </c>
      <c r="DB3" s="142">
        <f t="shared" si="1"/>
        <v>0</v>
      </c>
      <c r="DC3" s="142">
        <f t="shared" si="1"/>
        <v>0</v>
      </c>
      <c r="DD3" s="142">
        <f t="shared" si="1"/>
        <v>0</v>
      </c>
      <c r="DE3" s="142">
        <f t="shared" si="1"/>
        <v>0</v>
      </c>
      <c r="DF3" s="142">
        <f t="shared" si="1"/>
        <v>0</v>
      </c>
      <c r="DG3" s="142">
        <f t="shared" si="1"/>
        <v>0</v>
      </c>
      <c r="DH3" s="142">
        <f t="shared" si="1"/>
        <v>0</v>
      </c>
      <c r="DI3" s="142">
        <f t="shared" si="1"/>
        <v>0</v>
      </c>
      <c r="DL3" s="143" t="s">
        <v>2930</v>
      </c>
      <c r="DM3" s="144">
        <v>5</v>
      </c>
    </row>
    <row r="4" spans="1:117">
      <c r="D4" t="s">
        <v>2930</v>
      </c>
      <c r="E4" s="142">
        <f t="shared" ref="E4:BP4" si="2">E137</f>
        <v>0</v>
      </c>
      <c r="F4" s="142">
        <f t="shared" si="2"/>
        <v>0</v>
      </c>
      <c r="G4" s="142">
        <f t="shared" si="2"/>
        <v>0</v>
      </c>
      <c r="H4" s="142">
        <f t="shared" si="2"/>
        <v>0</v>
      </c>
      <c r="I4" s="142">
        <f t="shared" si="2"/>
        <v>0</v>
      </c>
      <c r="J4" s="142">
        <f t="shared" si="2"/>
        <v>0</v>
      </c>
      <c r="K4" s="142">
        <f t="shared" si="2"/>
        <v>0</v>
      </c>
      <c r="L4" s="142">
        <f t="shared" si="2"/>
        <v>0</v>
      </c>
      <c r="M4" s="142">
        <f t="shared" si="2"/>
        <v>0</v>
      </c>
      <c r="N4" s="142">
        <f t="shared" si="2"/>
        <v>0</v>
      </c>
      <c r="O4" s="142">
        <f t="shared" si="2"/>
        <v>0</v>
      </c>
      <c r="P4" s="142">
        <f t="shared" si="2"/>
        <v>0</v>
      </c>
      <c r="Q4" s="142">
        <f t="shared" si="2"/>
        <v>0</v>
      </c>
      <c r="R4" s="142">
        <f t="shared" si="2"/>
        <v>0</v>
      </c>
      <c r="S4" s="142">
        <f t="shared" si="2"/>
        <v>0</v>
      </c>
      <c r="T4" s="142">
        <f t="shared" si="2"/>
        <v>0</v>
      </c>
      <c r="U4" s="142">
        <f t="shared" si="2"/>
        <v>0</v>
      </c>
      <c r="V4" s="142">
        <f t="shared" si="2"/>
        <v>0</v>
      </c>
      <c r="W4" s="142">
        <f t="shared" si="2"/>
        <v>0</v>
      </c>
      <c r="X4" s="142">
        <f t="shared" si="2"/>
        <v>0</v>
      </c>
      <c r="Y4" s="142">
        <f t="shared" si="2"/>
        <v>0</v>
      </c>
      <c r="Z4" s="142">
        <f t="shared" si="2"/>
        <v>0</v>
      </c>
      <c r="AA4" s="142">
        <f t="shared" si="2"/>
        <v>0</v>
      </c>
      <c r="AB4" s="142">
        <f t="shared" si="2"/>
        <v>0</v>
      </c>
      <c r="AC4" s="142">
        <f t="shared" si="2"/>
        <v>0</v>
      </c>
      <c r="AD4" s="142">
        <f t="shared" si="2"/>
        <v>0</v>
      </c>
      <c r="AE4" s="142">
        <f t="shared" si="2"/>
        <v>0</v>
      </c>
      <c r="AF4" s="142">
        <f t="shared" si="2"/>
        <v>0</v>
      </c>
      <c r="AG4" s="142">
        <f t="shared" si="2"/>
        <v>0</v>
      </c>
      <c r="AH4" s="142">
        <f t="shared" si="2"/>
        <v>0</v>
      </c>
      <c r="AI4" s="142">
        <f t="shared" si="2"/>
        <v>0</v>
      </c>
      <c r="AJ4" s="142">
        <f t="shared" si="2"/>
        <v>0</v>
      </c>
      <c r="AK4" s="142">
        <f t="shared" si="2"/>
        <v>0</v>
      </c>
      <c r="AL4" s="142">
        <f t="shared" si="2"/>
        <v>0</v>
      </c>
      <c r="AM4" s="142">
        <f t="shared" si="2"/>
        <v>0</v>
      </c>
      <c r="AN4" s="142">
        <f t="shared" si="2"/>
        <v>0</v>
      </c>
      <c r="AO4" s="142">
        <f t="shared" si="2"/>
        <v>0</v>
      </c>
      <c r="AP4" s="142">
        <f t="shared" si="2"/>
        <v>0</v>
      </c>
      <c r="AQ4" s="142">
        <f t="shared" si="2"/>
        <v>0</v>
      </c>
      <c r="AR4" s="142">
        <f t="shared" si="2"/>
        <v>0</v>
      </c>
      <c r="AS4" s="142">
        <f t="shared" si="2"/>
        <v>0</v>
      </c>
      <c r="AT4" s="142">
        <f t="shared" si="2"/>
        <v>0</v>
      </c>
      <c r="AU4" s="142">
        <f t="shared" si="2"/>
        <v>0</v>
      </c>
      <c r="AV4" s="142">
        <f t="shared" si="2"/>
        <v>0</v>
      </c>
      <c r="AW4" s="142">
        <f t="shared" si="2"/>
        <v>0</v>
      </c>
      <c r="AX4" s="142">
        <f t="shared" si="2"/>
        <v>0</v>
      </c>
      <c r="AY4" s="142">
        <f t="shared" si="2"/>
        <v>0</v>
      </c>
      <c r="AZ4" s="142">
        <f t="shared" si="2"/>
        <v>0</v>
      </c>
      <c r="BA4" s="142">
        <f t="shared" si="2"/>
        <v>0</v>
      </c>
      <c r="BB4" s="142">
        <f t="shared" si="2"/>
        <v>0</v>
      </c>
      <c r="BC4" s="142">
        <f t="shared" si="2"/>
        <v>0</v>
      </c>
      <c r="BD4" s="142">
        <f t="shared" si="2"/>
        <v>0</v>
      </c>
      <c r="BE4" s="142">
        <f t="shared" si="2"/>
        <v>0</v>
      </c>
      <c r="BF4" s="142">
        <f t="shared" si="2"/>
        <v>0</v>
      </c>
      <c r="BG4" s="142">
        <f t="shared" si="2"/>
        <v>0</v>
      </c>
      <c r="BH4" s="142">
        <f t="shared" si="2"/>
        <v>0</v>
      </c>
      <c r="BI4" s="142">
        <f t="shared" si="2"/>
        <v>0</v>
      </c>
      <c r="BJ4" s="142">
        <f t="shared" si="2"/>
        <v>0</v>
      </c>
      <c r="BK4" s="142">
        <f t="shared" si="2"/>
        <v>0</v>
      </c>
      <c r="BL4" s="142">
        <f t="shared" si="2"/>
        <v>0</v>
      </c>
      <c r="BM4" s="142">
        <f t="shared" si="2"/>
        <v>0</v>
      </c>
      <c r="BN4" s="142">
        <f t="shared" si="2"/>
        <v>0</v>
      </c>
      <c r="BO4" s="142">
        <f t="shared" si="2"/>
        <v>0</v>
      </c>
      <c r="BP4" s="142">
        <f t="shared" si="2"/>
        <v>0</v>
      </c>
      <c r="BQ4" s="142">
        <f t="shared" ref="BQ4:DI4" si="3">BQ137</f>
        <v>0</v>
      </c>
      <c r="BR4" s="142">
        <f t="shared" si="3"/>
        <v>0</v>
      </c>
      <c r="BS4" s="142">
        <f t="shared" si="3"/>
        <v>0</v>
      </c>
      <c r="BT4" s="142">
        <f t="shared" si="3"/>
        <v>0</v>
      </c>
      <c r="BU4" s="142">
        <f t="shared" si="3"/>
        <v>0</v>
      </c>
      <c r="BV4" s="142">
        <f t="shared" si="3"/>
        <v>0</v>
      </c>
      <c r="BW4" s="142">
        <f t="shared" si="3"/>
        <v>0</v>
      </c>
      <c r="BX4" s="142">
        <f t="shared" si="3"/>
        <v>0</v>
      </c>
      <c r="BY4" s="142">
        <f t="shared" si="3"/>
        <v>0</v>
      </c>
      <c r="BZ4" s="142">
        <f t="shared" si="3"/>
        <v>0</v>
      </c>
      <c r="CA4" s="142">
        <f t="shared" si="3"/>
        <v>0</v>
      </c>
      <c r="CB4" s="142">
        <f t="shared" si="3"/>
        <v>0</v>
      </c>
      <c r="CC4" s="142">
        <f t="shared" si="3"/>
        <v>0</v>
      </c>
      <c r="CD4" s="142">
        <f t="shared" si="3"/>
        <v>0</v>
      </c>
      <c r="CE4" s="142">
        <f t="shared" si="3"/>
        <v>0</v>
      </c>
      <c r="CF4" s="142">
        <f t="shared" si="3"/>
        <v>0</v>
      </c>
      <c r="CG4" s="142">
        <f t="shared" si="3"/>
        <v>0</v>
      </c>
      <c r="CH4" s="142">
        <f t="shared" si="3"/>
        <v>0</v>
      </c>
      <c r="CI4" s="142">
        <f t="shared" si="3"/>
        <v>0</v>
      </c>
      <c r="CJ4" s="142">
        <f t="shared" si="3"/>
        <v>0</v>
      </c>
      <c r="CK4" s="142">
        <f t="shared" si="3"/>
        <v>0</v>
      </c>
      <c r="CL4" s="142">
        <f t="shared" si="3"/>
        <v>0</v>
      </c>
      <c r="CM4" s="142">
        <f t="shared" si="3"/>
        <v>0</v>
      </c>
      <c r="CN4" s="142">
        <f t="shared" si="3"/>
        <v>0</v>
      </c>
      <c r="CO4" s="142">
        <f t="shared" si="3"/>
        <v>0</v>
      </c>
      <c r="CP4" s="142">
        <f t="shared" si="3"/>
        <v>0</v>
      </c>
      <c r="CQ4" s="142">
        <f t="shared" si="3"/>
        <v>0</v>
      </c>
      <c r="CR4" s="142">
        <f t="shared" si="3"/>
        <v>0</v>
      </c>
      <c r="CS4" s="142">
        <f t="shared" si="3"/>
        <v>0</v>
      </c>
      <c r="CT4" s="142">
        <f t="shared" si="3"/>
        <v>0</v>
      </c>
      <c r="CU4" s="142">
        <f t="shared" si="3"/>
        <v>0</v>
      </c>
      <c r="CV4" s="142">
        <f t="shared" si="3"/>
        <v>0</v>
      </c>
      <c r="CW4" s="142">
        <f t="shared" si="3"/>
        <v>0</v>
      </c>
      <c r="CX4" s="142">
        <f t="shared" si="3"/>
        <v>0</v>
      </c>
      <c r="CY4" s="142">
        <f t="shared" si="3"/>
        <v>0</v>
      </c>
      <c r="CZ4" s="142">
        <f t="shared" si="3"/>
        <v>0</v>
      </c>
      <c r="DA4" s="142">
        <f t="shared" si="3"/>
        <v>0</v>
      </c>
      <c r="DB4" s="142">
        <f t="shared" si="3"/>
        <v>0</v>
      </c>
      <c r="DC4" s="142">
        <f t="shared" si="3"/>
        <v>0</v>
      </c>
      <c r="DD4" s="142">
        <f t="shared" si="3"/>
        <v>0</v>
      </c>
      <c r="DE4" s="142">
        <f t="shared" si="3"/>
        <v>0</v>
      </c>
      <c r="DF4" s="142">
        <f t="shared" si="3"/>
        <v>0</v>
      </c>
      <c r="DG4" s="142">
        <f t="shared" si="3"/>
        <v>0</v>
      </c>
      <c r="DH4" s="142">
        <f t="shared" si="3"/>
        <v>0</v>
      </c>
      <c r="DI4" s="142">
        <f t="shared" si="3"/>
        <v>0</v>
      </c>
      <c r="DL4" s="143" t="s">
        <v>2931</v>
      </c>
      <c r="DM4" s="144">
        <v>8</v>
      </c>
    </row>
    <row r="5" spans="1:117">
      <c r="D5" t="s">
        <v>2931</v>
      </c>
      <c r="E5" s="142">
        <f t="shared" ref="E5:BP5" si="4">E146</f>
        <v>0</v>
      </c>
      <c r="F5" s="142">
        <f t="shared" si="4"/>
        <v>0</v>
      </c>
      <c r="G5" s="142">
        <f t="shared" si="4"/>
        <v>0</v>
      </c>
      <c r="H5" s="142">
        <f t="shared" si="4"/>
        <v>0</v>
      </c>
      <c r="I5" s="142">
        <f t="shared" si="4"/>
        <v>0</v>
      </c>
      <c r="J5" s="142">
        <f t="shared" si="4"/>
        <v>0</v>
      </c>
      <c r="K5" s="142">
        <f t="shared" si="4"/>
        <v>0</v>
      </c>
      <c r="L5" s="142">
        <f t="shared" si="4"/>
        <v>0</v>
      </c>
      <c r="M5" s="142">
        <f t="shared" si="4"/>
        <v>0</v>
      </c>
      <c r="N5" s="142">
        <f t="shared" si="4"/>
        <v>0</v>
      </c>
      <c r="O5" s="142">
        <f t="shared" si="4"/>
        <v>0</v>
      </c>
      <c r="P5" s="142">
        <f t="shared" si="4"/>
        <v>0</v>
      </c>
      <c r="Q5" s="142">
        <f t="shared" si="4"/>
        <v>0</v>
      </c>
      <c r="R5" s="142">
        <f t="shared" si="4"/>
        <v>0</v>
      </c>
      <c r="S5" s="142">
        <f t="shared" si="4"/>
        <v>0</v>
      </c>
      <c r="T5" s="142">
        <f t="shared" si="4"/>
        <v>0</v>
      </c>
      <c r="U5" s="142">
        <f t="shared" si="4"/>
        <v>0</v>
      </c>
      <c r="V5" s="142">
        <f t="shared" si="4"/>
        <v>0</v>
      </c>
      <c r="W5" s="142">
        <f t="shared" si="4"/>
        <v>0</v>
      </c>
      <c r="X5" s="142">
        <f t="shared" si="4"/>
        <v>0</v>
      </c>
      <c r="Y5" s="142">
        <f t="shared" si="4"/>
        <v>0</v>
      </c>
      <c r="Z5" s="142">
        <f t="shared" si="4"/>
        <v>0</v>
      </c>
      <c r="AA5" s="142">
        <f t="shared" si="4"/>
        <v>0</v>
      </c>
      <c r="AB5" s="142">
        <f t="shared" si="4"/>
        <v>0</v>
      </c>
      <c r="AC5" s="142">
        <f t="shared" si="4"/>
        <v>0</v>
      </c>
      <c r="AD5" s="142">
        <f t="shared" si="4"/>
        <v>0</v>
      </c>
      <c r="AE5" s="142">
        <f t="shared" si="4"/>
        <v>0</v>
      </c>
      <c r="AF5" s="142">
        <f t="shared" si="4"/>
        <v>0</v>
      </c>
      <c r="AG5" s="142">
        <f t="shared" si="4"/>
        <v>0</v>
      </c>
      <c r="AH5" s="142">
        <f t="shared" si="4"/>
        <v>0</v>
      </c>
      <c r="AI5" s="142">
        <f t="shared" si="4"/>
        <v>0</v>
      </c>
      <c r="AJ5" s="142">
        <f t="shared" si="4"/>
        <v>0</v>
      </c>
      <c r="AK5" s="142">
        <f t="shared" si="4"/>
        <v>0</v>
      </c>
      <c r="AL5" s="142">
        <f t="shared" si="4"/>
        <v>0</v>
      </c>
      <c r="AM5" s="142">
        <f t="shared" si="4"/>
        <v>0</v>
      </c>
      <c r="AN5" s="142">
        <f t="shared" si="4"/>
        <v>0</v>
      </c>
      <c r="AO5" s="142">
        <f t="shared" si="4"/>
        <v>0</v>
      </c>
      <c r="AP5" s="142">
        <f t="shared" si="4"/>
        <v>0</v>
      </c>
      <c r="AQ5" s="142">
        <f t="shared" si="4"/>
        <v>0</v>
      </c>
      <c r="AR5" s="142">
        <f t="shared" si="4"/>
        <v>0</v>
      </c>
      <c r="AS5" s="142">
        <f t="shared" si="4"/>
        <v>0</v>
      </c>
      <c r="AT5" s="142">
        <f t="shared" si="4"/>
        <v>0</v>
      </c>
      <c r="AU5" s="142">
        <f t="shared" si="4"/>
        <v>0</v>
      </c>
      <c r="AV5" s="142">
        <f t="shared" si="4"/>
        <v>0</v>
      </c>
      <c r="AW5" s="142">
        <f t="shared" si="4"/>
        <v>0</v>
      </c>
      <c r="AX5" s="142">
        <f t="shared" si="4"/>
        <v>0</v>
      </c>
      <c r="AY5" s="142">
        <f t="shared" si="4"/>
        <v>0</v>
      </c>
      <c r="AZ5" s="142">
        <f t="shared" si="4"/>
        <v>0</v>
      </c>
      <c r="BA5" s="142">
        <f t="shared" si="4"/>
        <v>0</v>
      </c>
      <c r="BB5" s="142">
        <f t="shared" si="4"/>
        <v>0</v>
      </c>
      <c r="BC5" s="142">
        <f t="shared" si="4"/>
        <v>0</v>
      </c>
      <c r="BD5" s="142">
        <f t="shared" si="4"/>
        <v>0</v>
      </c>
      <c r="BE5" s="142">
        <f t="shared" si="4"/>
        <v>0</v>
      </c>
      <c r="BF5" s="142">
        <f t="shared" si="4"/>
        <v>0</v>
      </c>
      <c r="BG5" s="142">
        <f t="shared" si="4"/>
        <v>0</v>
      </c>
      <c r="BH5" s="142">
        <f t="shared" si="4"/>
        <v>0</v>
      </c>
      <c r="BI5" s="142">
        <f t="shared" si="4"/>
        <v>0</v>
      </c>
      <c r="BJ5" s="142">
        <f t="shared" si="4"/>
        <v>0</v>
      </c>
      <c r="BK5" s="142">
        <f t="shared" si="4"/>
        <v>0</v>
      </c>
      <c r="BL5" s="142">
        <f t="shared" si="4"/>
        <v>0</v>
      </c>
      <c r="BM5" s="142">
        <f t="shared" si="4"/>
        <v>0</v>
      </c>
      <c r="BN5" s="142">
        <f t="shared" si="4"/>
        <v>0</v>
      </c>
      <c r="BO5" s="142">
        <f t="shared" si="4"/>
        <v>0</v>
      </c>
      <c r="BP5" s="142">
        <f t="shared" si="4"/>
        <v>0</v>
      </c>
      <c r="BQ5" s="142">
        <f t="shared" ref="BQ5:DI5" si="5">BQ146</f>
        <v>0</v>
      </c>
      <c r="BR5" s="142">
        <f t="shared" si="5"/>
        <v>0</v>
      </c>
      <c r="BS5" s="142">
        <f t="shared" si="5"/>
        <v>0</v>
      </c>
      <c r="BT5" s="142">
        <f t="shared" si="5"/>
        <v>0</v>
      </c>
      <c r="BU5" s="142">
        <f t="shared" si="5"/>
        <v>0</v>
      </c>
      <c r="BV5" s="142">
        <f t="shared" si="5"/>
        <v>0</v>
      </c>
      <c r="BW5" s="142">
        <f t="shared" si="5"/>
        <v>0</v>
      </c>
      <c r="BX5" s="142">
        <f t="shared" si="5"/>
        <v>0</v>
      </c>
      <c r="BY5" s="142">
        <f t="shared" si="5"/>
        <v>0</v>
      </c>
      <c r="BZ5" s="142">
        <f t="shared" si="5"/>
        <v>0</v>
      </c>
      <c r="CA5" s="142">
        <f t="shared" si="5"/>
        <v>0</v>
      </c>
      <c r="CB5" s="142">
        <f t="shared" si="5"/>
        <v>0</v>
      </c>
      <c r="CC5" s="142">
        <f t="shared" si="5"/>
        <v>0</v>
      </c>
      <c r="CD5" s="142">
        <f t="shared" si="5"/>
        <v>0</v>
      </c>
      <c r="CE5" s="142">
        <f t="shared" si="5"/>
        <v>0</v>
      </c>
      <c r="CF5" s="142">
        <f t="shared" si="5"/>
        <v>0</v>
      </c>
      <c r="CG5" s="142">
        <f t="shared" si="5"/>
        <v>0</v>
      </c>
      <c r="CH5" s="142">
        <f t="shared" si="5"/>
        <v>0</v>
      </c>
      <c r="CI5" s="142">
        <f t="shared" si="5"/>
        <v>0</v>
      </c>
      <c r="CJ5" s="142">
        <f t="shared" si="5"/>
        <v>0</v>
      </c>
      <c r="CK5" s="142">
        <f t="shared" si="5"/>
        <v>0</v>
      </c>
      <c r="CL5" s="142">
        <f t="shared" si="5"/>
        <v>0</v>
      </c>
      <c r="CM5" s="142">
        <f t="shared" si="5"/>
        <v>0</v>
      </c>
      <c r="CN5" s="142">
        <f t="shared" si="5"/>
        <v>0</v>
      </c>
      <c r="CO5" s="142">
        <f t="shared" si="5"/>
        <v>0</v>
      </c>
      <c r="CP5" s="142">
        <f t="shared" si="5"/>
        <v>0</v>
      </c>
      <c r="CQ5" s="142">
        <f t="shared" si="5"/>
        <v>0</v>
      </c>
      <c r="CR5" s="142">
        <f t="shared" si="5"/>
        <v>0</v>
      </c>
      <c r="CS5" s="142">
        <f t="shared" si="5"/>
        <v>0</v>
      </c>
      <c r="CT5" s="142">
        <f t="shared" si="5"/>
        <v>0</v>
      </c>
      <c r="CU5" s="142">
        <f t="shared" si="5"/>
        <v>0</v>
      </c>
      <c r="CV5" s="142">
        <f t="shared" si="5"/>
        <v>0</v>
      </c>
      <c r="CW5" s="142">
        <f t="shared" si="5"/>
        <v>0</v>
      </c>
      <c r="CX5" s="142">
        <f t="shared" si="5"/>
        <v>0</v>
      </c>
      <c r="CY5" s="142">
        <f t="shared" si="5"/>
        <v>0</v>
      </c>
      <c r="CZ5" s="142">
        <f t="shared" si="5"/>
        <v>0</v>
      </c>
      <c r="DA5" s="142">
        <f t="shared" si="5"/>
        <v>0</v>
      </c>
      <c r="DB5" s="142">
        <f t="shared" si="5"/>
        <v>0</v>
      </c>
      <c r="DC5" s="142">
        <f t="shared" si="5"/>
        <v>0</v>
      </c>
      <c r="DD5" s="142">
        <f t="shared" si="5"/>
        <v>0</v>
      </c>
      <c r="DE5" s="142">
        <f t="shared" si="5"/>
        <v>0</v>
      </c>
      <c r="DF5" s="142">
        <f t="shared" si="5"/>
        <v>0</v>
      </c>
      <c r="DG5" s="142">
        <f t="shared" si="5"/>
        <v>0</v>
      </c>
      <c r="DH5" s="142">
        <f t="shared" si="5"/>
        <v>0</v>
      </c>
      <c r="DI5" s="142">
        <f t="shared" si="5"/>
        <v>0</v>
      </c>
      <c r="DL5" s="143" t="s">
        <v>2932</v>
      </c>
      <c r="DM5" s="144">
        <v>10</v>
      </c>
    </row>
    <row r="6" spans="1:117">
      <c r="D6" t="s">
        <v>2932</v>
      </c>
      <c r="E6" s="142">
        <f t="shared" ref="E6:BP6" si="6">E151</f>
        <v>0</v>
      </c>
      <c r="F6" s="142">
        <f t="shared" si="6"/>
        <v>0</v>
      </c>
      <c r="G6" s="142">
        <f t="shared" si="6"/>
        <v>0</v>
      </c>
      <c r="H6" s="142">
        <f t="shared" si="6"/>
        <v>0</v>
      </c>
      <c r="I6" s="142">
        <f t="shared" si="6"/>
        <v>0</v>
      </c>
      <c r="J6" s="142">
        <f t="shared" si="6"/>
        <v>0</v>
      </c>
      <c r="K6" s="142">
        <f t="shared" si="6"/>
        <v>0</v>
      </c>
      <c r="L6" s="142">
        <f t="shared" si="6"/>
        <v>0</v>
      </c>
      <c r="M6" s="142">
        <f t="shared" si="6"/>
        <v>0</v>
      </c>
      <c r="N6" s="142">
        <f t="shared" si="6"/>
        <v>0</v>
      </c>
      <c r="O6" s="142">
        <f t="shared" si="6"/>
        <v>0</v>
      </c>
      <c r="P6" s="142">
        <f t="shared" si="6"/>
        <v>0</v>
      </c>
      <c r="Q6" s="142">
        <f t="shared" si="6"/>
        <v>0</v>
      </c>
      <c r="R6" s="142">
        <f t="shared" si="6"/>
        <v>0</v>
      </c>
      <c r="S6" s="142">
        <f t="shared" si="6"/>
        <v>0</v>
      </c>
      <c r="T6" s="142">
        <f t="shared" si="6"/>
        <v>0</v>
      </c>
      <c r="U6" s="142">
        <f t="shared" si="6"/>
        <v>0</v>
      </c>
      <c r="V6" s="142">
        <f t="shared" si="6"/>
        <v>0</v>
      </c>
      <c r="W6" s="142">
        <f t="shared" si="6"/>
        <v>0</v>
      </c>
      <c r="X6" s="142">
        <f t="shared" si="6"/>
        <v>0</v>
      </c>
      <c r="Y6" s="142">
        <f t="shared" si="6"/>
        <v>0</v>
      </c>
      <c r="Z6" s="142">
        <f t="shared" si="6"/>
        <v>0</v>
      </c>
      <c r="AA6" s="142">
        <f t="shared" si="6"/>
        <v>0</v>
      </c>
      <c r="AB6" s="142">
        <f t="shared" si="6"/>
        <v>0</v>
      </c>
      <c r="AC6" s="142">
        <f t="shared" si="6"/>
        <v>0</v>
      </c>
      <c r="AD6" s="142">
        <f t="shared" si="6"/>
        <v>0</v>
      </c>
      <c r="AE6" s="142">
        <f t="shared" si="6"/>
        <v>0</v>
      </c>
      <c r="AF6" s="142">
        <f t="shared" si="6"/>
        <v>0</v>
      </c>
      <c r="AG6" s="142">
        <f t="shared" si="6"/>
        <v>0</v>
      </c>
      <c r="AH6" s="142">
        <f t="shared" si="6"/>
        <v>0</v>
      </c>
      <c r="AI6" s="142">
        <f t="shared" si="6"/>
        <v>0</v>
      </c>
      <c r="AJ6" s="142">
        <f t="shared" si="6"/>
        <v>0</v>
      </c>
      <c r="AK6" s="142">
        <f t="shared" si="6"/>
        <v>0</v>
      </c>
      <c r="AL6" s="142">
        <f t="shared" si="6"/>
        <v>0</v>
      </c>
      <c r="AM6" s="142">
        <f t="shared" si="6"/>
        <v>0</v>
      </c>
      <c r="AN6" s="142">
        <f t="shared" si="6"/>
        <v>0</v>
      </c>
      <c r="AO6" s="142">
        <f t="shared" si="6"/>
        <v>0</v>
      </c>
      <c r="AP6" s="142">
        <f t="shared" si="6"/>
        <v>0</v>
      </c>
      <c r="AQ6" s="142">
        <f t="shared" si="6"/>
        <v>0</v>
      </c>
      <c r="AR6" s="142">
        <f t="shared" si="6"/>
        <v>0</v>
      </c>
      <c r="AS6" s="142">
        <f t="shared" si="6"/>
        <v>0</v>
      </c>
      <c r="AT6" s="142">
        <f t="shared" si="6"/>
        <v>0</v>
      </c>
      <c r="AU6" s="142">
        <f t="shared" si="6"/>
        <v>0</v>
      </c>
      <c r="AV6" s="142">
        <f t="shared" si="6"/>
        <v>0</v>
      </c>
      <c r="AW6" s="142">
        <f t="shared" si="6"/>
        <v>0</v>
      </c>
      <c r="AX6" s="142">
        <f t="shared" si="6"/>
        <v>0</v>
      </c>
      <c r="AY6" s="142">
        <f t="shared" si="6"/>
        <v>0</v>
      </c>
      <c r="AZ6" s="142">
        <f t="shared" si="6"/>
        <v>0</v>
      </c>
      <c r="BA6" s="142">
        <f t="shared" si="6"/>
        <v>0</v>
      </c>
      <c r="BB6" s="142">
        <f t="shared" si="6"/>
        <v>0</v>
      </c>
      <c r="BC6" s="142">
        <f t="shared" si="6"/>
        <v>0</v>
      </c>
      <c r="BD6" s="142">
        <f t="shared" si="6"/>
        <v>0</v>
      </c>
      <c r="BE6" s="142">
        <f t="shared" si="6"/>
        <v>0</v>
      </c>
      <c r="BF6" s="142">
        <f t="shared" si="6"/>
        <v>0</v>
      </c>
      <c r="BG6" s="142">
        <f t="shared" si="6"/>
        <v>0</v>
      </c>
      <c r="BH6" s="142">
        <f t="shared" si="6"/>
        <v>0</v>
      </c>
      <c r="BI6" s="142">
        <f t="shared" si="6"/>
        <v>0</v>
      </c>
      <c r="BJ6" s="142">
        <f t="shared" si="6"/>
        <v>0</v>
      </c>
      <c r="BK6" s="142">
        <f t="shared" si="6"/>
        <v>0</v>
      </c>
      <c r="BL6" s="142">
        <f t="shared" si="6"/>
        <v>0</v>
      </c>
      <c r="BM6" s="142">
        <f t="shared" si="6"/>
        <v>0</v>
      </c>
      <c r="BN6" s="142">
        <f t="shared" si="6"/>
        <v>0</v>
      </c>
      <c r="BO6" s="142">
        <f t="shared" si="6"/>
        <v>0</v>
      </c>
      <c r="BP6" s="142">
        <f t="shared" si="6"/>
        <v>0</v>
      </c>
      <c r="BQ6" s="142">
        <f t="shared" ref="BQ6:DI6" si="7">BQ151</f>
        <v>0</v>
      </c>
      <c r="BR6" s="142">
        <f t="shared" si="7"/>
        <v>0</v>
      </c>
      <c r="BS6" s="142">
        <f t="shared" si="7"/>
        <v>0</v>
      </c>
      <c r="BT6" s="142">
        <f t="shared" si="7"/>
        <v>0</v>
      </c>
      <c r="BU6" s="142">
        <f t="shared" si="7"/>
        <v>0</v>
      </c>
      <c r="BV6" s="142">
        <f t="shared" si="7"/>
        <v>0</v>
      </c>
      <c r="BW6" s="142">
        <f t="shared" si="7"/>
        <v>0</v>
      </c>
      <c r="BX6" s="142">
        <f t="shared" si="7"/>
        <v>0</v>
      </c>
      <c r="BY6" s="142">
        <f t="shared" si="7"/>
        <v>0</v>
      </c>
      <c r="BZ6" s="142">
        <f t="shared" si="7"/>
        <v>0</v>
      </c>
      <c r="CA6" s="142">
        <f t="shared" si="7"/>
        <v>0</v>
      </c>
      <c r="CB6" s="142">
        <f t="shared" si="7"/>
        <v>0</v>
      </c>
      <c r="CC6" s="142">
        <f t="shared" si="7"/>
        <v>0</v>
      </c>
      <c r="CD6" s="142">
        <f t="shared" si="7"/>
        <v>0</v>
      </c>
      <c r="CE6" s="142">
        <f t="shared" si="7"/>
        <v>0</v>
      </c>
      <c r="CF6" s="142">
        <f t="shared" si="7"/>
        <v>0</v>
      </c>
      <c r="CG6" s="142">
        <f t="shared" si="7"/>
        <v>0</v>
      </c>
      <c r="CH6" s="142">
        <f t="shared" si="7"/>
        <v>0</v>
      </c>
      <c r="CI6" s="142">
        <f t="shared" si="7"/>
        <v>0</v>
      </c>
      <c r="CJ6" s="142">
        <f t="shared" si="7"/>
        <v>0</v>
      </c>
      <c r="CK6" s="142">
        <f t="shared" si="7"/>
        <v>0</v>
      </c>
      <c r="CL6" s="142">
        <f t="shared" si="7"/>
        <v>0</v>
      </c>
      <c r="CM6" s="142">
        <f t="shared" si="7"/>
        <v>0</v>
      </c>
      <c r="CN6" s="142">
        <f t="shared" si="7"/>
        <v>0</v>
      </c>
      <c r="CO6" s="142">
        <f t="shared" si="7"/>
        <v>0</v>
      </c>
      <c r="CP6" s="142">
        <f t="shared" si="7"/>
        <v>0</v>
      </c>
      <c r="CQ6" s="142">
        <f t="shared" si="7"/>
        <v>0</v>
      </c>
      <c r="CR6" s="142">
        <f t="shared" si="7"/>
        <v>0</v>
      </c>
      <c r="CS6" s="142">
        <f t="shared" si="7"/>
        <v>0</v>
      </c>
      <c r="CT6" s="142">
        <f t="shared" si="7"/>
        <v>0</v>
      </c>
      <c r="CU6" s="142">
        <f t="shared" si="7"/>
        <v>0</v>
      </c>
      <c r="CV6" s="142">
        <f t="shared" si="7"/>
        <v>0</v>
      </c>
      <c r="CW6" s="142">
        <f t="shared" si="7"/>
        <v>0</v>
      </c>
      <c r="CX6" s="142">
        <f t="shared" si="7"/>
        <v>0</v>
      </c>
      <c r="CY6" s="142">
        <f t="shared" si="7"/>
        <v>0</v>
      </c>
      <c r="CZ6" s="142">
        <f t="shared" si="7"/>
        <v>0</v>
      </c>
      <c r="DA6" s="142">
        <f t="shared" si="7"/>
        <v>0</v>
      </c>
      <c r="DB6" s="142">
        <f t="shared" si="7"/>
        <v>0</v>
      </c>
      <c r="DC6" s="142">
        <f t="shared" si="7"/>
        <v>0</v>
      </c>
      <c r="DD6" s="142">
        <f t="shared" si="7"/>
        <v>0</v>
      </c>
      <c r="DE6" s="142">
        <f t="shared" si="7"/>
        <v>0</v>
      </c>
      <c r="DF6" s="142">
        <f t="shared" si="7"/>
        <v>0</v>
      </c>
      <c r="DG6" s="142">
        <f t="shared" si="7"/>
        <v>0</v>
      </c>
      <c r="DH6" s="142">
        <f t="shared" si="7"/>
        <v>0</v>
      </c>
      <c r="DI6" s="142">
        <f t="shared" si="7"/>
        <v>0</v>
      </c>
      <c r="DL6" s="143" t="s">
        <v>2933</v>
      </c>
      <c r="DM6" s="144">
        <v>15</v>
      </c>
    </row>
    <row r="7" spans="1:117" ht="15" thickBot="1">
      <c r="D7" s="125" t="s">
        <v>2933</v>
      </c>
      <c r="E7" s="142">
        <f>E154</f>
        <v>0</v>
      </c>
      <c r="F7" s="142">
        <f t="shared" ref="F7:BQ7" si="8">F154</f>
        <v>0</v>
      </c>
      <c r="G7" s="142">
        <f t="shared" si="8"/>
        <v>0</v>
      </c>
      <c r="H7" s="142">
        <f t="shared" si="8"/>
        <v>0</v>
      </c>
      <c r="I7" s="142">
        <f t="shared" si="8"/>
        <v>0</v>
      </c>
      <c r="J7" s="142">
        <f t="shared" si="8"/>
        <v>0</v>
      </c>
      <c r="K7" s="142">
        <f t="shared" si="8"/>
        <v>0</v>
      </c>
      <c r="L7" s="142">
        <f t="shared" si="8"/>
        <v>0</v>
      </c>
      <c r="M7" s="142">
        <f t="shared" si="8"/>
        <v>0</v>
      </c>
      <c r="N7" s="142">
        <f t="shared" si="8"/>
        <v>0</v>
      </c>
      <c r="O7" s="142">
        <f t="shared" si="8"/>
        <v>0</v>
      </c>
      <c r="P7" s="142">
        <f t="shared" si="8"/>
        <v>0</v>
      </c>
      <c r="Q7" s="142">
        <f t="shared" si="8"/>
        <v>0</v>
      </c>
      <c r="R7" s="142">
        <f t="shared" si="8"/>
        <v>0</v>
      </c>
      <c r="S7" s="142">
        <f t="shared" si="8"/>
        <v>0</v>
      </c>
      <c r="T7" s="142">
        <f t="shared" si="8"/>
        <v>0</v>
      </c>
      <c r="U7" s="142">
        <f t="shared" si="8"/>
        <v>0</v>
      </c>
      <c r="V7" s="142">
        <f t="shared" si="8"/>
        <v>0</v>
      </c>
      <c r="W7" s="142">
        <f t="shared" si="8"/>
        <v>0</v>
      </c>
      <c r="X7" s="142">
        <f t="shared" si="8"/>
        <v>0</v>
      </c>
      <c r="Y7" s="142">
        <f t="shared" si="8"/>
        <v>0</v>
      </c>
      <c r="Z7" s="142">
        <f t="shared" si="8"/>
        <v>0</v>
      </c>
      <c r="AA7" s="142">
        <f t="shared" si="8"/>
        <v>0</v>
      </c>
      <c r="AB7" s="142">
        <f t="shared" si="8"/>
        <v>0</v>
      </c>
      <c r="AC7" s="142">
        <f t="shared" si="8"/>
        <v>0</v>
      </c>
      <c r="AD7" s="142">
        <f t="shared" si="8"/>
        <v>0</v>
      </c>
      <c r="AE7" s="142">
        <f t="shared" si="8"/>
        <v>0</v>
      </c>
      <c r="AF7" s="142">
        <f t="shared" si="8"/>
        <v>0</v>
      </c>
      <c r="AG7" s="142">
        <f t="shared" si="8"/>
        <v>0</v>
      </c>
      <c r="AH7" s="142">
        <f t="shared" si="8"/>
        <v>0</v>
      </c>
      <c r="AI7" s="142">
        <f t="shared" si="8"/>
        <v>0</v>
      </c>
      <c r="AJ7" s="142">
        <f t="shared" si="8"/>
        <v>0</v>
      </c>
      <c r="AK7" s="142">
        <f t="shared" si="8"/>
        <v>0</v>
      </c>
      <c r="AL7" s="142">
        <f t="shared" si="8"/>
        <v>0</v>
      </c>
      <c r="AM7" s="142">
        <f t="shared" si="8"/>
        <v>0</v>
      </c>
      <c r="AN7" s="142">
        <f t="shared" si="8"/>
        <v>0</v>
      </c>
      <c r="AO7" s="142">
        <f t="shared" si="8"/>
        <v>0</v>
      </c>
      <c r="AP7" s="142">
        <f t="shared" si="8"/>
        <v>0</v>
      </c>
      <c r="AQ7" s="142">
        <f t="shared" si="8"/>
        <v>0</v>
      </c>
      <c r="AR7" s="142">
        <f t="shared" si="8"/>
        <v>0</v>
      </c>
      <c r="AS7" s="142">
        <f t="shared" si="8"/>
        <v>0</v>
      </c>
      <c r="AT7" s="142">
        <f t="shared" si="8"/>
        <v>0</v>
      </c>
      <c r="AU7" s="142">
        <f t="shared" si="8"/>
        <v>0</v>
      </c>
      <c r="AV7" s="142">
        <f t="shared" si="8"/>
        <v>0</v>
      </c>
      <c r="AW7" s="142">
        <f t="shared" si="8"/>
        <v>0</v>
      </c>
      <c r="AX7" s="142">
        <f t="shared" si="8"/>
        <v>0</v>
      </c>
      <c r="AY7" s="142">
        <f t="shared" si="8"/>
        <v>0</v>
      </c>
      <c r="AZ7" s="142">
        <f t="shared" si="8"/>
        <v>0</v>
      </c>
      <c r="BA7" s="142">
        <f t="shared" si="8"/>
        <v>0</v>
      </c>
      <c r="BB7" s="142">
        <f t="shared" si="8"/>
        <v>0</v>
      </c>
      <c r="BC7" s="142">
        <f t="shared" si="8"/>
        <v>0</v>
      </c>
      <c r="BD7" s="142">
        <f t="shared" si="8"/>
        <v>0</v>
      </c>
      <c r="BE7" s="142">
        <f t="shared" si="8"/>
        <v>0</v>
      </c>
      <c r="BF7" s="142">
        <f t="shared" si="8"/>
        <v>0</v>
      </c>
      <c r="BG7" s="142">
        <f t="shared" si="8"/>
        <v>0</v>
      </c>
      <c r="BH7" s="142">
        <f t="shared" si="8"/>
        <v>0</v>
      </c>
      <c r="BI7" s="142">
        <f t="shared" si="8"/>
        <v>0</v>
      </c>
      <c r="BJ7" s="142">
        <f t="shared" si="8"/>
        <v>0</v>
      </c>
      <c r="BK7" s="142">
        <f t="shared" si="8"/>
        <v>0</v>
      </c>
      <c r="BL7" s="142">
        <f t="shared" si="8"/>
        <v>0</v>
      </c>
      <c r="BM7" s="142">
        <f t="shared" si="8"/>
        <v>0</v>
      </c>
      <c r="BN7" s="142">
        <f t="shared" si="8"/>
        <v>0</v>
      </c>
      <c r="BO7" s="142">
        <f t="shared" si="8"/>
        <v>0</v>
      </c>
      <c r="BP7" s="142">
        <f t="shared" si="8"/>
        <v>0</v>
      </c>
      <c r="BQ7" s="142">
        <f t="shared" si="8"/>
        <v>0</v>
      </c>
      <c r="BR7" s="142">
        <f t="shared" ref="BR7:DI7" si="9">BR154</f>
        <v>0</v>
      </c>
      <c r="BS7" s="142">
        <f t="shared" si="9"/>
        <v>0</v>
      </c>
      <c r="BT7" s="142">
        <f t="shared" si="9"/>
        <v>0</v>
      </c>
      <c r="BU7" s="142">
        <f t="shared" si="9"/>
        <v>0</v>
      </c>
      <c r="BV7" s="142">
        <f t="shared" si="9"/>
        <v>0</v>
      </c>
      <c r="BW7" s="142">
        <f t="shared" si="9"/>
        <v>0</v>
      </c>
      <c r="BX7" s="142">
        <f t="shared" si="9"/>
        <v>0</v>
      </c>
      <c r="BY7" s="142">
        <f t="shared" si="9"/>
        <v>0</v>
      </c>
      <c r="BZ7" s="142">
        <f t="shared" si="9"/>
        <v>0</v>
      </c>
      <c r="CA7" s="142">
        <f t="shared" si="9"/>
        <v>0</v>
      </c>
      <c r="CB7" s="142">
        <f t="shared" si="9"/>
        <v>0</v>
      </c>
      <c r="CC7" s="142">
        <f t="shared" si="9"/>
        <v>0</v>
      </c>
      <c r="CD7" s="142">
        <f t="shared" si="9"/>
        <v>0</v>
      </c>
      <c r="CE7" s="142">
        <f t="shared" si="9"/>
        <v>0</v>
      </c>
      <c r="CF7" s="142">
        <f t="shared" si="9"/>
        <v>0</v>
      </c>
      <c r="CG7" s="142">
        <f t="shared" si="9"/>
        <v>0</v>
      </c>
      <c r="CH7" s="142">
        <f t="shared" si="9"/>
        <v>0</v>
      </c>
      <c r="CI7" s="142">
        <f t="shared" si="9"/>
        <v>0</v>
      </c>
      <c r="CJ7" s="142">
        <f t="shared" si="9"/>
        <v>0</v>
      </c>
      <c r="CK7" s="142">
        <f t="shared" si="9"/>
        <v>0</v>
      </c>
      <c r="CL7" s="142">
        <f t="shared" si="9"/>
        <v>0</v>
      </c>
      <c r="CM7" s="142">
        <f t="shared" si="9"/>
        <v>0</v>
      </c>
      <c r="CN7" s="142">
        <f t="shared" si="9"/>
        <v>0</v>
      </c>
      <c r="CO7" s="142">
        <f t="shared" si="9"/>
        <v>0</v>
      </c>
      <c r="CP7" s="142">
        <f t="shared" si="9"/>
        <v>0</v>
      </c>
      <c r="CQ7" s="142">
        <f t="shared" si="9"/>
        <v>0</v>
      </c>
      <c r="CR7" s="142">
        <f t="shared" si="9"/>
        <v>0</v>
      </c>
      <c r="CS7" s="142">
        <f t="shared" si="9"/>
        <v>0</v>
      </c>
      <c r="CT7" s="142">
        <f t="shared" si="9"/>
        <v>0</v>
      </c>
      <c r="CU7" s="142">
        <f t="shared" si="9"/>
        <v>0</v>
      </c>
      <c r="CV7" s="142">
        <f t="shared" si="9"/>
        <v>0</v>
      </c>
      <c r="CW7" s="142">
        <f t="shared" si="9"/>
        <v>0</v>
      </c>
      <c r="CX7" s="142">
        <f t="shared" si="9"/>
        <v>0</v>
      </c>
      <c r="CY7" s="142">
        <f t="shared" si="9"/>
        <v>0</v>
      </c>
      <c r="CZ7" s="142">
        <f t="shared" si="9"/>
        <v>0</v>
      </c>
      <c r="DA7" s="142">
        <f t="shared" si="9"/>
        <v>0</v>
      </c>
      <c r="DB7" s="142">
        <f t="shared" si="9"/>
        <v>0</v>
      </c>
      <c r="DC7" s="142">
        <f t="shared" si="9"/>
        <v>0</v>
      </c>
      <c r="DD7" s="142">
        <f t="shared" si="9"/>
        <v>0</v>
      </c>
      <c r="DE7" s="142">
        <f t="shared" si="9"/>
        <v>0</v>
      </c>
      <c r="DF7" s="142">
        <f t="shared" si="9"/>
        <v>0</v>
      </c>
      <c r="DG7" s="142">
        <f t="shared" si="9"/>
        <v>0</v>
      </c>
      <c r="DH7" s="142">
        <f t="shared" si="9"/>
        <v>0</v>
      </c>
      <c r="DI7" s="142">
        <f t="shared" si="9"/>
        <v>0</v>
      </c>
      <c r="DL7" s="145" t="s">
        <v>2934</v>
      </c>
      <c r="DM7" s="146">
        <v>20</v>
      </c>
    </row>
    <row r="8" spans="1:117">
      <c r="D8" t="s">
        <v>2935</v>
      </c>
      <c r="E8" s="142">
        <f>E156</f>
        <v>0</v>
      </c>
      <c r="F8" s="142">
        <f t="shared" ref="F8:BQ8" si="10">F156</f>
        <v>0</v>
      </c>
      <c r="G8" s="142">
        <f t="shared" si="10"/>
        <v>0</v>
      </c>
      <c r="H8" s="142">
        <f t="shared" si="10"/>
        <v>0</v>
      </c>
      <c r="I8" s="142">
        <f t="shared" si="10"/>
        <v>0</v>
      </c>
      <c r="J8" s="142">
        <f t="shared" si="10"/>
        <v>0</v>
      </c>
      <c r="K8" s="142">
        <f t="shared" si="10"/>
        <v>0</v>
      </c>
      <c r="L8" s="142">
        <f t="shared" si="10"/>
        <v>0</v>
      </c>
      <c r="M8" s="142">
        <f t="shared" si="10"/>
        <v>0</v>
      </c>
      <c r="N8" s="142">
        <f t="shared" si="10"/>
        <v>0</v>
      </c>
      <c r="O8" s="142">
        <f t="shared" si="10"/>
        <v>0</v>
      </c>
      <c r="P8" s="142">
        <f t="shared" si="10"/>
        <v>0</v>
      </c>
      <c r="Q8" s="142">
        <f t="shared" si="10"/>
        <v>0</v>
      </c>
      <c r="R8" s="142">
        <f t="shared" si="10"/>
        <v>0</v>
      </c>
      <c r="S8" s="142">
        <f t="shared" si="10"/>
        <v>0</v>
      </c>
      <c r="T8" s="142">
        <f t="shared" si="10"/>
        <v>0</v>
      </c>
      <c r="U8" s="142">
        <f t="shared" si="10"/>
        <v>20</v>
      </c>
      <c r="V8" s="142">
        <f t="shared" si="10"/>
        <v>20</v>
      </c>
      <c r="W8" s="142">
        <f t="shared" si="10"/>
        <v>20</v>
      </c>
      <c r="X8" s="142">
        <f t="shared" si="10"/>
        <v>20</v>
      </c>
      <c r="Y8" s="142">
        <f t="shared" si="10"/>
        <v>20</v>
      </c>
      <c r="Z8" s="142">
        <f t="shared" si="10"/>
        <v>20</v>
      </c>
      <c r="AA8" s="142">
        <f t="shared" si="10"/>
        <v>20</v>
      </c>
      <c r="AB8" s="142">
        <f t="shared" si="10"/>
        <v>20</v>
      </c>
      <c r="AC8" s="142">
        <f t="shared" si="10"/>
        <v>20</v>
      </c>
      <c r="AD8" s="142">
        <f t="shared" si="10"/>
        <v>20</v>
      </c>
      <c r="AE8" s="142">
        <f t="shared" si="10"/>
        <v>20</v>
      </c>
      <c r="AF8" s="142">
        <f t="shared" si="10"/>
        <v>20</v>
      </c>
      <c r="AG8" s="142">
        <f t="shared" si="10"/>
        <v>20</v>
      </c>
      <c r="AH8" s="142">
        <f t="shared" si="10"/>
        <v>20</v>
      </c>
      <c r="AI8" s="142">
        <f t="shared" si="10"/>
        <v>20</v>
      </c>
      <c r="AJ8" s="142">
        <f t="shared" si="10"/>
        <v>20</v>
      </c>
      <c r="AK8" s="142">
        <f t="shared" si="10"/>
        <v>20</v>
      </c>
      <c r="AL8" s="142">
        <f t="shared" si="10"/>
        <v>20</v>
      </c>
      <c r="AM8" s="142">
        <f t="shared" si="10"/>
        <v>20</v>
      </c>
      <c r="AN8" s="142">
        <f t="shared" si="10"/>
        <v>20</v>
      </c>
      <c r="AO8" s="142">
        <f t="shared" si="10"/>
        <v>20</v>
      </c>
      <c r="AP8" s="142">
        <f t="shared" si="10"/>
        <v>20</v>
      </c>
      <c r="AQ8" s="142">
        <f t="shared" si="10"/>
        <v>20</v>
      </c>
      <c r="AR8" s="142">
        <f t="shared" si="10"/>
        <v>20</v>
      </c>
      <c r="AS8" s="142">
        <f t="shared" si="10"/>
        <v>20</v>
      </c>
      <c r="AT8" s="142">
        <f t="shared" si="10"/>
        <v>20</v>
      </c>
      <c r="AU8" s="142">
        <f t="shared" si="10"/>
        <v>20</v>
      </c>
      <c r="AV8" s="142">
        <f t="shared" si="10"/>
        <v>20</v>
      </c>
      <c r="AW8" s="142">
        <f t="shared" si="10"/>
        <v>20</v>
      </c>
      <c r="AX8" s="142">
        <f t="shared" si="10"/>
        <v>20</v>
      </c>
      <c r="AY8" s="142">
        <f t="shared" si="10"/>
        <v>20</v>
      </c>
      <c r="AZ8" s="142">
        <f t="shared" si="10"/>
        <v>20</v>
      </c>
      <c r="BA8" s="142">
        <f t="shared" si="10"/>
        <v>20</v>
      </c>
      <c r="BB8" s="142">
        <f t="shared" si="10"/>
        <v>20</v>
      </c>
      <c r="BC8" s="142">
        <f t="shared" si="10"/>
        <v>20</v>
      </c>
      <c r="BD8" s="142">
        <f t="shared" si="10"/>
        <v>20</v>
      </c>
      <c r="BE8" s="142">
        <f t="shared" si="10"/>
        <v>20</v>
      </c>
      <c r="BF8" s="142">
        <f t="shared" si="10"/>
        <v>20</v>
      </c>
      <c r="BG8" s="142">
        <f t="shared" si="10"/>
        <v>20</v>
      </c>
      <c r="BH8" s="142">
        <f t="shared" si="10"/>
        <v>20</v>
      </c>
      <c r="BI8" s="142">
        <f t="shared" si="10"/>
        <v>20</v>
      </c>
      <c r="BJ8" s="142">
        <f t="shared" si="10"/>
        <v>20</v>
      </c>
      <c r="BK8" s="142">
        <f t="shared" si="10"/>
        <v>20</v>
      </c>
      <c r="BL8" s="142">
        <f t="shared" si="10"/>
        <v>20</v>
      </c>
      <c r="BM8" s="142">
        <f t="shared" si="10"/>
        <v>20</v>
      </c>
      <c r="BN8" s="142">
        <f t="shared" si="10"/>
        <v>20</v>
      </c>
      <c r="BO8" s="142">
        <f t="shared" si="10"/>
        <v>20</v>
      </c>
      <c r="BP8" s="142">
        <f t="shared" si="10"/>
        <v>20</v>
      </c>
      <c r="BQ8" s="142">
        <f t="shared" si="10"/>
        <v>20</v>
      </c>
      <c r="BR8" s="142">
        <f t="shared" ref="BR8:DI8" si="11">BR156</f>
        <v>20</v>
      </c>
      <c r="BS8" s="142">
        <f t="shared" si="11"/>
        <v>20</v>
      </c>
      <c r="BT8" s="142">
        <f t="shared" si="11"/>
        <v>20</v>
      </c>
      <c r="BU8" s="142">
        <f t="shared" si="11"/>
        <v>20</v>
      </c>
      <c r="BV8" s="142">
        <f t="shared" si="11"/>
        <v>20</v>
      </c>
      <c r="BW8" s="142">
        <f t="shared" si="11"/>
        <v>20</v>
      </c>
      <c r="BX8" s="142">
        <f t="shared" si="11"/>
        <v>20</v>
      </c>
      <c r="BY8" s="142">
        <f t="shared" si="11"/>
        <v>20</v>
      </c>
      <c r="BZ8" s="142">
        <f t="shared" si="11"/>
        <v>20</v>
      </c>
      <c r="CA8" s="142">
        <f t="shared" si="11"/>
        <v>20</v>
      </c>
      <c r="CB8" s="142">
        <f t="shared" si="11"/>
        <v>20</v>
      </c>
      <c r="CC8" s="142">
        <f t="shared" si="11"/>
        <v>20</v>
      </c>
      <c r="CD8" s="142">
        <f t="shared" si="11"/>
        <v>20</v>
      </c>
      <c r="CE8" s="142">
        <f t="shared" si="11"/>
        <v>20</v>
      </c>
      <c r="CF8" s="142">
        <f t="shared" si="11"/>
        <v>20</v>
      </c>
      <c r="CG8" s="142">
        <f t="shared" si="11"/>
        <v>20</v>
      </c>
      <c r="CH8" s="142">
        <f t="shared" si="11"/>
        <v>20</v>
      </c>
      <c r="CI8" s="142">
        <f t="shared" si="11"/>
        <v>20</v>
      </c>
      <c r="CJ8" s="142">
        <f t="shared" si="11"/>
        <v>20</v>
      </c>
      <c r="CK8" s="142">
        <f t="shared" si="11"/>
        <v>20</v>
      </c>
      <c r="CL8" s="142">
        <f t="shared" si="11"/>
        <v>20</v>
      </c>
      <c r="CM8" s="142">
        <f t="shared" si="11"/>
        <v>20</v>
      </c>
      <c r="CN8" s="142">
        <f t="shared" si="11"/>
        <v>20</v>
      </c>
      <c r="CO8" s="142">
        <f t="shared" si="11"/>
        <v>20</v>
      </c>
      <c r="CP8" s="142">
        <f t="shared" si="11"/>
        <v>20</v>
      </c>
      <c r="CQ8" s="142">
        <f t="shared" si="11"/>
        <v>20</v>
      </c>
      <c r="CR8" s="142">
        <f t="shared" si="11"/>
        <v>20</v>
      </c>
      <c r="CS8" s="142">
        <f t="shared" si="11"/>
        <v>20</v>
      </c>
      <c r="CT8" s="142">
        <f t="shared" si="11"/>
        <v>20</v>
      </c>
      <c r="CU8" s="142">
        <f t="shared" si="11"/>
        <v>20</v>
      </c>
      <c r="CV8" s="142">
        <f t="shared" si="11"/>
        <v>20</v>
      </c>
      <c r="CW8" s="142">
        <f t="shared" si="11"/>
        <v>20</v>
      </c>
      <c r="CX8" s="142">
        <f t="shared" si="11"/>
        <v>20</v>
      </c>
      <c r="CY8" s="142">
        <f t="shared" si="11"/>
        <v>20</v>
      </c>
      <c r="CZ8" s="142">
        <f t="shared" si="11"/>
        <v>20</v>
      </c>
      <c r="DA8" s="142">
        <f t="shared" si="11"/>
        <v>20</v>
      </c>
      <c r="DB8" s="142">
        <f t="shared" si="11"/>
        <v>20</v>
      </c>
      <c r="DC8" s="142">
        <f t="shared" si="11"/>
        <v>20</v>
      </c>
      <c r="DD8" s="142">
        <f t="shared" si="11"/>
        <v>20</v>
      </c>
      <c r="DE8" s="142">
        <f t="shared" si="11"/>
        <v>20</v>
      </c>
      <c r="DF8" s="142">
        <f t="shared" si="11"/>
        <v>20</v>
      </c>
      <c r="DG8" s="142">
        <f t="shared" si="11"/>
        <v>20</v>
      </c>
      <c r="DH8" s="142">
        <f t="shared" si="11"/>
        <v>20</v>
      </c>
      <c r="DI8" s="142">
        <f t="shared" si="11"/>
        <v>20</v>
      </c>
    </row>
    <row r="9" spans="1:117" ht="15">
      <c r="D9" t="s">
        <v>2936</v>
      </c>
      <c r="E9" s="147">
        <f>SUM(E3:E8)</f>
        <v>12</v>
      </c>
      <c r="F9" s="147">
        <f t="shared" ref="F9:BQ9" si="12">SUM(F3:F8)</f>
        <v>7</v>
      </c>
      <c r="G9" s="147">
        <f t="shared" si="12"/>
        <v>15</v>
      </c>
      <c r="H9" s="147">
        <f t="shared" si="12"/>
        <v>15</v>
      </c>
      <c r="I9" s="147">
        <f t="shared" si="12"/>
        <v>7</v>
      </c>
      <c r="J9" s="147">
        <f t="shared" si="12"/>
        <v>8</v>
      </c>
      <c r="K9" s="147">
        <f t="shared" si="12"/>
        <v>11</v>
      </c>
      <c r="L9" s="147">
        <f t="shared" si="12"/>
        <v>11</v>
      </c>
      <c r="M9" s="147">
        <f t="shared" si="12"/>
        <v>14</v>
      </c>
      <c r="N9" s="147">
        <f t="shared" si="12"/>
        <v>8</v>
      </c>
      <c r="O9" s="147">
        <f t="shared" si="12"/>
        <v>15</v>
      </c>
      <c r="P9" s="147">
        <f t="shared" si="12"/>
        <v>12</v>
      </c>
      <c r="Q9" s="147">
        <f t="shared" si="12"/>
        <v>9</v>
      </c>
      <c r="R9" s="147">
        <f t="shared" si="12"/>
        <v>15</v>
      </c>
      <c r="S9" s="147">
        <f t="shared" si="12"/>
        <v>12</v>
      </c>
      <c r="T9" s="147">
        <f t="shared" si="12"/>
        <v>11</v>
      </c>
      <c r="U9" s="147">
        <f t="shared" si="12"/>
        <v>20</v>
      </c>
      <c r="V9" s="147">
        <f t="shared" si="12"/>
        <v>20</v>
      </c>
      <c r="W9" s="147">
        <f t="shared" si="12"/>
        <v>20</v>
      </c>
      <c r="X9" s="147">
        <f t="shared" si="12"/>
        <v>20</v>
      </c>
      <c r="Y9" s="147">
        <f t="shared" si="12"/>
        <v>20</v>
      </c>
      <c r="Z9" s="147">
        <f t="shared" si="12"/>
        <v>20</v>
      </c>
      <c r="AA9" s="147">
        <f t="shared" si="12"/>
        <v>20</v>
      </c>
      <c r="AB9" s="147">
        <f t="shared" si="12"/>
        <v>20</v>
      </c>
      <c r="AC9" s="147">
        <f t="shared" si="12"/>
        <v>20</v>
      </c>
      <c r="AD9" s="147">
        <f t="shared" si="12"/>
        <v>20</v>
      </c>
      <c r="AE9" s="147">
        <f t="shared" si="12"/>
        <v>20</v>
      </c>
      <c r="AF9" s="147">
        <f t="shared" si="12"/>
        <v>20</v>
      </c>
      <c r="AG9" s="147">
        <f t="shared" si="12"/>
        <v>20</v>
      </c>
      <c r="AH9" s="147">
        <f t="shared" si="12"/>
        <v>20</v>
      </c>
      <c r="AI9" s="147">
        <f t="shared" si="12"/>
        <v>20</v>
      </c>
      <c r="AJ9" s="147">
        <f t="shared" si="12"/>
        <v>20</v>
      </c>
      <c r="AK9" s="147">
        <f t="shared" si="12"/>
        <v>20</v>
      </c>
      <c r="AL9" s="147">
        <f t="shared" si="12"/>
        <v>20</v>
      </c>
      <c r="AM9" s="147">
        <f t="shared" si="12"/>
        <v>20</v>
      </c>
      <c r="AN9" s="147">
        <f t="shared" si="12"/>
        <v>20</v>
      </c>
      <c r="AO9" s="147">
        <f t="shared" si="12"/>
        <v>20</v>
      </c>
      <c r="AP9" s="147">
        <f t="shared" si="12"/>
        <v>20</v>
      </c>
      <c r="AQ9" s="147">
        <f t="shared" si="12"/>
        <v>20</v>
      </c>
      <c r="AR9" s="147">
        <f t="shared" si="12"/>
        <v>20</v>
      </c>
      <c r="AS9" s="147">
        <f t="shared" si="12"/>
        <v>20</v>
      </c>
      <c r="AT9" s="147">
        <f t="shared" si="12"/>
        <v>20</v>
      </c>
      <c r="AU9" s="147">
        <f t="shared" si="12"/>
        <v>20</v>
      </c>
      <c r="AV9" s="147">
        <f t="shared" si="12"/>
        <v>20</v>
      </c>
      <c r="AW9" s="147">
        <f t="shared" si="12"/>
        <v>20</v>
      </c>
      <c r="AX9" s="147">
        <f t="shared" si="12"/>
        <v>20</v>
      </c>
      <c r="AY9" s="147">
        <f t="shared" si="12"/>
        <v>20</v>
      </c>
      <c r="AZ9" s="147">
        <f t="shared" si="12"/>
        <v>20</v>
      </c>
      <c r="BA9" s="147">
        <f t="shared" si="12"/>
        <v>20</v>
      </c>
      <c r="BB9" s="147">
        <f t="shared" si="12"/>
        <v>20</v>
      </c>
      <c r="BC9" s="147">
        <f t="shared" si="12"/>
        <v>20</v>
      </c>
      <c r="BD9" s="147">
        <f t="shared" si="12"/>
        <v>20</v>
      </c>
      <c r="BE9" s="147">
        <f t="shared" si="12"/>
        <v>20</v>
      </c>
      <c r="BF9" s="147">
        <f t="shared" si="12"/>
        <v>20</v>
      </c>
      <c r="BG9" s="147">
        <f t="shared" si="12"/>
        <v>20</v>
      </c>
      <c r="BH9" s="147">
        <f t="shared" si="12"/>
        <v>20</v>
      </c>
      <c r="BI9" s="147">
        <f t="shared" si="12"/>
        <v>20</v>
      </c>
      <c r="BJ9" s="147">
        <f t="shared" si="12"/>
        <v>20</v>
      </c>
      <c r="BK9" s="147">
        <f t="shared" si="12"/>
        <v>20</v>
      </c>
      <c r="BL9" s="147">
        <f t="shared" si="12"/>
        <v>20</v>
      </c>
      <c r="BM9" s="147">
        <f t="shared" si="12"/>
        <v>20</v>
      </c>
      <c r="BN9" s="147">
        <f t="shared" si="12"/>
        <v>20</v>
      </c>
      <c r="BO9" s="147">
        <f t="shared" si="12"/>
        <v>20</v>
      </c>
      <c r="BP9" s="147">
        <f t="shared" si="12"/>
        <v>20</v>
      </c>
      <c r="BQ9" s="147">
        <f t="shared" si="12"/>
        <v>20</v>
      </c>
      <c r="BR9" s="147">
        <f t="shared" ref="BR9:DI9" si="13">SUM(BR3:BR8)</f>
        <v>20</v>
      </c>
      <c r="BS9" s="147">
        <f t="shared" si="13"/>
        <v>20</v>
      </c>
      <c r="BT9" s="147">
        <f t="shared" si="13"/>
        <v>20</v>
      </c>
      <c r="BU9" s="147">
        <f t="shared" si="13"/>
        <v>20</v>
      </c>
      <c r="BV9" s="147">
        <f t="shared" si="13"/>
        <v>20</v>
      </c>
      <c r="BW9" s="147">
        <f t="shared" si="13"/>
        <v>20</v>
      </c>
      <c r="BX9" s="147">
        <f t="shared" si="13"/>
        <v>20</v>
      </c>
      <c r="BY9" s="147">
        <f t="shared" si="13"/>
        <v>20</v>
      </c>
      <c r="BZ9" s="147">
        <f t="shared" si="13"/>
        <v>20</v>
      </c>
      <c r="CA9" s="147">
        <f t="shared" si="13"/>
        <v>20</v>
      </c>
      <c r="CB9" s="147">
        <f t="shared" si="13"/>
        <v>20</v>
      </c>
      <c r="CC9" s="147">
        <f t="shared" si="13"/>
        <v>20</v>
      </c>
      <c r="CD9" s="147">
        <f t="shared" si="13"/>
        <v>20</v>
      </c>
      <c r="CE9" s="147">
        <f t="shared" si="13"/>
        <v>20</v>
      </c>
      <c r="CF9" s="147">
        <f t="shared" si="13"/>
        <v>20</v>
      </c>
      <c r="CG9" s="147">
        <f t="shared" si="13"/>
        <v>20</v>
      </c>
      <c r="CH9" s="147">
        <f t="shared" si="13"/>
        <v>20</v>
      </c>
      <c r="CI9" s="147">
        <f t="shared" si="13"/>
        <v>20</v>
      </c>
      <c r="CJ9" s="147">
        <f t="shared" si="13"/>
        <v>20</v>
      </c>
      <c r="CK9" s="147">
        <f t="shared" si="13"/>
        <v>20</v>
      </c>
      <c r="CL9" s="147">
        <f t="shared" si="13"/>
        <v>20</v>
      </c>
      <c r="CM9" s="147">
        <f t="shared" si="13"/>
        <v>20</v>
      </c>
      <c r="CN9" s="147">
        <f t="shared" si="13"/>
        <v>20</v>
      </c>
      <c r="CO9" s="147">
        <f t="shared" si="13"/>
        <v>20</v>
      </c>
      <c r="CP9" s="147">
        <f t="shared" si="13"/>
        <v>20</v>
      </c>
      <c r="CQ9" s="147">
        <f t="shared" si="13"/>
        <v>20</v>
      </c>
      <c r="CR9" s="147">
        <f t="shared" si="13"/>
        <v>20</v>
      </c>
      <c r="CS9" s="147">
        <f t="shared" si="13"/>
        <v>20</v>
      </c>
      <c r="CT9" s="147">
        <f t="shared" si="13"/>
        <v>20</v>
      </c>
      <c r="CU9" s="147">
        <f t="shared" si="13"/>
        <v>20</v>
      </c>
      <c r="CV9" s="147">
        <f t="shared" si="13"/>
        <v>20</v>
      </c>
      <c r="CW9" s="147">
        <f t="shared" si="13"/>
        <v>20</v>
      </c>
      <c r="CX9" s="147">
        <f t="shared" si="13"/>
        <v>20</v>
      </c>
      <c r="CY9" s="147">
        <f t="shared" si="13"/>
        <v>20</v>
      </c>
      <c r="CZ9" s="147">
        <f t="shared" si="13"/>
        <v>20</v>
      </c>
      <c r="DA9" s="147">
        <f t="shared" si="13"/>
        <v>20</v>
      </c>
      <c r="DB9" s="147">
        <f t="shared" si="13"/>
        <v>20</v>
      </c>
      <c r="DC9" s="147">
        <f t="shared" si="13"/>
        <v>20</v>
      </c>
      <c r="DD9" s="147">
        <f t="shared" si="13"/>
        <v>20</v>
      </c>
      <c r="DE9" s="147">
        <f t="shared" si="13"/>
        <v>20</v>
      </c>
      <c r="DF9" s="147">
        <f t="shared" si="13"/>
        <v>20</v>
      </c>
      <c r="DG9" s="147">
        <f t="shared" si="13"/>
        <v>20</v>
      </c>
      <c r="DH9" s="147">
        <f t="shared" si="13"/>
        <v>20</v>
      </c>
      <c r="DI9" s="147">
        <f t="shared" si="13"/>
        <v>20</v>
      </c>
      <c r="DL9" t="s">
        <v>2937</v>
      </c>
      <c r="DM9">
        <f>36*DM3</f>
        <v>180</v>
      </c>
    </row>
    <row r="10" spans="1:117" ht="15">
      <c r="E10" s="148" t="str">
        <f t="shared" ref="E10:BP10" si="14">(COUNTIF(E84:E119,3)+COUNTIF(E84:E119,4)+COUNTIF(E84:E119,5))&amp;"-"&amp;COUNTIF(E84:E119,5)</f>
        <v>4-0</v>
      </c>
      <c r="F10" s="148" t="str">
        <f t="shared" si="14"/>
        <v>2-0</v>
      </c>
      <c r="G10" s="148" t="str">
        <f t="shared" si="14"/>
        <v>4-0</v>
      </c>
      <c r="H10" s="148" t="str">
        <f t="shared" si="14"/>
        <v>4-0</v>
      </c>
      <c r="I10" s="148" t="str">
        <f t="shared" si="14"/>
        <v>2-0</v>
      </c>
      <c r="J10" s="148" t="str">
        <f t="shared" si="14"/>
        <v>2-0</v>
      </c>
      <c r="K10" s="148" t="str">
        <f t="shared" si="14"/>
        <v>3-0</v>
      </c>
      <c r="L10" s="148" t="str">
        <f t="shared" si="14"/>
        <v>3-0</v>
      </c>
      <c r="M10" s="148" t="str">
        <f t="shared" si="14"/>
        <v>4-0</v>
      </c>
      <c r="N10" s="148" t="str">
        <f t="shared" si="14"/>
        <v>2-0</v>
      </c>
      <c r="O10" s="148" t="str">
        <f t="shared" si="14"/>
        <v>4-0</v>
      </c>
      <c r="P10" s="148" t="str">
        <f t="shared" si="14"/>
        <v>4-0</v>
      </c>
      <c r="Q10" s="148" t="str">
        <f t="shared" si="14"/>
        <v>3-0</v>
      </c>
      <c r="R10" s="148" t="str">
        <f t="shared" si="14"/>
        <v>4-0</v>
      </c>
      <c r="S10" s="148" t="str">
        <f t="shared" si="14"/>
        <v>3-1</v>
      </c>
      <c r="T10" s="148" t="str">
        <f t="shared" si="14"/>
        <v>3-0</v>
      </c>
      <c r="U10" s="148" t="str">
        <f t="shared" si="14"/>
        <v>0-0</v>
      </c>
      <c r="V10" s="148" t="str">
        <f t="shared" si="14"/>
        <v>0-0</v>
      </c>
      <c r="W10" s="148" t="str">
        <f t="shared" si="14"/>
        <v>0-0</v>
      </c>
      <c r="X10" s="148" t="str">
        <f t="shared" si="14"/>
        <v>0-0</v>
      </c>
      <c r="Y10" s="148" t="str">
        <f t="shared" si="14"/>
        <v>0-0</v>
      </c>
      <c r="Z10" s="148" t="str">
        <f t="shared" si="14"/>
        <v>0-0</v>
      </c>
      <c r="AA10" s="148" t="str">
        <f t="shared" si="14"/>
        <v>0-0</v>
      </c>
      <c r="AB10" s="148" t="str">
        <f t="shared" si="14"/>
        <v>0-0</v>
      </c>
      <c r="AC10" s="148" t="str">
        <f t="shared" si="14"/>
        <v>0-0</v>
      </c>
      <c r="AD10" s="148" t="str">
        <f t="shared" si="14"/>
        <v>0-0</v>
      </c>
      <c r="AE10" s="148" t="str">
        <f t="shared" si="14"/>
        <v>0-0</v>
      </c>
      <c r="AF10" s="148" t="str">
        <f t="shared" si="14"/>
        <v>0-0</v>
      </c>
      <c r="AG10" s="148" t="str">
        <f t="shared" si="14"/>
        <v>0-0</v>
      </c>
      <c r="AH10" s="148" t="str">
        <f t="shared" si="14"/>
        <v>0-0</v>
      </c>
      <c r="AI10" s="148" t="str">
        <f t="shared" si="14"/>
        <v>0-0</v>
      </c>
      <c r="AJ10" s="148" t="str">
        <f t="shared" si="14"/>
        <v>0-0</v>
      </c>
      <c r="AK10" s="148" t="str">
        <f t="shared" si="14"/>
        <v>0-0</v>
      </c>
      <c r="AL10" s="148" t="str">
        <f t="shared" si="14"/>
        <v>0-0</v>
      </c>
      <c r="AM10" s="148" t="str">
        <f t="shared" si="14"/>
        <v>0-0</v>
      </c>
      <c r="AN10" s="148" t="str">
        <f t="shared" si="14"/>
        <v>0-0</v>
      </c>
      <c r="AO10" s="148" t="str">
        <f t="shared" si="14"/>
        <v>0-0</v>
      </c>
      <c r="AP10" s="148" t="str">
        <f t="shared" si="14"/>
        <v>0-0</v>
      </c>
      <c r="AQ10" s="148" t="str">
        <f t="shared" si="14"/>
        <v>0-0</v>
      </c>
      <c r="AR10" s="148" t="str">
        <f t="shared" si="14"/>
        <v>0-0</v>
      </c>
      <c r="AS10" s="148" t="str">
        <f t="shared" si="14"/>
        <v>0-0</v>
      </c>
      <c r="AT10" s="148" t="str">
        <f t="shared" si="14"/>
        <v>0-0</v>
      </c>
      <c r="AU10" s="148" t="str">
        <f t="shared" si="14"/>
        <v>0-0</v>
      </c>
      <c r="AV10" s="148" t="str">
        <f t="shared" si="14"/>
        <v>0-0</v>
      </c>
      <c r="AW10" s="148" t="str">
        <f t="shared" si="14"/>
        <v>0-0</v>
      </c>
      <c r="AX10" s="148" t="str">
        <f t="shared" si="14"/>
        <v>0-0</v>
      </c>
      <c r="AY10" s="148" t="str">
        <f t="shared" si="14"/>
        <v>0-0</v>
      </c>
      <c r="AZ10" s="148" t="str">
        <f t="shared" si="14"/>
        <v>0-0</v>
      </c>
      <c r="BA10" s="148" t="str">
        <f t="shared" si="14"/>
        <v>0-0</v>
      </c>
      <c r="BB10" s="148" t="str">
        <f t="shared" si="14"/>
        <v>0-0</v>
      </c>
      <c r="BC10" s="148" t="str">
        <f t="shared" si="14"/>
        <v>0-0</v>
      </c>
      <c r="BD10" s="148" t="str">
        <f t="shared" si="14"/>
        <v>0-0</v>
      </c>
      <c r="BE10" s="148" t="str">
        <f t="shared" si="14"/>
        <v>0-0</v>
      </c>
      <c r="BF10" s="148" t="str">
        <f t="shared" si="14"/>
        <v>0-0</v>
      </c>
      <c r="BG10" s="148" t="str">
        <f t="shared" si="14"/>
        <v>0-0</v>
      </c>
      <c r="BH10" s="148" t="str">
        <f t="shared" si="14"/>
        <v>0-0</v>
      </c>
      <c r="BI10" s="148" t="str">
        <f t="shared" si="14"/>
        <v>0-0</v>
      </c>
      <c r="BJ10" s="148" t="str">
        <f t="shared" si="14"/>
        <v>0-0</v>
      </c>
      <c r="BK10" s="148" t="str">
        <f t="shared" si="14"/>
        <v>0-0</v>
      </c>
      <c r="BL10" s="148" t="str">
        <f t="shared" si="14"/>
        <v>0-0</v>
      </c>
      <c r="BM10" s="148" t="str">
        <f t="shared" si="14"/>
        <v>0-0</v>
      </c>
      <c r="BN10" s="148" t="str">
        <f t="shared" si="14"/>
        <v>0-0</v>
      </c>
      <c r="BO10" s="148" t="str">
        <f t="shared" si="14"/>
        <v>0-0</v>
      </c>
      <c r="BP10" s="148" t="str">
        <f t="shared" si="14"/>
        <v>0-0</v>
      </c>
      <c r="BQ10" s="148" t="str">
        <f t="shared" ref="BQ10:DI10" si="15">(COUNTIF(BQ84:BQ119,3)+COUNTIF(BQ84:BQ119,4)+COUNTIF(BQ84:BQ119,5))&amp;"-"&amp;COUNTIF(BQ84:BQ119,5)</f>
        <v>0-0</v>
      </c>
      <c r="BR10" s="148" t="str">
        <f t="shared" si="15"/>
        <v>0-0</v>
      </c>
      <c r="BS10" s="148" t="str">
        <f t="shared" si="15"/>
        <v>0-0</v>
      </c>
      <c r="BT10" s="148" t="str">
        <f t="shared" si="15"/>
        <v>0-0</v>
      </c>
      <c r="BU10" s="148" t="str">
        <f t="shared" si="15"/>
        <v>0-0</v>
      </c>
      <c r="BV10" s="148" t="str">
        <f t="shared" si="15"/>
        <v>0-0</v>
      </c>
      <c r="BW10" s="148" t="str">
        <f t="shared" si="15"/>
        <v>0-0</v>
      </c>
      <c r="BX10" s="148" t="str">
        <f t="shared" si="15"/>
        <v>0-0</v>
      </c>
      <c r="BY10" s="148" t="str">
        <f t="shared" si="15"/>
        <v>0-0</v>
      </c>
      <c r="BZ10" s="148" t="str">
        <f t="shared" si="15"/>
        <v>0-0</v>
      </c>
      <c r="CA10" s="148" t="str">
        <f t="shared" si="15"/>
        <v>0-0</v>
      </c>
      <c r="CB10" s="148" t="str">
        <f t="shared" si="15"/>
        <v>0-0</v>
      </c>
      <c r="CC10" s="148" t="str">
        <f t="shared" si="15"/>
        <v>0-0</v>
      </c>
      <c r="CD10" s="148" t="str">
        <f t="shared" si="15"/>
        <v>0-0</v>
      </c>
      <c r="CE10" s="148" t="str">
        <f t="shared" si="15"/>
        <v>0-0</v>
      </c>
      <c r="CF10" s="148" t="str">
        <f t="shared" si="15"/>
        <v>0-0</v>
      </c>
      <c r="CG10" s="148" t="str">
        <f t="shared" si="15"/>
        <v>0-0</v>
      </c>
      <c r="CH10" s="148" t="str">
        <f t="shared" si="15"/>
        <v>0-0</v>
      </c>
      <c r="CI10" s="148" t="str">
        <f t="shared" si="15"/>
        <v>0-0</v>
      </c>
      <c r="CJ10" s="148" t="str">
        <f t="shared" si="15"/>
        <v>0-0</v>
      </c>
      <c r="CK10" s="148" t="str">
        <f t="shared" si="15"/>
        <v>0-0</v>
      </c>
      <c r="CL10" s="148" t="str">
        <f t="shared" si="15"/>
        <v>0-0</v>
      </c>
      <c r="CM10" s="148" t="str">
        <f t="shared" si="15"/>
        <v>0-0</v>
      </c>
      <c r="CN10" s="148" t="str">
        <f t="shared" si="15"/>
        <v>0-0</v>
      </c>
      <c r="CO10" s="148" t="str">
        <f t="shared" si="15"/>
        <v>0-0</v>
      </c>
      <c r="CP10" s="148" t="str">
        <f t="shared" si="15"/>
        <v>0-0</v>
      </c>
      <c r="CQ10" s="148" t="str">
        <f t="shared" si="15"/>
        <v>0-0</v>
      </c>
      <c r="CR10" s="148" t="str">
        <f t="shared" si="15"/>
        <v>0-0</v>
      </c>
      <c r="CS10" s="148" t="str">
        <f t="shared" si="15"/>
        <v>0-0</v>
      </c>
      <c r="CT10" s="148" t="str">
        <f t="shared" si="15"/>
        <v>0-0</v>
      </c>
      <c r="CU10" s="148" t="str">
        <f t="shared" si="15"/>
        <v>0-0</v>
      </c>
      <c r="CV10" s="148" t="str">
        <f t="shared" si="15"/>
        <v>0-0</v>
      </c>
      <c r="CW10" s="148" t="str">
        <f t="shared" si="15"/>
        <v>0-0</v>
      </c>
      <c r="CX10" s="148" t="str">
        <f t="shared" si="15"/>
        <v>0-0</v>
      </c>
      <c r="CY10" s="148" t="str">
        <f t="shared" si="15"/>
        <v>0-0</v>
      </c>
      <c r="CZ10" s="148" t="str">
        <f t="shared" si="15"/>
        <v>0-0</v>
      </c>
      <c r="DA10" s="148" t="str">
        <f t="shared" si="15"/>
        <v>0-0</v>
      </c>
      <c r="DB10" s="148" t="str">
        <f t="shared" si="15"/>
        <v>0-0</v>
      </c>
      <c r="DC10" s="148" t="str">
        <f t="shared" si="15"/>
        <v>0-0</v>
      </c>
      <c r="DD10" s="148" t="str">
        <f t="shared" si="15"/>
        <v>0-0</v>
      </c>
      <c r="DE10" s="148" t="str">
        <f t="shared" si="15"/>
        <v>0-0</v>
      </c>
      <c r="DF10" s="148" t="str">
        <f t="shared" si="15"/>
        <v>0-0</v>
      </c>
      <c r="DG10" s="148" t="str">
        <f t="shared" si="15"/>
        <v>0-0</v>
      </c>
      <c r="DH10" s="148" t="str">
        <f t="shared" si="15"/>
        <v>0-0</v>
      </c>
      <c r="DI10" s="148" t="str">
        <f t="shared" si="15"/>
        <v>0-0</v>
      </c>
      <c r="DL10" t="s">
        <v>2938</v>
      </c>
      <c r="DM10">
        <f>16*DM3</f>
        <v>80</v>
      </c>
    </row>
    <row r="11" spans="1:117" ht="15">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c r="DH11" s="149"/>
      <c r="DI11" s="149"/>
    </row>
    <row r="12" spans="1:117" ht="15">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L12" t="s">
        <v>2931</v>
      </c>
      <c r="DM12">
        <f>8*DM4</f>
        <v>64</v>
      </c>
    </row>
    <row r="13" spans="1:117" ht="15">
      <c r="D13" t="s">
        <v>2939</v>
      </c>
      <c r="E13" s="151"/>
      <c r="F13" s="151"/>
      <c r="G13" s="151"/>
      <c r="H13" s="151"/>
      <c r="I13" s="151"/>
      <c r="J13" s="151"/>
      <c r="K13" s="151"/>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L13" t="s">
        <v>2940</v>
      </c>
      <c r="DM13">
        <f>4*DM5</f>
        <v>40</v>
      </c>
    </row>
    <row r="14" spans="1:117" ht="15">
      <c r="B14" s="125" t="s">
        <v>2941</v>
      </c>
      <c r="E14" s="152" t="str">
        <f>E2</f>
        <v>Sam</v>
      </c>
      <c r="F14" s="152" t="str">
        <f t="shared" ref="F14:BQ14" si="16">F2</f>
        <v>Matthias</v>
      </c>
      <c r="G14" s="152" t="str">
        <f t="shared" si="16"/>
        <v>Billy</v>
      </c>
      <c r="H14" s="152" t="str">
        <f t="shared" si="16"/>
        <v>Timon</v>
      </c>
      <c r="I14" s="152" t="str">
        <f t="shared" si="16"/>
        <v>Bavo</v>
      </c>
      <c r="J14" s="152" t="str">
        <f t="shared" si="16"/>
        <v>Lowie</v>
      </c>
      <c r="K14" s="152" t="str">
        <f t="shared" si="16"/>
        <v>Stijn</v>
      </c>
      <c r="L14" s="152" t="str">
        <f t="shared" si="16"/>
        <v>Tom</v>
      </c>
      <c r="M14" s="152" t="str">
        <f t="shared" si="16"/>
        <v>Cas</v>
      </c>
      <c r="N14" s="152" t="str">
        <f>N2</f>
        <v>Dean</v>
      </c>
      <c r="O14" s="152" t="str">
        <f t="shared" si="16"/>
        <v>Jannes</v>
      </c>
      <c r="P14" s="152" t="str">
        <f t="shared" si="16"/>
        <v>Jens</v>
      </c>
      <c r="Q14" s="152" t="str">
        <f t="shared" si="16"/>
        <v>Louis</v>
      </c>
      <c r="R14" s="152" t="str">
        <f t="shared" si="16"/>
        <v>Ruben</v>
      </c>
      <c r="S14" s="152" t="str">
        <f t="shared" si="16"/>
        <v>Karl</v>
      </c>
      <c r="T14" s="152" t="str">
        <f t="shared" si="16"/>
        <v>Seppe</v>
      </c>
      <c r="U14" s="152" t="str">
        <f t="shared" si="16"/>
        <v>deelnemer 17</v>
      </c>
      <c r="V14" s="152" t="str">
        <f t="shared" si="16"/>
        <v>deelnemer 18</v>
      </c>
      <c r="W14" s="152" t="str">
        <f t="shared" si="16"/>
        <v>deelnemer 19</v>
      </c>
      <c r="X14" s="152" t="str">
        <f t="shared" si="16"/>
        <v>deelnemer 20</v>
      </c>
      <c r="Y14" s="152" t="str">
        <f t="shared" si="16"/>
        <v>deelnemer 21</v>
      </c>
      <c r="Z14" s="152" t="str">
        <f t="shared" si="16"/>
        <v>deelnemer 22</v>
      </c>
      <c r="AA14" s="152" t="str">
        <f t="shared" si="16"/>
        <v>deelnemer 23</v>
      </c>
      <c r="AB14" s="152" t="str">
        <f t="shared" si="16"/>
        <v>deelnemer 24</v>
      </c>
      <c r="AC14" s="152" t="str">
        <f t="shared" si="16"/>
        <v>deelnemer 25</v>
      </c>
      <c r="AD14" s="152" t="str">
        <f t="shared" si="16"/>
        <v>deelnemer 26</v>
      </c>
      <c r="AE14" s="152" t="str">
        <f t="shared" si="16"/>
        <v>deelnemer 27</v>
      </c>
      <c r="AF14" s="152" t="str">
        <f t="shared" si="16"/>
        <v>deelnemer 28</v>
      </c>
      <c r="AG14" s="152" t="str">
        <f t="shared" si="16"/>
        <v>deelnemer 29</v>
      </c>
      <c r="AH14" s="152" t="str">
        <f t="shared" si="16"/>
        <v>deelnemer 30</v>
      </c>
      <c r="AI14" s="152" t="str">
        <f t="shared" si="16"/>
        <v>deelnemer 31</v>
      </c>
      <c r="AJ14" s="152" t="str">
        <f t="shared" si="16"/>
        <v>deelnemer 32</v>
      </c>
      <c r="AK14" s="152" t="str">
        <f t="shared" si="16"/>
        <v>deelnemer 33</v>
      </c>
      <c r="AL14" s="152" t="str">
        <f t="shared" si="16"/>
        <v>deelnemer 34</v>
      </c>
      <c r="AM14" s="152" t="str">
        <f t="shared" si="16"/>
        <v>deelnemer 35</v>
      </c>
      <c r="AN14" s="152" t="str">
        <f t="shared" si="16"/>
        <v>deelnemer 36</v>
      </c>
      <c r="AO14" s="152" t="str">
        <f t="shared" si="16"/>
        <v>deelnemer 37</v>
      </c>
      <c r="AP14" s="152" t="str">
        <f t="shared" si="16"/>
        <v>deelnemer 38</v>
      </c>
      <c r="AQ14" s="152" t="str">
        <f t="shared" si="16"/>
        <v>deelnemer 39</v>
      </c>
      <c r="AR14" s="152" t="str">
        <f t="shared" si="16"/>
        <v>deelnemer 40</v>
      </c>
      <c r="AS14" s="152" t="str">
        <f t="shared" si="16"/>
        <v>deelnemer 41</v>
      </c>
      <c r="AT14" s="152" t="str">
        <f t="shared" si="16"/>
        <v>deelnemer 42</v>
      </c>
      <c r="AU14" s="152" t="str">
        <f t="shared" si="16"/>
        <v>deelnemer 43</v>
      </c>
      <c r="AV14" s="152" t="str">
        <f t="shared" si="16"/>
        <v>deelnemer 44</v>
      </c>
      <c r="AW14" s="152" t="str">
        <f t="shared" si="16"/>
        <v>deelnemer 45</v>
      </c>
      <c r="AX14" s="152" t="str">
        <f t="shared" si="16"/>
        <v>deelnemer 46</v>
      </c>
      <c r="AY14" s="152" t="str">
        <f t="shared" si="16"/>
        <v>deelnemer 47</v>
      </c>
      <c r="AZ14" s="152" t="str">
        <f t="shared" si="16"/>
        <v>deelnemer 48</v>
      </c>
      <c r="BA14" s="152" t="str">
        <f t="shared" si="16"/>
        <v>deelnemer 49</v>
      </c>
      <c r="BB14" s="152" t="str">
        <f t="shared" si="16"/>
        <v>deelnemer 50</v>
      </c>
      <c r="BC14" s="152" t="str">
        <f t="shared" si="16"/>
        <v>deelnemer 51</v>
      </c>
      <c r="BD14" s="152" t="str">
        <f t="shared" si="16"/>
        <v>deelnemer 52</v>
      </c>
      <c r="BE14" s="152" t="str">
        <f t="shared" si="16"/>
        <v>deelnemer 53</v>
      </c>
      <c r="BF14" s="152" t="str">
        <f t="shared" si="16"/>
        <v>deelnemer 54</v>
      </c>
      <c r="BG14" s="152" t="str">
        <f t="shared" si="16"/>
        <v>deelnemer 55</v>
      </c>
      <c r="BH14" s="152" t="str">
        <f t="shared" si="16"/>
        <v>deelnemer 56</v>
      </c>
      <c r="BI14" s="152" t="str">
        <f t="shared" si="16"/>
        <v>deelnemer 57</v>
      </c>
      <c r="BJ14" s="152" t="str">
        <f t="shared" si="16"/>
        <v>deelnemer 58</v>
      </c>
      <c r="BK14" s="152" t="str">
        <f t="shared" si="16"/>
        <v>deelnemer 59</v>
      </c>
      <c r="BL14" s="152" t="str">
        <f t="shared" si="16"/>
        <v>deelnemer 60</v>
      </c>
      <c r="BM14" s="152" t="str">
        <f t="shared" si="16"/>
        <v>deelnemer 61</v>
      </c>
      <c r="BN14" s="152" t="str">
        <f t="shared" si="16"/>
        <v>deelnemer 62</v>
      </c>
      <c r="BO14" s="152" t="str">
        <f t="shared" si="16"/>
        <v>deelnemer 63</v>
      </c>
      <c r="BP14" s="152" t="str">
        <f t="shared" si="16"/>
        <v>deelnemer 64</v>
      </c>
      <c r="BQ14" s="152" t="str">
        <f t="shared" si="16"/>
        <v>deelnemer 65</v>
      </c>
      <c r="BR14" s="152" t="str">
        <f t="shared" ref="BR14:DI14" si="17">BR2</f>
        <v>deelnemer 66</v>
      </c>
      <c r="BS14" s="152" t="str">
        <f t="shared" si="17"/>
        <v>deelnemer 67</v>
      </c>
      <c r="BT14" s="152" t="str">
        <f t="shared" si="17"/>
        <v>deelnemer 68</v>
      </c>
      <c r="BU14" s="152" t="str">
        <f t="shared" si="17"/>
        <v>deelnemer 69</v>
      </c>
      <c r="BV14" s="152" t="str">
        <f t="shared" si="17"/>
        <v>deelnemer 70</v>
      </c>
      <c r="BW14" s="152" t="str">
        <f t="shared" si="17"/>
        <v>deelnemer 71</v>
      </c>
      <c r="BX14" s="152" t="str">
        <f t="shared" si="17"/>
        <v>deelnemer 72</v>
      </c>
      <c r="BY14" s="152" t="str">
        <f t="shared" si="17"/>
        <v>deelnemer 73</v>
      </c>
      <c r="BZ14" s="152" t="str">
        <f t="shared" si="17"/>
        <v>deelnemer 74</v>
      </c>
      <c r="CA14" s="152" t="str">
        <f t="shared" si="17"/>
        <v>deelnemer 75</v>
      </c>
      <c r="CB14" s="152" t="str">
        <f t="shared" si="17"/>
        <v>deelnemer 76</v>
      </c>
      <c r="CC14" s="152" t="str">
        <f t="shared" si="17"/>
        <v>deelnemer 77</v>
      </c>
      <c r="CD14" s="152" t="str">
        <f t="shared" si="17"/>
        <v>deelnemer 78</v>
      </c>
      <c r="CE14" s="152" t="str">
        <f t="shared" si="17"/>
        <v>deelnemer 79</v>
      </c>
      <c r="CF14" s="152" t="str">
        <f t="shared" si="17"/>
        <v>deelnemer 80</v>
      </c>
      <c r="CG14" s="152" t="str">
        <f t="shared" si="17"/>
        <v>deelnemer 81</v>
      </c>
      <c r="CH14" s="152" t="str">
        <f t="shared" si="17"/>
        <v>deelnemer 82</v>
      </c>
      <c r="CI14" s="152" t="str">
        <f t="shared" si="17"/>
        <v>deelnemer 83</v>
      </c>
      <c r="CJ14" s="152" t="str">
        <f t="shared" si="17"/>
        <v>deelnemer 84</v>
      </c>
      <c r="CK14" s="152" t="str">
        <f t="shared" si="17"/>
        <v>deelnemer 85</v>
      </c>
      <c r="CL14" s="152" t="str">
        <f t="shared" si="17"/>
        <v>deelnemer 86</v>
      </c>
      <c r="CM14" s="152" t="str">
        <f t="shared" si="17"/>
        <v>deelnemer 87</v>
      </c>
      <c r="CN14" s="152" t="str">
        <f t="shared" si="17"/>
        <v>deelnemer 88</v>
      </c>
      <c r="CO14" s="152" t="str">
        <f t="shared" si="17"/>
        <v>deelnemer 89</v>
      </c>
      <c r="CP14" s="152" t="str">
        <f t="shared" si="17"/>
        <v>deelnemer 90</v>
      </c>
      <c r="CQ14" s="152" t="str">
        <f t="shared" si="17"/>
        <v>deelnemer 91</v>
      </c>
      <c r="CR14" s="152" t="str">
        <f t="shared" si="17"/>
        <v>deelnemer 92</v>
      </c>
      <c r="CS14" s="152" t="str">
        <f t="shared" si="17"/>
        <v>deelnemer 93</v>
      </c>
      <c r="CT14" s="152" t="str">
        <f t="shared" si="17"/>
        <v>deelnemer 94</v>
      </c>
      <c r="CU14" s="152" t="str">
        <f t="shared" si="17"/>
        <v>deelnemer 95</v>
      </c>
      <c r="CV14" s="152" t="str">
        <f t="shared" si="17"/>
        <v>deelnemer 96</v>
      </c>
      <c r="CW14" s="152" t="str">
        <f t="shared" si="17"/>
        <v>deelnemer 97</v>
      </c>
      <c r="CX14" s="152" t="str">
        <f t="shared" si="17"/>
        <v>deelnemer 98</v>
      </c>
      <c r="CY14" s="152" t="str">
        <f t="shared" si="17"/>
        <v>deelnemer 99</v>
      </c>
      <c r="CZ14" s="152" t="str">
        <f t="shared" si="17"/>
        <v>deelnemer 100</v>
      </c>
      <c r="DA14" s="152" t="str">
        <f t="shared" si="17"/>
        <v>deelnemer 101</v>
      </c>
      <c r="DB14" s="152" t="str">
        <f t="shared" si="17"/>
        <v>deelnemer 102</v>
      </c>
      <c r="DC14" s="152" t="str">
        <f t="shared" si="17"/>
        <v>deelnemer 103</v>
      </c>
      <c r="DD14" s="152" t="str">
        <f t="shared" si="17"/>
        <v>deelnemer 104</v>
      </c>
      <c r="DE14" s="152" t="str">
        <f t="shared" si="17"/>
        <v>deelnemer 105</v>
      </c>
      <c r="DF14" s="152" t="str">
        <f t="shared" si="17"/>
        <v>deelnemer 106</v>
      </c>
      <c r="DG14" s="152" t="str">
        <f t="shared" si="17"/>
        <v>deelnemer 107</v>
      </c>
      <c r="DH14" s="152" t="str">
        <f t="shared" si="17"/>
        <v>deelnemer 108</v>
      </c>
      <c r="DI14" s="152" t="str">
        <f t="shared" si="17"/>
        <v>deelnemer 109</v>
      </c>
      <c r="DL14" t="s">
        <v>2933</v>
      </c>
      <c r="DM14">
        <f>2*DM6</f>
        <v>30</v>
      </c>
    </row>
    <row r="15" spans="1:117">
      <c r="A15" t="s">
        <v>2942</v>
      </c>
      <c r="B15" s="153">
        <v>5</v>
      </c>
      <c r="C15" s="153">
        <v>1</v>
      </c>
      <c r="E15" s="154" t="s">
        <v>3091</v>
      </c>
      <c r="F15" s="154" t="s">
        <v>3093</v>
      </c>
      <c r="G15" s="154" t="s">
        <v>3101</v>
      </c>
      <c r="H15" s="154" t="s">
        <v>3098</v>
      </c>
      <c r="I15" s="154" t="s">
        <v>3091</v>
      </c>
      <c r="J15" s="154" t="s">
        <v>3091</v>
      </c>
      <c r="K15" s="154" t="s">
        <v>3091</v>
      </c>
      <c r="L15" s="154" t="s">
        <v>3098</v>
      </c>
      <c r="M15" s="154" t="s">
        <v>3091</v>
      </c>
      <c r="N15" s="154" t="s">
        <v>3092</v>
      </c>
      <c r="O15" s="154" t="s">
        <v>3091</v>
      </c>
      <c r="P15" s="154" t="s">
        <v>3091</v>
      </c>
      <c r="Q15" s="154" t="s">
        <v>3091</v>
      </c>
      <c r="R15" s="154" t="s">
        <v>3092</v>
      </c>
      <c r="S15" s="154" t="s">
        <v>3092</v>
      </c>
      <c r="T15" s="154" t="s">
        <v>3091</v>
      </c>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L15" t="s">
        <v>2894</v>
      </c>
      <c r="DM15">
        <f>DM7</f>
        <v>20</v>
      </c>
    </row>
    <row r="16" spans="1:117">
      <c r="B16" s="153">
        <v>1</v>
      </c>
      <c r="C16" s="153">
        <v>3</v>
      </c>
      <c r="E16" s="154" t="s">
        <v>3090</v>
      </c>
      <c r="F16" s="154" t="s">
        <v>3097</v>
      </c>
      <c r="G16" s="154" t="s">
        <v>3095</v>
      </c>
      <c r="H16" s="154" t="s">
        <v>3095</v>
      </c>
      <c r="I16" s="154" t="s">
        <v>3093</v>
      </c>
      <c r="J16" s="154" t="s">
        <v>3092</v>
      </c>
      <c r="K16" s="154" t="s">
        <v>3093</v>
      </c>
      <c r="L16" s="154" t="s">
        <v>3090</v>
      </c>
      <c r="M16" s="154" t="s">
        <v>3090</v>
      </c>
      <c r="N16" s="154" t="s">
        <v>3092</v>
      </c>
      <c r="O16" s="154" t="s">
        <v>3095</v>
      </c>
      <c r="P16" s="154" t="s">
        <v>3090</v>
      </c>
      <c r="Q16" s="154" t="s">
        <v>3090</v>
      </c>
      <c r="R16" s="154" t="s">
        <v>3095</v>
      </c>
      <c r="S16" s="154" t="s">
        <v>3103</v>
      </c>
      <c r="T16" s="154" t="s">
        <v>3097</v>
      </c>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row>
    <row r="17" spans="2:117">
      <c r="B17" s="153">
        <v>3</v>
      </c>
      <c r="C17" s="153">
        <v>0</v>
      </c>
      <c r="E17" s="154" t="s">
        <v>3092</v>
      </c>
      <c r="F17" s="154" t="s">
        <v>3097</v>
      </c>
      <c r="G17" s="154" t="s">
        <v>3092</v>
      </c>
      <c r="H17" s="154" t="s">
        <v>3092</v>
      </c>
      <c r="I17" s="154" t="s">
        <v>3097</v>
      </c>
      <c r="J17" s="154" t="s">
        <v>3091</v>
      </c>
      <c r="K17" s="154" t="s">
        <v>3092</v>
      </c>
      <c r="L17" s="154" t="s">
        <v>3097</v>
      </c>
      <c r="M17" s="154" t="s">
        <v>3093</v>
      </c>
      <c r="N17" s="154" t="s">
        <v>3103</v>
      </c>
      <c r="O17" s="154" t="s">
        <v>3091</v>
      </c>
      <c r="P17" s="154" t="s">
        <v>3092</v>
      </c>
      <c r="Q17" s="154" t="s">
        <v>3097</v>
      </c>
      <c r="R17" s="154" t="s">
        <v>3092</v>
      </c>
      <c r="S17" s="154" t="s">
        <v>3101</v>
      </c>
      <c r="T17" s="154" t="s">
        <v>3093</v>
      </c>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L17" t="s">
        <v>3074</v>
      </c>
      <c r="DM17">
        <f>SUM(DM9:DM16)</f>
        <v>414</v>
      </c>
    </row>
    <row r="18" spans="2:117">
      <c r="B18" s="153">
        <v>2</v>
      </c>
      <c r="C18" s="153">
        <v>1</v>
      </c>
      <c r="E18" s="154" t="s">
        <v>3093</v>
      </c>
      <c r="F18" s="154" t="s">
        <v>3093</v>
      </c>
      <c r="G18" s="154" t="s">
        <v>3091</v>
      </c>
      <c r="H18" s="154" t="s">
        <v>3091</v>
      </c>
      <c r="I18" s="154" t="s">
        <v>3096</v>
      </c>
      <c r="J18" s="154" t="s">
        <v>3097</v>
      </c>
      <c r="K18" s="154" t="s">
        <v>3091</v>
      </c>
      <c r="L18" s="154" t="s">
        <v>3091</v>
      </c>
      <c r="M18" s="154" t="s">
        <v>3091</v>
      </c>
      <c r="N18" s="154" t="s">
        <v>3091</v>
      </c>
      <c r="O18" s="154" t="s">
        <v>3091</v>
      </c>
      <c r="P18" s="154" t="s">
        <v>3093</v>
      </c>
      <c r="Q18" s="154" t="s">
        <v>3093</v>
      </c>
      <c r="R18" s="154" t="s">
        <v>3091</v>
      </c>
      <c r="S18" s="154" t="s">
        <v>3092</v>
      </c>
      <c r="T18" s="154" t="s">
        <v>3093</v>
      </c>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row>
    <row r="19" spans="2:117">
      <c r="B19" s="153" t="str">
        <f>IF('Tornooi schema pronostiek'!F14&lt;&gt;"",'Tornooi schema pronostiek'!F14,"")</f>
        <v/>
      </c>
      <c r="C19" s="153" t="str">
        <f>IF('Tornooi schema pronostiek'!G14&lt;&gt;"",'Tornooi schema pronostiek'!G14,"")</f>
        <v/>
      </c>
      <c r="E19" s="154" t="s">
        <v>3094</v>
      </c>
      <c r="F19" s="154" t="s">
        <v>3094</v>
      </c>
      <c r="G19" s="154" t="s">
        <v>3102</v>
      </c>
      <c r="H19" s="154" t="s">
        <v>3095</v>
      </c>
      <c r="I19" s="154" t="s">
        <v>3094</v>
      </c>
      <c r="J19" s="154" t="s">
        <v>3095</v>
      </c>
      <c r="K19" s="154" t="s">
        <v>3094</v>
      </c>
      <c r="L19" s="154" t="s">
        <v>3094</v>
      </c>
      <c r="M19" s="154" t="s">
        <v>3095</v>
      </c>
      <c r="N19" s="154" t="s">
        <v>3095</v>
      </c>
      <c r="O19" s="154" t="s">
        <v>3090</v>
      </c>
      <c r="P19" s="154" t="s">
        <v>3090</v>
      </c>
      <c r="Q19" s="154" t="s">
        <v>3090</v>
      </c>
      <c r="R19" s="154" t="s">
        <v>3095</v>
      </c>
      <c r="S19" s="154" t="s">
        <v>3094</v>
      </c>
      <c r="T19" s="154" t="s">
        <v>3094</v>
      </c>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row>
    <row r="20" spans="2:117">
      <c r="B20" s="153" t="str">
        <f>IF('Tornooi schema pronostiek'!F15&lt;&gt;"",'Tornooi schema pronostiek'!F15,"")</f>
        <v/>
      </c>
      <c r="C20" s="153" t="str">
        <f>IF('Tornooi schema pronostiek'!G15&lt;&gt;"",'Tornooi schema pronostiek'!G15,"")</f>
        <v/>
      </c>
      <c r="E20" s="154" t="s">
        <v>3090</v>
      </c>
      <c r="F20" s="154" t="s">
        <v>3090</v>
      </c>
      <c r="G20" s="154" t="s">
        <v>3095</v>
      </c>
      <c r="H20" s="154" t="s">
        <v>3094</v>
      </c>
      <c r="I20" s="154" t="s">
        <v>3102</v>
      </c>
      <c r="J20" s="154" t="s">
        <v>3095</v>
      </c>
      <c r="K20" s="154" t="s">
        <v>3090</v>
      </c>
      <c r="L20" s="154" t="s">
        <v>3095</v>
      </c>
      <c r="M20" s="154" t="s">
        <v>3097</v>
      </c>
      <c r="N20" s="154" t="s">
        <v>3095</v>
      </c>
      <c r="O20" s="154" t="s">
        <v>3090</v>
      </c>
      <c r="P20" s="154" t="s">
        <v>3095</v>
      </c>
      <c r="Q20" s="154" t="s">
        <v>3090</v>
      </c>
      <c r="R20" s="154" t="s">
        <v>3094</v>
      </c>
      <c r="S20" s="154" t="s">
        <v>3094</v>
      </c>
      <c r="T20" s="154" t="s">
        <v>3094</v>
      </c>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row>
    <row r="21" spans="2:117">
      <c r="B21" s="153" t="str">
        <f>IF('Tornooi schema pronostiek'!F16&lt;&gt;"",'Tornooi schema pronostiek'!F16,"")</f>
        <v/>
      </c>
      <c r="C21" s="153" t="str">
        <f>IF('Tornooi schema pronostiek'!G16&lt;&gt;"",'Tornooi schema pronostiek'!G16,"")</f>
        <v/>
      </c>
      <c r="E21" s="154" t="s">
        <v>3095</v>
      </c>
      <c r="F21" s="154" t="s">
        <v>3094</v>
      </c>
      <c r="G21" s="154" t="s">
        <v>3099</v>
      </c>
      <c r="H21" s="154" t="s">
        <v>3095</v>
      </c>
      <c r="I21" s="154" t="s">
        <v>3095</v>
      </c>
      <c r="J21" s="154" t="s">
        <v>3102</v>
      </c>
      <c r="K21" s="154" t="s">
        <v>3094</v>
      </c>
      <c r="L21" s="154" t="s">
        <v>3094</v>
      </c>
      <c r="M21" s="154" t="s">
        <v>3094</v>
      </c>
      <c r="N21" s="154" t="s">
        <v>3095</v>
      </c>
      <c r="O21" s="154" t="s">
        <v>3095</v>
      </c>
      <c r="P21" s="154" t="s">
        <v>3094</v>
      </c>
      <c r="Q21" s="154" t="s">
        <v>3094</v>
      </c>
      <c r="R21" s="154" t="s">
        <v>3094</v>
      </c>
      <c r="S21" s="154" t="s">
        <v>3102</v>
      </c>
      <c r="T21" s="154" t="s">
        <v>3102</v>
      </c>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row>
    <row r="22" spans="2:117">
      <c r="B22" s="153" t="str">
        <f>IF('Tornooi schema pronostiek'!F17&lt;&gt;"",'Tornooi schema pronostiek'!F17,"")</f>
        <v/>
      </c>
      <c r="C22" s="153" t="str">
        <f>IF('Tornooi schema pronostiek'!G17&lt;&gt;"",'Tornooi schema pronostiek'!G17,"")</f>
        <v/>
      </c>
      <c r="E22" s="154" t="s">
        <v>3094</v>
      </c>
      <c r="F22" s="154" t="s">
        <v>3090</v>
      </c>
      <c r="G22" s="154" t="s">
        <v>3090</v>
      </c>
      <c r="H22" s="154" t="s">
        <v>3090</v>
      </c>
      <c r="I22" s="154" t="s">
        <v>3094</v>
      </c>
      <c r="J22" s="154" t="s">
        <v>3097</v>
      </c>
      <c r="K22" s="154" t="s">
        <v>3090</v>
      </c>
      <c r="L22" s="154" t="s">
        <v>3090</v>
      </c>
      <c r="M22" s="154" t="s">
        <v>3090</v>
      </c>
      <c r="N22" s="154" t="s">
        <v>3090</v>
      </c>
      <c r="O22" s="154" t="s">
        <v>3094</v>
      </c>
      <c r="P22" s="154" t="s">
        <v>3090</v>
      </c>
      <c r="Q22" s="154" t="s">
        <v>3090</v>
      </c>
      <c r="R22" s="154" t="s">
        <v>3097</v>
      </c>
      <c r="S22" s="154" t="s">
        <v>3094</v>
      </c>
      <c r="T22" s="154" t="s">
        <v>3097</v>
      </c>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row>
    <row r="23" spans="2:117">
      <c r="B23" s="153" t="str">
        <f>IF('Tornooi schema pronostiek'!F18&lt;&gt;"",'Tornooi schema pronostiek'!F18,"")</f>
        <v/>
      </c>
      <c r="C23" s="153" t="str">
        <f>IF('Tornooi schema pronostiek'!G18&lt;&gt;"",'Tornooi schema pronostiek'!G18,"")</f>
        <v/>
      </c>
      <c r="E23" s="154" t="s">
        <v>3091</v>
      </c>
      <c r="F23" s="154" t="s">
        <v>3092</v>
      </c>
      <c r="G23" s="154" t="s">
        <v>3091</v>
      </c>
      <c r="H23" s="154" t="s">
        <v>3091</v>
      </c>
      <c r="I23" s="154" t="s">
        <v>3091</v>
      </c>
      <c r="J23" s="154" t="s">
        <v>3092</v>
      </c>
      <c r="K23" s="154" t="s">
        <v>3092</v>
      </c>
      <c r="L23" s="154" t="s">
        <v>3098</v>
      </c>
      <c r="M23" s="154" t="s">
        <v>3093</v>
      </c>
      <c r="N23" s="154" t="s">
        <v>3091</v>
      </c>
      <c r="O23" s="154" t="s">
        <v>3093</v>
      </c>
      <c r="P23" s="154" t="s">
        <v>3096</v>
      </c>
      <c r="Q23" s="154" t="s">
        <v>3091</v>
      </c>
      <c r="R23" s="154" t="s">
        <v>3092</v>
      </c>
      <c r="S23" s="154" t="s">
        <v>3096</v>
      </c>
      <c r="T23" s="154" t="s">
        <v>3092</v>
      </c>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row>
    <row r="24" spans="2:117">
      <c r="B24" s="153" t="str">
        <f>IF('Tornooi schema pronostiek'!F19&lt;&gt;"",'Tornooi schema pronostiek'!F19,"")</f>
        <v/>
      </c>
      <c r="C24" s="153" t="str">
        <f>IF('Tornooi schema pronostiek'!G19&lt;&gt;"",'Tornooi schema pronostiek'!G19,"")</f>
        <v/>
      </c>
      <c r="E24" s="154" t="s">
        <v>3094</v>
      </c>
      <c r="F24" s="154" t="s">
        <v>3094</v>
      </c>
      <c r="G24" s="154" t="s">
        <v>3102</v>
      </c>
      <c r="H24" s="154" t="s">
        <v>3094</v>
      </c>
      <c r="I24" s="154" t="s">
        <v>3090</v>
      </c>
      <c r="J24" s="154" t="s">
        <v>3102</v>
      </c>
      <c r="K24" s="154" t="s">
        <v>3094</v>
      </c>
      <c r="L24" s="154" t="s">
        <v>3095</v>
      </c>
      <c r="M24" s="154" t="s">
        <v>3094</v>
      </c>
      <c r="N24" s="154" t="s">
        <v>3094</v>
      </c>
      <c r="O24" s="154" t="s">
        <v>3095</v>
      </c>
      <c r="P24" s="154" t="s">
        <v>3097</v>
      </c>
      <c r="Q24" s="154" t="s">
        <v>3094</v>
      </c>
      <c r="R24" s="154" t="s">
        <v>3095</v>
      </c>
      <c r="S24" s="154" t="s">
        <v>3103</v>
      </c>
      <c r="T24" s="154" t="s">
        <v>3094</v>
      </c>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row>
    <row r="25" spans="2:117">
      <c r="B25" s="153" t="str">
        <f>IF('Tornooi schema pronostiek'!F20&lt;&gt;"",'Tornooi schema pronostiek'!F20,"")</f>
        <v/>
      </c>
      <c r="C25" s="153" t="str">
        <f>IF('Tornooi schema pronostiek'!G20&lt;&gt;"",'Tornooi schema pronostiek'!G20,"")</f>
        <v/>
      </c>
      <c r="E25" s="154" t="s">
        <v>3096</v>
      </c>
      <c r="F25" s="154" t="s">
        <v>3097</v>
      </c>
      <c r="G25" s="154" t="s">
        <v>3092</v>
      </c>
      <c r="H25" s="154" t="s">
        <v>3091</v>
      </c>
      <c r="I25" s="154" t="s">
        <v>3092</v>
      </c>
      <c r="J25" s="154" t="s">
        <v>3092</v>
      </c>
      <c r="K25" s="154" t="s">
        <v>3091</v>
      </c>
      <c r="L25" s="154" t="s">
        <v>3093</v>
      </c>
      <c r="M25" s="154" t="s">
        <v>3093</v>
      </c>
      <c r="N25" s="154" t="s">
        <v>3093</v>
      </c>
      <c r="O25" s="154" t="s">
        <v>3100</v>
      </c>
      <c r="P25" s="154" t="s">
        <v>3091</v>
      </c>
      <c r="Q25" s="154" t="s">
        <v>3093</v>
      </c>
      <c r="R25" s="154" t="s">
        <v>3093</v>
      </c>
      <c r="S25" s="154" t="s">
        <v>3106</v>
      </c>
      <c r="T25" s="154" t="s">
        <v>3097</v>
      </c>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row>
    <row r="26" spans="2:117">
      <c r="B26" s="153" t="str">
        <f>IF('Tornooi schema pronostiek'!F21&lt;&gt;"",'Tornooi schema pronostiek'!F21,"")</f>
        <v/>
      </c>
      <c r="C26" s="153" t="str">
        <f>IF('Tornooi schema pronostiek'!G21&lt;&gt;"",'Tornooi schema pronostiek'!G21,"")</f>
        <v/>
      </c>
      <c r="E26" s="154" t="s">
        <v>3091</v>
      </c>
      <c r="F26" s="154" t="s">
        <v>3091</v>
      </c>
      <c r="G26" s="154" t="s">
        <v>3091</v>
      </c>
      <c r="H26" s="154" t="s">
        <v>3092</v>
      </c>
      <c r="I26" s="154" t="s">
        <v>3092</v>
      </c>
      <c r="J26" s="154" t="s">
        <v>3091</v>
      </c>
      <c r="K26" s="154" t="s">
        <v>3091</v>
      </c>
      <c r="L26" s="154" t="s">
        <v>3091</v>
      </c>
      <c r="M26" s="154" t="s">
        <v>3093</v>
      </c>
      <c r="N26" s="154" t="s">
        <v>3091</v>
      </c>
      <c r="O26" s="154" t="s">
        <v>3091</v>
      </c>
      <c r="P26" s="154" t="s">
        <v>3097</v>
      </c>
      <c r="Q26" s="154" t="s">
        <v>3091</v>
      </c>
      <c r="R26" s="154" t="s">
        <v>3091</v>
      </c>
      <c r="S26" s="154" t="s">
        <v>3098</v>
      </c>
      <c r="T26" s="154" t="s">
        <v>3096</v>
      </c>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row>
    <row r="27" spans="2:117">
      <c r="B27" s="153" t="str">
        <f>IF('Tornooi schema pronostiek'!F22&lt;&gt;"",'Tornooi schema pronostiek'!F22,"")</f>
        <v/>
      </c>
      <c r="C27" s="153" t="str">
        <f>IF('Tornooi schema pronostiek'!G22&lt;&gt;"",'Tornooi schema pronostiek'!G22,"")</f>
        <v/>
      </c>
      <c r="E27" s="154" t="s">
        <v>3093</v>
      </c>
      <c r="F27" s="154" t="s">
        <v>3093</v>
      </c>
      <c r="G27" s="154" t="s">
        <v>3091</v>
      </c>
      <c r="H27" s="154" t="s">
        <v>3091</v>
      </c>
      <c r="I27" s="154" t="s">
        <v>3091</v>
      </c>
      <c r="J27" s="154" t="s">
        <v>3091</v>
      </c>
      <c r="K27" s="154" t="s">
        <v>3093</v>
      </c>
      <c r="L27" s="154" t="s">
        <v>3091</v>
      </c>
      <c r="M27" s="154" t="s">
        <v>3093</v>
      </c>
      <c r="N27" s="154" t="s">
        <v>3092</v>
      </c>
      <c r="O27" s="154" t="s">
        <v>3093</v>
      </c>
      <c r="P27" s="154" t="s">
        <v>3093</v>
      </c>
      <c r="Q27" s="154" t="s">
        <v>3091</v>
      </c>
      <c r="R27" s="154" t="s">
        <v>3091</v>
      </c>
      <c r="S27" s="154" t="s">
        <v>3097</v>
      </c>
      <c r="T27" s="154" t="s">
        <v>3091</v>
      </c>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row>
    <row r="28" spans="2:117">
      <c r="B28" s="153" t="str">
        <f>IF('Tornooi schema pronostiek'!F23&lt;&gt;"",'Tornooi schema pronostiek'!F23,"")</f>
        <v/>
      </c>
      <c r="C28" s="153" t="str">
        <f>IF('Tornooi schema pronostiek'!G23&lt;&gt;"",'Tornooi schema pronostiek'!G23,"")</f>
        <v/>
      </c>
      <c r="E28" s="154" t="s">
        <v>3096</v>
      </c>
      <c r="F28" s="154" t="s">
        <v>3093</v>
      </c>
      <c r="G28" s="154" t="s">
        <v>3091</v>
      </c>
      <c r="H28" s="154" t="s">
        <v>3091</v>
      </c>
      <c r="I28" s="154" t="s">
        <v>3098</v>
      </c>
      <c r="J28" s="154" t="s">
        <v>3092</v>
      </c>
      <c r="K28" s="154" t="s">
        <v>3093</v>
      </c>
      <c r="L28" s="154" t="s">
        <v>3091</v>
      </c>
      <c r="M28" s="154" t="s">
        <v>3091</v>
      </c>
      <c r="N28" s="154" t="s">
        <v>3092</v>
      </c>
      <c r="O28" s="154" t="s">
        <v>3091</v>
      </c>
      <c r="P28" s="154" t="s">
        <v>3096</v>
      </c>
      <c r="Q28" s="154" t="s">
        <v>3091</v>
      </c>
      <c r="R28" s="154" t="s">
        <v>3092</v>
      </c>
      <c r="S28" s="154" t="s">
        <v>3092</v>
      </c>
      <c r="T28" s="154" t="s">
        <v>3097</v>
      </c>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row>
    <row r="29" spans="2:117">
      <c r="B29" s="153" t="str">
        <f>IF('Tornooi schema pronostiek'!F24&lt;&gt;"",'Tornooi schema pronostiek'!F24,"")</f>
        <v/>
      </c>
      <c r="C29" s="153" t="str">
        <f>IF('Tornooi schema pronostiek'!G24&lt;&gt;"",'Tornooi schema pronostiek'!G24,"")</f>
        <v/>
      </c>
      <c r="E29" s="154" t="s">
        <v>3097</v>
      </c>
      <c r="F29" s="154" t="s">
        <v>3093</v>
      </c>
      <c r="G29" s="154" t="s">
        <v>3090</v>
      </c>
      <c r="H29" s="154" t="s">
        <v>3097</v>
      </c>
      <c r="I29" s="154" t="s">
        <v>3092</v>
      </c>
      <c r="J29" s="154" t="s">
        <v>3090</v>
      </c>
      <c r="K29" s="154" t="s">
        <v>3090</v>
      </c>
      <c r="L29" s="154" t="s">
        <v>3097</v>
      </c>
      <c r="M29" s="154" t="s">
        <v>3100</v>
      </c>
      <c r="N29" s="154" t="s">
        <v>3091</v>
      </c>
      <c r="O29" s="154" t="s">
        <v>3094</v>
      </c>
      <c r="P29" s="154" t="s">
        <v>3094</v>
      </c>
      <c r="Q29" s="154" t="s">
        <v>3090</v>
      </c>
      <c r="R29" s="154" t="s">
        <v>3097</v>
      </c>
      <c r="S29" s="154" t="s">
        <v>3100</v>
      </c>
      <c r="T29" s="154" t="s">
        <v>3097</v>
      </c>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row>
    <row r="30" spans="2:117">
      <c r="B30" s="153" t="str">
        <f>IF('Tornooi schema pronostiek'!F25&lt;&gt;"",'Tornooi schema pronostiek'!F25,"")</f>
        <v/>
      </c>
      <c r="C30" s="153" t="str">
        <f>IF('Tornooi schema pronostiek'!G25&lt;&gt;"",'Tornooi schema pronostiek'!G25,"")</f>
        <v/>
      </c>
      <c r="E30" s="154" t="s">
        <v>3090</v>
      </c>
      <c r="F30" s="154" t="s">
        <v>3090</v>
      </c>
      <c r="G30" s="154" t="s">
        <v>3097</v>
      </c>
      <c r="H30" s="154" t="s">
        <v>3095</v>
      </c>
      <c r="I30" s="154" t="s">
        <v>3090</v>
      </c>
      <c r="J30" s="154" t="s">
        <v>3097</v>
      </c>
      <c r="K30" s="154" t="s">
        <v>3090</v>
      </c>
      <c r="L30" s="154" t="s">
        <v>3097</v>
      </c>
      <c r="M30" s="154" t="s">
        <v>3097</v>
      </c>
      <c r="N30" s="154" t="s">
        <v>3090</v>
      </c>
      <c r="O30" s="154" t="s">
        <v>3090</v>
      </c>
      <c r="P30" s="154" t="s">
        <v>3100</v>
      </c>
      <c r="Q30" s="154" t="s">
        <v>3090</v>
      </c>
      <c r="R30" s="154" t="s">
        <v>3090</v>
      </c>
      <c r="S30" s="154" t="s">
        <v>3102</v>
      </c>
      <c r="T30" s="154" t="s">
        <v>3090</v>
      </c>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row>
    <row r="31" spans="2:117">
      <c r="B31" s="153" t="str">
        <f>IF('Tornooi schema pronostiek'!F26&lt;&gt;"",'Tornooi schema pronostiek'!F26,"")</f>
        <v/>
      </c>
      <c r="C31" s="153" t="str">
        <f>IF('Tornooi schema pronostiek'!G26&lt;&gt;"",'Tornooi schema pronostiek'!G26,"")</f>
        <v/>
      </c>
      <c r="E31" s="154" t="s">
        <v>3095</v>
      </c>
      <c r="F31" s="154" t="s">
        <v>3094</v>
      </c>
      <c r="G31" s="154" t="s">
        <v>3095</v>
      </c>
      <c r="H31" s="154" t="s">
        <v>3095</v>
      </c>
      <c r="I31" s="154" t="s">
        <v>3103</v>
      </c>
      <c r="J31" s="154" t="s">
        <v>3095</v>
      </c>
      <c r="K31" s="154" t="s">
        <v>3094</v>
      </c>
      <c r="L31" s="154" t="s">
        <v>3095</v>
      </c>
      <c r="M31" s="154" t="s">
        <v>3094</v>
      </c>
      <c r="N31" s="154" t="s">
        <v>3095</v>
      </c>
      <c r="O31" s="154" t="s">
        <v>3095</v>
      </c>
      <c r="P31" s="154" t="s">
        <v>3102</v>
      </c>
      <c r="Q31" s="154" t="s">
        <v>3090</v>
      </c>
      <c r="R31" s="154" t="s">
        <v>3095</v>
      </c>
      <c r="S31" s="154" t="s">
        <v>3105</v>
      </c>
      <c r="T31" s="154" t="s">
        <v>3097</v>
      </c>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row>
    <row r="32" spans="2:117">
      <c r="B32" s="153" t="str">
        <f>IF('Tornooi schema pronostiek'!F27&lt;&gt;"",'Tornooi schema pronostiek'!F27,"")</f>
        <v/>
      </c>
      <c r="C32" s="153" t="str">
        <f>IF('Tornooi schema pronostiek'!G27&lt;&gt;"",'Tornooi schema pronostiek'!G27,"")</f>
        <v/>
      </c>
      <c r="E32" s="154" t="s">
        <v>3092</v>
      </c>
      <c r="F32" s="154" t="s">
        <v>3093</v>
      </c>
      <c r="G32" s="154" t="s">
        <v>3103</v>
      </c>
      <c r="H32" s="154" t="s">
        <v>3097</v>
      </c>
      <c r="I32" s="154" t="s">
        <v>3098</v>
      </c>
      <c r="J32" s="154" t="s">
        <v>3101</v>
      </c>
      <c r="K32" s="154" t="s">
        <v>3093</v>
      </c>
      <c r="L32" s="154" t="s">
        <v>3092</v>
      </c>
      <c r="M32" s="154" t="s">
        <v>3092</v>
      </c>
      <c r="N32" s="154" t="s">
        <v>3092</v>
      </c>
      <c r="O32" s="154" t="s">
        <v>3097</v>
      </c>
      <c r="P32" s="154" t="s">
        <v>3091</v>
      </c>
      <c r="Q32" s="154" t="s">
        <v>3093</v>
      </c>
      <c r="R32" s="154" t="s">
        <v>3097</v>
      </c>
      <c r="S32" s="154" t="s">
        <v>3107</v>
      </c>
      <c r="T32" s="154" t="s">
        <v>3093</v>
      </c>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row>
    <row r="33" spans="2:113">
      <c r="B33" s="153" t="str">
        <f>IF('Tornooi schema pronostiek'!F28&lt;&gt;"",'Tornooi schema pronostiek'!F28,"")</f>
        <v/>
      </c>
      <c r="C33" s="153" t="str">
        <f>IF('Tornooi schema pronostiek'!G28&lt;&gt;"",'Tornooi schema pronostiek'!G28,"")</f>
        <v/>
      </c>
      <c r="E33" s="154" t="s">
        <v>3090</v>
      </c>
      <c r="F33" s="154" t="s">
        <v>3090</v>
      </c>
      <c r="G33" s="154" t="s">
        <v>3090</v>
      </c>
      <c r="H33" s="154" t="s">
        <v>3090</v>
      </c>
      <c r="I33" s="154" t="s">
        <v>3095</v>
      </c>
      <c r="J33" s="154" t="s">
        <v>3095</v>
      </c>
      <c r="K33" s="154" t="s">
        <v>3090</v>
      </c>
      <c r="L33" s="154" t="s">
        <v>3095</v>
      </c>
      <c r="M33" s="154" t="s">
        <v>3090</v>
      </c>
      <c r="N33" s="154" t="s">
        <v>3090</v>
      </c>
      <c r="O33" s="154" t="s">
        <v>3100</v>
      </c>
      <c r="P33" s="154" t="s">
        <v>3090</v>
      </c>
      <c r="Q33" s="154" t="s">
        <v>3090</v>
      </c>
      <c r="R33" s="154" t="s">
        <v>3097</v>
      </c>
      <c r="S33" s="154" t="s">
        <v>3093</v>
      </c>
      <c r="T33" s="154" t="s">
        <v>3090</v>
      </c>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row>
    <row r="34" spans="2:113">
      <c r="B34" s="153" t="str">
        <f>IF('Tornooi schema pronostiek'!F29&lt;&gt;"",'Tornooi schema pronostiek'!F29,"")</f>
        <v/>
      </c>
      <c r="C34" s="153" t="str">
        <f>IF('Tornooi schema pronostiek'!G29&lt;&gt;"",'Tornooi schema pronostiek'!G29,"")</f>
        <v/>
      </c>
      <c r="E34" s="154" t="s">
        <v>3097</v>
      </c>
      <c r="F34" s="154" t="s">
        <v>3094</v>
      </c>
      <c r="G34" s="154" t="s">
        <v>3093</v>
      </c>
      <c r="H34" s="154" t="s">
        <v>3097</v>
      </c>
      <c r="I34" s="154" t="s">
        <v>3095</v>
      </c>
      <c r="J34" s="154" t="s">
        <v>3095</v>
      </c>
      <c r="K34" s="154" t="s">
        <v>3090</v>
      </c>
      <c r="L34" s="154" t="s">
        <v>3094</v>
      </c>
      <c r="M34" s="154" t="s">
        <v>3093</v>
      </c>
      <c r="N34" s="154" t="s">
        <v>3097</v>
      </c>
      <c r="O34" s="154" t="s">
        <v>3094</v>
      </c>
      <c r="P34" s="154" t="s">
        <v>3095</v>
      </c>
      <c r="Q34" s="154" t="s">
        <v>3094</v>
      </c>
      <c r="R34" s="154" t="s">
        <v>3092</v>
      </c>
      <c r="S34" s="154" t="s">
        <v>3092</v>
      </c>
      <c r="T34" s="154" t="s">
        <v>3097</v>
      </c>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row>
    <row r="35" spans="2:113">
      <c r="B35" s="153" t="str">
        <f>IF('Tornooi schema pronostiek'!F30&lt;&gt;"",'Tornooi schema pronostiek'!F30,"")</f>
        <v/>
      </c>
      <c r="C35" s="153" t="str">
        <f>IF('Tornooi schema pronostiek'!G30&lt;&gt;"",'Tornooi schema pronostiek'!G30,"")</f>
        <v/>
      </c>
      <c r="E35" s="154" t="s">
        <v>3097</v>
      </c>
      <c r="F35" s="154" t="s">
        <v>3095</v>
      </c>
      <c r="G35" s="154" t="s">
        <v>3095</v>
      </c>
      <c r="H35" s="154" t="s">
        <v>3095</v>
      </c>
      <c r="I35" s="154" t="s">
        <v>3100</v>
      </c>
      <c r="J35" s="154" t="s">
        <v>3102</v>
      </c>
      <c r="K35" s="154" t="s">
        <v>3095</v>
      </c>
      <c r="L35" s="154" t="s">
        <v>3095</v>
      </c>
      <c r="M35" s="154" t="s">
        <v>3095</v>
      </c>
      <c r="N35" s="154" t="s">
        <v>3095</v>
      </c>
      <c r="O35" s="154" t="s">
        <v>3097</v>
      </c>
      <c r="P35" s="154" t="s">
        <v>3102</v>
      </c>
      <c r="Q35" s="154" t="s">
        <v>3094</v>
      </c>
      <c r="R35" s="154" t="s">
        <v>3095</v>
      </c>
      <c r="S35" s="154" t="s">
        <v>3108</v>
      </c>
      <c r="T35" s="154" t="s">
        <v>3095</v>
      </c>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row>
    <row r="36" spans="2:113">
      <c r="B36" s="153" t="str">
        <f>IF('Tornooi schema pronostiek'!F31&lt;&gt;"",'Tornooi schema pronostiek'!F31,"")</f>
        <v/>
      </c>
      <c r="C36" s="153" t="str">
        <f>IF('Tornooi schema pronostiek'!G31&lt;&gt;"",'Tornooi schema pronostiek'!G31,"")</f>
        <v/>
      </c>
      <c r="E36" s="154" t="s">
        <v>3090</v>
      </c>
      <c r="F36" s="154" t="s">
        <v>3090</v>
      </c>
      <c r="G36" s="154" t="s">
        <v>3090</v>
      </c>
      <c r="H36" s="154" t="s">
        <v>3102</v>
      </c>
      <c r="I36" s="154" t="s">
        <v>3090</v>
      </c>
      <c r="J36" s="154" t="s">
        <v>3097</v>
      </c>
      <c r="K36" s="154" t="s">
        <v>3090</v>
      </c>
      <c r="L36" s="154" t="s">
        <v>3090</v>
      </c>
      <c r="M36" s="154" t="s">
        <v>3090</v>
      </c>
      <c r="N36" s="154" t="s">
        <v>3095</v>
      </c>
      <c r="O36" s="154" t="s">
        <v>3100</v>
      </c>
      <c r="P36" s="154" t="s">
        <v>3094</v>
      </c>
      <c r="Q36" s="154" t="s">
        <v>3090</v>
      </c>
      <c r="R36" s="154" t="s">
        <v>3094</v>
      </c>
      <c r="S36" s="154" t="s">
        <v>3094</v>
      </c>
      <c r="T36" s="154" t="s">
        <v>3090</v>
      </c>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row>
    <row r="37" spans="2:113">
      <c r="B37" s="153" t="str">
        <f>IF('Tornooi schema pronostiek'!F32&lt;&gt;"",'Tornooi schema pronostiek'!F32,"")</f>
        <v/>
      </c>
      <c r="C37" s="153" t="str">
        <f>IF('Tornooi schema pronostiek'!G32&lt;&gt;"",'Tornooi schema pronostiek'!G32,"")</f>
        <v/>
      </c>
      <c r="E37" s="154" t="s">
        <v>3090</v>
      </c>
      <c r="F37" s="154" t="s">
        <v>3094</v>
      </c>
      <c r="G37" s="154" t="s">
        <v>3095</v>
      </c>
      <c r="H37" s="154" t="s">
        <v>3105</v>
      </c>
      <c r="I37" s="154" t="s">
        <v>3095</v>
      </c>
      <c r="J37" s="154" t="s">
        <v>3099</v>
      </c>
      <c r="K37" s="154" t="s">
        <v>3095</v>
      </c>
      <c r="L37" s="154" t="s">
        <v>3095</v>
      </c>
      <c r="M37" s="154" t="s">
        <v>3095</v>
      </c>
      <c r="N37" s="154" t="s">
        <v>3090</v>
      </c>
      <c r="O37" s="154" t="s">
        <v>3105</v>
      </c>
      <c r="P37" s="154" t="s">
        <v>3095</v>
      </c>
      <c r="Q37" s="154" t="s">
        <v>3094</v>
      </c>
      <c r="R37" s="154" t="s">
        <v>3095</v>
      </c>
      <c r="S37" s="154" t="s">
        <v>3095</v>
      </c>
      <c r="T37" s="154" t="s">
        <v>3094</v>
      </c>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row>
    <row r="38" spans="2:113">
      <c r="B38" s="153" t="str">
        <f>IF('Tornooi schema pronostiek'!F33&lt;&gt;"",'Tornooi schema pronostiek'!F33,"")</f>
        <v/>
      </c>
      <c r="C38" s="153" t="str">
        <f>IF('Tornooi schema pronostiek'!G33&lt;&gt;"",'Tornooi schema pronostiek'!G33,"")</f>
        <v/>
      </c>
      <c r="E38" s="154" t="s">
        <v>3098</v>
      </c>
      <c r="F38" s="154" t="s">
        <v>3091</v>
      </c>
      <c r="G38" s="154" t="s">
        <v>3098</v>
      </c>
      <c r="H38" s="154" t="s">
        <v>3096</v>
      </c>
      <c r="I38" s="154" t="s">
        <v>3096</v>
      </c>
      <c r="J38" s="154" t="s">
        <v>3097</v>
      </c>
      <c r="K38" s="154" t="s">
        <v>3091</v>
      </c>
      <c r="L38" s="154" t="s">
        <v>3091</v>
      </c>
      <c r="M38" s="154" t="s">
        <v>3091</v>
      </c>
      <c r="N38" s="154" t="s">
        <v>3091</v>
      </c>
      <c r="O38" s="154" t="s">
        <v>3096</v>
      </c>
      <c r="P38" s="154" t="s">
        <v>3092</v>
      </c>
      <c r="Q38" s="154" t="s">
        <v>3091</v>
      </c>
      <c r="R38" s="154" t="s">
        <v>3091</v>
      </c>
      <c r="S38" s="154" t="s">
        <v>3096</v>
      </c>
      <c r="T38" s="154" t="s">
        <v>3096</v>
      </c>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row>
    <row r="39" spans="2:113">
      <c r="B39" s="153" t="str">
        <f>IF('Tornooi schema pronostiek'!F34&lt;&gt;"",'Tornooi schema pronostiek'!F34,"")</f>
        <v/>
      </c>
      <c r="C39" s="153" t="str">
        <f>IF('Tornooi schema pronostiek'!G34&lt;&gt;"",'Tornooi schema pronostiek'!G34,"")</f>
        <v/>
      </c>
      <c r="E39" s="154" t="s">
        <v>3095</v>
      </c>
      <c r="F39" s="154" t="s">
        <v>3090</v>
      </c>
      <c r="G39" s="154" t="s">
        <v>3095</v>
      </c>
      <c r="H39" s="154" t="s">
        <v>3095</v>
      </c>
      <c r="I39" s="154" t="s">
        <v>3097</v>
      </c>
      <c r="J39" s="154" t="s">
        <v>3097</v>
      </c>
      <c r="K39" s="154" t="s">
        <v>3090</v>
      </c>
      <c r="L39" s="154" t="s">
        <v>3095</v>
      </c>
      <c r="M39" s="154" t="s">
        <v>3090</v>
      </c>
      <c r="N39" s="154" t="s">
        <v>3090</v>
      </c>
      <c r="O39" s="154" t="s">
        <v>3095</v>
      </c>
      <c r="P39" s="154" t="s">
        <v>3097</v>
      </c>
      <c r="Q39" s="154" t="s">
        <v>3090</v>
      </c>
      <c r="R39" s="154" t="s">
        <v>3095</v>
      </c>
      <c r="S39" s="154" t="s">
        <v>3090</v>
      </c>
      <c r="T39" s="154" t="s">
        <v>3102</v>
      </c>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row>
    <row r="40" spans="2:113">
      <c r="B40" s="153" t="str">
        <f>IF('Tornooi schema pronostiek'!F35&lt;&gt;"",'Tornooi schema pronostiek'!F35,"")</f>
        <v/>
      </c>
      <c r="C40" s="153" t="str">
        <f>IF('Tornooi schema pronostiek'!G35&lt;&gt;"",'Tornooi schema pronostiek'!G35,"")</f>
        <v/>
      </c>
      <c r="E40" s="154" t="s">
        <v>3093</v>
      </c>
      <c r="F40" s="154" t="s">
        <v>3093</v>
      </c>
      <c r="G40" s="154" t="s">
        <v>3093</v>
      </c>
      <c r="H40" s="154" t="s">
        <v>3095</v>
      </c>
      <c r="I40" s="154" t="s">
        <v>3103</v>
      </c>
      <c r="J40" s="154" t="s">
        <v>3095</v>
      </c>
      <c r="K40" s="154" t="s">
        <v>3090</v>
      </c>
      <c r="L40" s="154" t="s">
        <v>3093</v>
      </c>
      <c r="M40" s="154" t="s">
        <v>3093</v>
      </c>
      <c r="N40" s="154" t="s">
        <v>3097</v>
      </c>
      <c r="O40" s="154" t="s">
        <v>3093</v>
      </c>
      <c r="P40" s="154" t="s">
        <v>3090</v>
      </c>
      <c r="Q40" s="154" t="s">
        <v>3097</v>
      </c>
      <c r="R40" s="154" t="s">
        <v>3097</v>
      </c>
      <c r="S40" s="154" t="s">
        <v>3093</v>
      </c>
      <c r="T40" s="154" t="s">
        <v>3090</v>
      </c>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row>
    <row r="41" spans="2:113">
      <c r="B41" s="153" t="str">
        <f>IF('Tornooi schema pronostiek'!F36&lt;&gt;"",'Tornooi schema pronostiek'!F36,"")</f>
        <v/>
      </c>
      <c r="C41" s="153" t="str">
        <f>IF('Tornooi schema pronostiek'!G36&lt;&gt;"",'Tornooi schema pronostiek'!G36,"")</f>
        <v/>
      </c>
      <c r="E41" s="154" t="s">
        <v>3094</v>
      </c>
      <c r="F41" s="154" t="s">
        <v>3094</v>
      </c>
      <c r="G41" s="154" t="s">
        <v>3104</v>
      </c>
      <c r="H41" s="154" t="s">
        <v>3099</v>
      </c>
      <c r="I41" s="154" t="s">
        <v>3099</v>
      </c>
      <c r="J41" s="154" t="s">
        <v>3094</v>
      </c>
      <c r="K41" s="154" t="s">
        <v>3090</v>
      </c>
      <c r="L41" s="154" t="s">
        <v>3094</v>
      </c>
      <c r="M41" s="154" t="s">
        <v>3099</v>
      </c>
      <c r="N41" s="154" t="s">
        <v>3094</v>
      </c>
      <c r="O41" s="154" t="s">
        <v>3094</v>
      </c>
      <c r="P41" s="154" t="s">
        <v>3094</v>
      </c>
      <c r="Q41" s="154" t="s">
        <v>3094</v>
      </c>
      <c r="R41" s="154" t="s">
        <v>3099</v>
      </c>
      <c r="S41" s="154" t="s">
        <v>3095</v>
      </c>
      <c r="T41" s="154" t="s">
        <v>3099</v>
      </c>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row>
    <row r="42" spans="2:113">
      <c r="B42" s="153" t="str">
        <f>IF('Tornooi schema pronostiek'!F37&lt;&gt;"",'Tornooi schema pronostiek'!F37,"")</f>
        <v/>
      </c>
      <c r="C42" s="153" t="str">
        <f>IF('Tornooi schema pronostiek'!G37&lt;&gt;"",'Tornooi schema pronostiek'!G37,"")</f>
        <v/>
      </c>
      <c r="E42" s="154" t="s">
        <v>3097</v>
      </c>
      <c r="F42" s="154" t="s">
        <v>3090</v>
      </c>
      <c r="G42" s="154" t="s">
        <v>3093</v>
      </c>
      <c r="H42" s="154" t="s">
        <v>3097</v>
      </c>
      <c r="I42" s="154" t="s">
        <v>3097</v>
      </c>
      <c r="J42" s="154" t="s">
        <v>3092</v>
      </c>
      <c r="K42" s="154" t="s">
        <v>3097</v>
      </c>
      <c r="L42" s="154" t="s">
        <v>3092</v>
      </c>
      <c r="M42" s="154" t="s">
        <v>3097</v>
      </c>
      <c r="N42" s="154" t="s">
        <v>3097</v>
      </c>
      <c r="O42" s="154" t="s">
        <v>3090</v>
      </c>
      <c r="P42" s="154" t="s">
        <v>3091</v>
      </c>
      <c r="Q42" s="154" t="s">
        <v>3097</v>
      </c>
      <c r="R42" s="154" t="s">
        <v>3097</v>
      </c>
      <c r="S42" s="154" t="s">
        <v>3092</v>
      </c>
      <c r="T42" s="154" t="s">
        <v>3097</v>
      </c>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row>
    <row r="43" spans="2:113">
      <c r="B43" s="153" t="str">
        <f>IF('Tornooi schema pronostiek'!F38&lt;&gt;"",'Tornooi schema pronostiek'!F38,"")</f>
        <v/>
      </c>
      <c r="C43" s="153" t="str">
        <f>IF('Tornooi schema pronostiek'!G38&lt;&gt;"",'Tornooi schema pronostiek'!G38,"")</f>
        <v/>
      </c>
      <c r="E43" s="154" t="s">
        <v>3092</v>
      </c>
      <c r="F43" s="154" t="s">
        <v>3091</v>
      </c>
      <c r="G43" s="154" t="s">
        <v>3092</v>
      </c>
      <c r="H43" s="154" t="s">
        <v>3091</v>
      </c>
      <c r="I43" s="154" t="s">
        <v>3097</v>
      </c>
      <c r="J43" s="154" t="s">
        <v>3097</v>
      </c>
      <c r="K43" s="154" t="s">
        <v>3092</v>
      </c>
      <c r="L43" s="154" t="s">
        <v>3095</v>
      </c>
      <c r="M43" s="154" t="s">
        <v>3093</v>
      </c>
      <c r="N43" s="154" t="s">
        <v>3092</v>
      </c>
      <c r="O43" s="154" t="s">
        <v>3091</v>
      </c>
      <c r="P43" s="154" t="s">
        <v>3097</v>
      </c>
      <c r="Q43" s="154" t="s">
        <v>3097</v>
      </c>
      <c r="R43" s="154" t="s">
        <v>3092</v>
      </c>
      <c r="S43" s="154" t="s">
        <v>3091</v>
      </c>
      <c r="T43" s="154" t="s">
        <v>3103</v>
      </c>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row>
    <row r="44" spans="2:113">
      <c r="B44" s="153" t="str">
        <f>IF('Tornooi schema pronostiek'!F39&lt;&gt;"",'Tornooi schema pronostiek'!F39,"")</f>
        <v/>
      </c>
      <c r="C44" s="153" t="str">
        <f>IF('Tornooi schema pronostiek'!G39&lt;&gt;"",'Tornooi schema pronostiek'!G39,"")</f>
        <v/>
      </c>
      <c r="E44" s="154" t="s">
        <v>3091</v>
      </c>
      <c r="F44" s="154" t="s">
        <v>3091</v>
      </c>
      <c r="G44" s="154" t="s">
        <v>3098</v>
      </c>
      <c r="H44" s="154" t="s">
        <v>3093</v>
      </c>
      <c r="I44" s="154" t="s">
        <v>3091</v>
      </c>
      <c r="J44" s="154" t="s">
        <v>3091</v>
      </c>
      <c r="K44" s="154" t="s">
        <v>3091</v>
      </c>
      <c r="L44" s="154" t="s">
        <v>3091</v>
      </c>
      <c r="M44" s="154" t="s">
        <v>3091</v>
      </c>
      <c r="N44" s="154" t="s">
        <v>3093</v>
      </c>
      <c r="O44" s="154" t="s">
        <v>3093</v>
      </c>
      <c r="P44" s="154" t="s">
        <v>3091</v>
      </c>
      <c r="Q44" s="154" t="s">
        <v>3091</v>
      </c>
      <c r="R44" s="154" t="s">
        <v>3091</v>
      </c>
      <c r="S44" s="154" t="s">
        <v>3093</v>
      </c>
      <c r="T44" s="154" t="s">
        <v>3096</v>
      </c>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row>
    <row r="45" spans="2:113">
      <c r="B45" s="153" t="str">
        <f>IF('Tornooi schema pronostiek'!F40&lt;&gt;"",'Tornooi schema pronostiek'!F40,"")</f>
        <v/>
      </c>
      <c r="C45" s="153" t="str">
        <f>IF('Tornooi schema pronostiek'!G40&lt;&gt;"",'Tornooi schema pronostiek'!G40,"")</f>
        <v/>
      </c>
      <c r="E45" s="154" t="s">
        <v>3096</v>
      </c>
      <c r="F45" s="154" t="s">
        <v>3091</v>
      </c>
      <c r="G45" s="154" t="s">
        <v>3091</v>
      </c>
      <c r="H45" s="154" t="s">
        <v>3091</v>
      </c>
      <c r="I45" s="154" t="s">
        <v>3096</v>
      </c>
      <c r="J45" s="154" t="s">
        <v>3092</v>
      </c>
      <c r="K45" s="154" t="s">
        <v>3091</v>
      </c>
      <c r="L45" s="154" t="s">
        <v>3091</v>
      </c>
      <c r="M45" s="154" t="s">
        <v>3091</v>
      </c>
      <c r="N45" s="154" t="s">
        <v>3092</v>
      </c>
      <c r="O45" s="154" t="s">
        <v>3096</v>
      </c>
      <c r="P45" s="154" t="s">
        <v>3093</v>
      </c>
      <c r="Q45" s="154" t="s">
        <v>3091</v>
      </c>
      <c r="R45" s="154" t="s">
        <v>3091</v>
      </c>
      <c r="S45" s="154" t="s">
        <v>3101</v>
      </c>
      <c r="T45" s="154" t="s">
        <v>3091</v>
      </c>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row>
    <row r="46" spans="2:113">
      <c r="B46" s="153" t="str">
        <f>IF('Tornooi schema pronostiek'!F41&lt;&gt;"",'Tornooi schema pronostiek'!F41,"")</f>
        <v/>
      </c>
      <c r="C46" s="153" t="str">
        <f>IF('Tornooi schema pronostiek'!G41&lt;&gt;"",'Tornooi schema pronostiek'!G41,"")</f>
        <v/>
      </c>
      <c r="E46" s="154" t="s">
        <v>3097</v>
      </c>
      <c r="F46" s="154" t="s">
        <v>3097</v>
      </c>
      <c r="G46" s="154" t="s">
        <v>3093</v>
      </c>
      <c r="H46" s="154" t="s">
        <v>3097</v>
      </c>
      <c r="I46" s="154" t="s">
        <v>3092</v>
      </c>
      <c r="J46" s="154" t="s">
        <v>3097</v>
      </c>
      <c r="K46" s="154" t="s">
        <v>3093</v>
      </c>
      <c r="L46" s="154" t="s">
        <v>3093</v>
      </c>
      <c r="M46" s="154" t="s">
        <v>3093</v>
      </c>
      <c r="N46" s="154" t="s">
        <v>3093</v>
      </c>
      <c r="O46" s="154" t="s">
        <v>3093</v>
      </c>
      <c r="P46" s="154" t="s">
        <v>3097</v>
      </c>
      <c r="Q46" s="154" t="s">
        <v>3093</v>
      </c>
      <c r="R46" s="154" t="s">
        <v>3092</v>
      </c>
      <c r="S46" s="154" t="s">
        <v>3094</v>
      </c>
      <c r="T46" s="154" t="s">
        <v>3097</v>
      </c>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row>
    <row r="47" spans="2:113">
      <c r="B47" s="153" t="str">
        <f>IF('Tornooi schema pronostiek'!F42&lt;&gt;"",'Tornooi schema pronostiek'!F42,"")</f>
        <v/>
      </c>
      <c r="C47" s="153" t="str">
        <f>IF('Tornooi schema pronostiek'!G42&lt;&gt;"",'Tornooi schema pronostiek'!G42,"")</f>
        <v/>
      </c>
      <c r="E47" s="154" t="s">
        <v>3097</v>
      </c>
      <c r="F47" s="154" t="s">
        <v>3100</v>
      </c>
      <c r="G47" s="154" t="s">
        <v>3097</v>
      </c>
      <c r="H47" s="154" t="s">
        <v>3094</v>
      </c>
      <c r="I47" s="154" t="s">
        <v>3092</v>
      </c>
      <c r="J47" s="154" t="s">
        <v>3095</v>
      </c>
      <c r="K47" s="154" t="s">
        <v>3093</v>
      </c>
      <c r="L47" s="154" t="s">
        <v>3093</v>
      </c>
      <c r="M47" s="154" t="s">
        <v>3093</v>
      </c>
      <c r="N47" s="154" t="s">
        <v>3097</v>
      </c>
      <c r="O47" s="154" t="s">
        <v>3097</v>
      </c>
      <c r="P47" s="154" t="s">
        <v>3090</v>
      </c>
      <c r="Q47" s="154" t="s">
        <v>3100</v>
      </c>
      <c r="R47" s="154" t="s">
        <v>3097</v>
      </c>
      <c r="S47" s="154" t="s">
        <v>3093</v>
      </c>
      <c r="T47" s="154" t="s">
        <v>3097</v>
      </c>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row>
    <row r="48" spans="2:113">
      <c r="B48" s="153" t="str">
        <f>IF('Tornooi schema pronostiek'!F43&lt;&gt;"",'Tornooi schema pronostiek'!F43,"")</f>
        <v/>
      </c>
      <c r="C48" s="153" t="str">
        <f>IF('Tornooi schema pronostiek'!G43&lt;&gt;"",'Tornooi schema pronostiek'!G43,"")</f>
        <v/>
      </c>
      <c r="E48" s="154" t="s">
        <v>3097</v>
      </c>
      <c r="F48" s="154" t="s">
        <v>3095</v>
      </c>
      <c r="G48" s="154" t="s">
        <v>3094</v>
      </c>
      <c r="H48" s="154" t="s">
        <v>3095</v>
      </c>
      <c r="I48" s="154" t="s">
        <v>3105</v>
      </c>
      <c r="J48" s="154" t="s">
        <v>3102</v>
      </c>
      <c r="K48" s="154" t="s">
        <v>3095</v>
      </c>
      <c r="L48" s="154" t="s">
        <v>3095</v>
      </c>
      <c r="M48" s="154" t="s">
        <v>3090</v>
      </c>
      <c r="N48" s="154" t="s">
        <v>3095</v>
      </c>
      <c r="O48" s="154" t="s">
        <v>3099</v>
      </c>
      <c r="P48" s="154" t="s">
        <v>3095</v>
      </c>
      <c r="Q48" s="154" t="s">
        <v>3090</v>
      </c>
      <c r="R48" s="154" t="s">
        <v>3095</v>
      </c>
      <c r="S48" s="154" t="s">
        <v>3095</v>
      </c>
      <c r="T48" s="154" t="s">
        <v>3090</v>
      </c>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row>
    <row r="49" spans="1:113">
      <c r="B49" s="153" t="str">
        <f>IF('Tornooi schema pronostiek'!F44&lt;&gt;"",'Tornooi schema pronostiek'!F44,"")</f>
        <v/>
      </c>
      <c r="C49" s="153" t="str">
        <f>IF('Tornooi schema pronostiek'!G44&lt;&gt;"",'Tornooi schema pronostiek'!G44,"")</f>
        <v/>
      </c>
      <c r="E49" s="154" t="s">
        <v>3099</v>
      </c>
      <c r="F49" s="154" t="s">
        <v>3094</v>
      </c>
      <c r="G49" s="154" t="s">
        <v>3095</v>
      </c>
      <c r="H49" s="154" t="s">
        <v>3094</v>
      </c>
      <c r="I49" s="154" t="s">
        <v>3099</v>
      </c>
      <c r="J49" s="154" t="s">
        <v>3094</v>
      </c>
      <c r="K49" s="154" t="s">
        <v>3099</v>
      </c>
      <c r="L49" s="154" t="s">
        <v>3099</v>
      </c>
      <c r="M49" s="154" t="s">
        <v>3094</v>
      </c>
      <c r="N49" s="154" t="s">
        <v>3094</v>
      </c>
      <c r="O49" s="154" t="s">
        <v>3094</v>
      </c>
      <c r="P49" s="154" t="s">
        <v>3104</v>
      </c>
      <c r="Q49" s="154" t="s">
        <v>3094</v>
      </c>
      <c r="R49" s="154" t="s">
        <v>3099</v>
      </c>
      <c r="S49" s="154" t="s">
        <v>3109</v>
      </c>
      <c r="T49" s="154" t="s">
        <v>3095</v>
      </c>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row>
    <row r="50" spans="1:113">
      <c r="B50" s="153" t="str">
        <f>IF('Tornooi schema pronostiek'!F45&lt;&gt;"",'Tornooi schema pronostiek'!F45,"")</f>
        <v/>
      </c>
      <c r="C50" s="153" t="str">
        <f>IF('Tornooi schema pronostiek'!G45&lt;&gt;"",'Tornooi schema pronostiek'!G45,"")</f>
        <v/>
      </c>
      <c r="E50" s="154" t="s">
        <v>3090</v>
      </c>
      <c r="F50" s="154" t="s">
        <v>3090</v>
      </c>
      <c r="G50" s="154" t="s">
        <v>3095</v>
      </c>
      <c r="H50" s="154" t="s">
        <v>3103</v>
      </c>
      <c r="I50" s="154" t="s">
        <v>3097</v>
      </c>
      <c r="J50" s="154" t="s">
        <v>3090</v>
      </c>
      <c r="K50" s="154" t="s">
        <v>3094</v>
      </c>
      <c r="L50" s="154" t="s">
        <v>3090</v>
      </c>
      <c r="M50" s="154" t="s">
        <v>3093</v>
      </c>
      <c r="N50" s="154" t="s">
        <v>3095</v>
      </c>
      <c r="O50" s="154" t="s">
        <v>3094</v>
      </c>
      <c r="P50" s="154" t="s">
        <v>3091</v>
      </c>
      <c r="Q50" s="154" t="s">
        <v>3097</v>
      </c>
      <c r="R50" s="154" t="s">
        <v>3095</v>
      </c>
      <c r="S50" s="154" t="s">
        <v>3103</v>
      </c>
      <c r="T50" s="154" t="s">
        <v>3097</v>
      </c>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row>
    <row r="51" spans="1:113">
      <c r="A51" t="s">
        <v>2930</v>
      </c>
      <c r="B51" s="155" t="str">
        <f>'Tornooi schema pronostiek'!EW10</f>
        <v>F1</v>
      </c>
      <c r="C51" s="155"/>
      <c r="E51" s="154" t="s">
        <v>1132</v>
      </c>
      <c r="F51" s="154" t="s">
        <v>1132</v>
      </c>
      <c r="G51" s="154" t="s">
        <v>1132</v>
      </c>
      <c r="H51" s="154" t="s">
        <v>1132</v>
      </c>
      <c r="I51" s="154" t="s">
        <v>1132</v>
      </c>
      <c r="J51" s="154" t="s">
        <v>1132</v>
      </c>
      <c r="K51" s="154" t="s">
        <v>1132</v>
      </c>
      <c r="L51" s="154" t="s">
        <v>1132</v>
      </c>
      <c r="M51" s="154" t="s">
        <v>1132</v>
      </c>
      <c r="N51" s="154" t="s">
        <v>1132</v>
      </c>
      <c r="O51" s="154" t="s">
        <v>1132</v>
      </c>
      <c r="P51" s="154" t="s">
        <v>1132</v>
      </c>
      <c r="Q51" s="154" t="s">
        <v>1132</v>
      </c>
      <c r="R51" s="154" t="s">
        <v>1132</v>
      </c>
      <c r="S51" s="154" t="s">
        <v>1132</v>
      </c>
      <c r="T51" s="154" t="s">
        <v>1132</v>
      </c>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row>
    <row r="52" spans="1:113">
      <c r="B52" s="155" t="str">
        <f>'Tornooi schema pronostiek'!EW11</f>
        <v>3C</v>
      </c>
      <c r="C52" s="155"/>
      <c r="E52" s="154" t="s">
        <v>2661</v>
      </c>
      <c r="F52" s="154" t="s">
        <v>1533</v>
      </c>
      <c r="G52" s="154" t="s">
        <v>1113</v>
      </c>
      <c r="H52" s="154" t="s">
        <v>2661</v>
      </c>
      <c r="I52" s="154" t="s">
        <v>1113</v>
      </c>
      <c r="J52" s="154" t="s">
        <v>1608</v>
      </c>
      <c r="K52" s="154" t="s">
        <v>1533</v>
      </c>
      <c r="L52" s="154" t="s">
        <v>1113</v>
      </c>
      <c r="M52" s="154" t="s">
        <v>1399</v>
      </c>
      <c r="N52" s="154" t="s">
        <v>2661</v>
      </c>
      <c r="O52" s="154" t="s">
        <v>2661</v>
      </c>
      <c r="P52" s="154" t="s">
        <v>1113</v>
      </c>
      <c r="Q52" s="154" t="s">
        <v>1113</v>
      </c>
      <c r="R52" s="154" t="s">
        <v>1533</v>
      </c>
      <c r="S52" s="154" t="s">
        <v>1113</v>
      </c>
      <c r="T52" s="154" t="s">
        <v>2661</v>
      </c>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row>
    <row r="53" spans="1:113">
      <c r="B53" s="155" t="str">
        <f>'Tornooi schema pronostiek'!EW14</f>
        <v>D2</v>
      </c>
      <c r="C53" s="155"/>
      <c r="E53" s="154" t="s">
        <v>1324</v>
      </c>
      <c r="F53" s="154" t="s">
        <v>1324</v>
      </c>
      <c r="G53" s="154" t="s">
        <v>1324</v>
      </c>
      <c r="H53" s="154" t="s">
        <v>1324</v>
      </c>
      <c r="I53" s="154" t="s">
        <v>1324</v>
      </c>
      <c r="J53" s="154" t="s">
        <v>1324</v>
      </c>
      <c r="K53" s="154" t="s">
        <v>1324</v>
      </c>
      <c r="L53" s="154" t="s">
        <v>1755</v>
      </c>
      <c r="M53" s="154" t="s">
        <v>1324</v>
      </c>
      <c r="N53" s="154" t="s">
        <v>1324</v>
      </c>
      <c r="O53" s="154" t="s">
        <v>1789</v>
      </c>
      <c r="P53" s="154" t="s">
        <v>1755</v>
      </c>
      <c r="Q53" s="154" t="s">
        <v>1755</v>
      </c>
      <c r="R53" s="154" t="s">
        <v>1324</v>
      </c>
      <c r="S53" s="154" t="s">
        <v>1789</v>
      </c>
      <c r="T53" s="154" t="s">
        <v>1324</v>
      </c>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row>
    <row r="54" spans="1:113">
      <c r="B54" s="155" t="str">
        <f>'Tornooi schema pronostiek'!EW15</f>
        <v>E2</v>
      </c>
      <c r="C54" s="155"/>
      <c r="E54" s="154" t="s">
        <v>1235</v>
      </c>
      <c r="F54" s="154" t="s">
        <v>1235</v>
      </c>
      <c r="G54" s="154" t="s">
        <v>1235</v>
      </c>
      <c r="H54" s="154" t="s">
        <v>1235</v>
      </c>
      <c r="I54" s="154" t="s">
        <v>1235</v>
      </c>
      <c r="J54" s="154" t="s">
        <v>1043</v>
      </c>
      <c r="K54" s="154" t="s">
        <v>1235</v>
      </c>
      <c r="L54" s="154" t="s">
        <v>1235</v>
      </c>
      <c r="M54" s="154" t="s">
        <v>1235</v>
      </c>
      <c r="N54" s="154" t="s">
        <v>1235</v>
      </c>
      <c r="O54" s="154" t="s">
        <v>1235</v>
      </c>
      <c r="P54" s="154" t="s">
        <v>1235</v>
      </c>
      <c r="Q54" s="154" t="s">
        <v>1235</v>
      </c>
      <c r="R54" s="154" t="s">
        <v>1235</v>
      </c>
      <c r="S54" s="154" t="s">
        <v>1433</v>
      </c>
      <c r="T54" s="154" t="s">
        <v>1235</v>
      </c>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row>
    <row r="55" spans="1:113">
      <c r="B55" s="155" t="str">
        <f>'Tornooi schema pronostiek'!EW18</f>
        <v>A1</v>
      </c>
      <c r="C55" s="155"/>
      <c r="E55" s="154" t="s">
        <v>1468</v>
      </c>
      <c r="F55" s="154" t="s">
        <v>1468</v>
      </c>
      <c r="G55" s="154" t="s">
        <v>1468</v>
      </c>
      <c r="H55" s="154" t="s">
        <v>1468</v>
      </c>
      <c r="I55" s="154" t="s">
        <v>1468</v>
      </c>
      <c r="J55" s="154" t="s">
        <v>1468</v>
      </c>
      <c r="K55" s="154" t="s">
        <v>1468</v>
      </c>
      <c r="L55" s="154" t="s">
        <v>1468</v>
      </c>
      <c r="M55" s="154" t="s">
        <v>1468</v>
      </c>
      <c r="N55" s="154" t="s">
        <v>1468</v>
      </c>
      <c r="O55" s="154" t="s">
        <v>1468</v>
      </c>
      <c r="P55" s="154" t="s">
        <v>1468</v>
      </c>
      <c r="Q55" s="154" t="s">
        <v>1468</v>
      </c>
      <c r="R55" s="154" t="s">
        <v>1468</v>
      </c>
      <c r="S55" s="154" t="s">
        <v>1468</v>
      </c>
      <c r="T55" s="154" t="s">
        <v>1468</v>
      </c>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row>
    <row r="56" spans="1:113">
      <c r="B56" s="155" t="str">
        <f>'Tornooi schema pronostiek'!EW19</f>
        <v>C2</v>
      </c>
      <c r="C56" s="155"/>
      <c r="E56" s="154" t="s">
        <v>1206</v>
      </c>
      <c r="F56" s="154" t="s">
        <v>1206</v>
      </c>
      <c r="G56" s="154" t="s">
        <v>1206</v>
      </c>
      <c r="H56" s="154" t="s">
        <v>1206</v>
      </c>
      <c r="I56" s="154" t="s">
        <v>1206</v>
      </c>
      <c r="J56" s="154" t="s">
        <v>1206</v>
      </c>
      <c r="K56" s="154" t="s">
        <v>1206</v>
      </c>
      <c r="L56" s="154" t="s">
        <v>1206</v>
      </c>
      <c r="M56" s="154" t="s">
        <v>1206</v>
      </c>
      <c r="N56" s="154" t="s">
        <v>1206</v>
      </c>
      <c r="O56" s="154" t="s">
        <v>1206</v>
      </c>
      <c r="P56" s="154" t="s">
        <v>1206</v>
      </c>
      <c r="Q56" s="154" t="s">
        <v>1206</v>
      </c>
      <c r="R56" s="154" t="s">
        <v>1206</v>
      </c>
      <c r="S56" s="154" t="s">
        <v>2661</v>
      </c>
      <c r="T56" s="154" t="s">
        <v>1206</v>
      </c>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row>
    <row r="57" spans="1:113">
      <c r="B57" s="155" t="str">
        <f>'Tornooi schema pronostiek'!EW22</f>
        <v>B1</v>
      </c>
      <c r="C57" s="155"/>
      <c r="E57" s="154" t="s">
        <v>1077</v>
      </c>
      <c r="F57" s="154" t="s">
        <v>1077</v>
      </c>
      <c r="G57" s="154" t="s">
        <v>1077</v>
      </c>
      <c r="H57" s="154" t="s">
        <v>1077</v>
      </c>
      <c r="I57" s="154" t="s">
        <v>1077</v>
      </c>
      <c r="J57" s="154" t="s">
        <v>1077</v>
      </c>
      <c r="K57" s="154" t="s">
        <v>1077</v>
      </c>
      <c r="L57" s="154" t="s">
        <v>1077</v>
      </c>
      <c r="M57" s="154" t="s">
        <v>1077</v>
      </c>
      <c r="N57" s="154" t="s">
        <v>1077</v>
      </c>
      <c r="O57" s="154" t="s">
        <v>1077</v>
      </c>
      <c r="P57" s="154" t="s">
        <v>1077</v>
      </c>
      <c r="Q57" s="154" t="s">
        <v>1077</v>
      </c>
      <c r="R57" s="154" t="s">
        <v>1077</v>
      </c>
      <c r="S57" s="154" t="s">
        <v>1077</v>
      </c>
      <c r="T57" s="154" t="s">
        <v>1077</v>
      </c>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row>
    <row r="58" spans="1:113">
      <c r="B58" s="155" t="str">
        <f>'Tornooi schema pronostiek'!EW23</f>
        <v>3A</v>
      </c>
      <c r="C58" s="155"/>
      <c r="E58" s="154" t="s">
        <v>1399</v>
      </c>
      <c r="F58" s="154" t="s">
        <v>1647</v>
      </c>
      <c r="G58" s="154" t="s">
        <v>1822</v>
      </c>
      <c r="H58" s="154" t="s">
        <v>1168</v>
      </c>
      <c r="I58" s="154" t="s">
        <v>1755</v>
      </c>
      <c r="J58" s="154" t="s">
        <v>1235</v>
      </c>
      <c r="K58" s="154" t="s">
        <v>1755</v>
      </c>
      <c r="L58" s="154" t="s">
        <v>1324</v>
      </c>
      <c r="M58" s="154" t="s">
        <v>1433</v>
      </c>
      <c r="N58" s="154" t="s">
        <v>1168</v>
      </c>
      <c r="O58" s="154" t="s">
        <v>1399</v>
      </c>
      <c r="P58" s="154" t="s">
        <v>1262</v>
      </c>
      <c r="Q58" s="154" t="s">
        <v>1647</v>
      </c>
      <c r="R58" s="154" t="s">
        <v>1647</v>
      </c>
      <c r="S58" s="154" t="s">
        <v>1647</v>
      </c>
      <c r="T58" s="154" t="s">
        <v>1608</v>
      </c>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row>
    <row r="59" spans="1:113">
      <c r="B59" s="155" t="str">
        <f>'Tornooi schema pronostiek'!EW26</f>
        <v>C1</v>
      </c>
      <c r="C59" s="155"/>
      <c r="E59" s="154" t="s">
        <v>1856</v>
      </c>
      <c r="F59" s="154" t="s">
        <v>1856</v>
      </c>
      <c r="G59" s="154" t="s">
        <v>1856</v>
      </c>
      <c r="H59" s="154" t="s">
        <v>1856</v>
      </c>
      <c r="I59" s="154" t="s">
        <v>1856</v>
      </c>
      <c r="J59" s="154" t="s">
        <v>1856</v>
      </c>
      <c r="K59" s="154" t="s">
        <v>1856</v>
      </c>
      <c r="L59" s="154" t="s">
        <v>1856</v>
      </c>
      <c r="M59" s="154" t="s">
        <v>1856</v>
      </c>
      <c r="N59" s="154" t="s">
        <v>1856</v>
      </c>
      <c r="O59" s="154" t="s">
        <v>1856</v>
      </c>
      <c r="P59" s="154" t="s">
        <v>1856</v>
      </c>
      <c r="Q59" s="154" t="s">
        <v>1856</v>
      </c>
      <c r="R59" s="154" t="s">
        <v>1856</v>
      </c>
      <c r="S59" s="154" t="s">
        <v>1856</v>
      </c>
      <c r="T59" s="154" t="s">
        <v>1856</v>
      </c>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row>
    <row r="60" spans="1:113">
      <c r="B60" s="155" t="str">
        <f>'Tornooi schema pronostiek'!EW27</f>
        <v>3D</v>
      </c>
      <c r="C60" s="155"/>
      <c r="E60" s="154" t="s">
        <v>1647</v>
      </c>
      <c r="F60" s="154" t="s">
        <v>1755</v>
      </c>
      <c r="G60" s="154" t="s">
        <v>1647</v>
      </c>
      <c r="H60" s="154" t="s">
        <v>1647</v>
      </c>
      <c r="I60" s="154" t="s">
        <v>1647</v>
      </c>
      <c r="J60" s="154" t="s">
        <v>1755</v>
      </c>
      <c r="K60" s="154" t="s">
        <v>1433</v>
      </c>
      <c r="L60" s="154" t="s">
        <v>1433</v>
      </c>
      <c r="M60" s="154" t="s">
        <v>1262</v>
      </c>
      <c r="N60" s="154" t="s">
        <v>1647</v>
      </c>
      <c r="O60" s="154" t="s">
        <v>1755</v>
      </c>
      <c r="P60" s="154" t="s">
        <v>1043</v>
      </c>
      <c r="Q60" s="154" t="s">
        <v>1324</v>
      </c>
      <c r="R60" s="154" t="s">
        <v>1822</v>
      </c>
      <c r="S60" s="154" t="s">
        <v>1235</v>
      </c>
      <c r="T60" s="154" t="s">
        <v>1755</v>
      </c>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row>
    <row r="61" spans="1:113">
      <c r="B61" s="155" t="str">
        <f>'Tornooi schema pronostiek'!EW30</f>
        <v>A2</v>
      </c>
      <c r="C61" s="155"/>
      <c r="E61" s="154" t="s">
        <v>1608</v>
      </c>
      <c r="F61" s="154" t="s">
        <v>1399</v>
      </c>
      <c r="G61" s="154" t="s">
        <v>1608</v>
      </c>
      <c r="H61" s="154" t="s">
        <v>1608</v>
      </c>
      <c r="I61" s="154" t="s">
        <v>1399</v>
      </c>
      <c r="J61" s="154" t="s">
        <v>1168</v>
      </c>
      <c r="K61" s="154" t="s">
        <v>1168</v>
      </c>
      <c r="L61" s="154" t="s">
        <v>1608</v>
      </c>
      <c r="M61" s="154" t="s">
        <v>1608</v>
      </c>
      <c r="N61" s="154" t="s">
        <v>1399</v>
      </c>
      <c r="O61" s="154" t="s">
        <v>1608</v>
      </c>
      <c r="P61" s="154" t="s">
        <v>1608</v>
      </c>
      <c r="Q61" s="154" t="s">
        <v>1608</v>
      </c>
      <c r="R61" s="154" t="s">
        <v>1608</v>
      </c>
      <c r="S61" s="154" t="s">
        <v>1399</v>
      </c>
      <c r="T61" s="154" t="s">
        <v>1168</v>
      </c>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row>
    <row r="62" spans="1:113">
      <c r="B62" s="155" t="str">
        <f>'Tornooi schema pronostiek'!EW31</f>
        <v>B2</v>
      </c>
      <c r="C62" s="155"/>
      <c r="E62" s="154" t="s">
        <v>1113</v>
      </c>
      <c r="F62" s="154" t="s">
        <v>1113</v>
      </c>
      <c r="G62" s="154" t="s">
        <v>1533</v>
      </c>
      <c r="H62" s="154" t="s">
        <v>1113</v>
      </c>
      <c r="I62" s="154" t="s">
        <v>1533</v>
      </c>
      <c r="J62" s="154" t="s">
        <v>1533</v>
      </c>
      <c r="K62" s="154" t="s">
        <v>1113</v>
      </c>
      <c r="L62" s="154" t="s">
        <v>1533</v>
      </c>
      <c r="M62" s="154" t="s">
        <v>1113</v>
      </c>
      <c r="N62" s="154" t="s">
        <v>1533</v>
      </c>
      <c r="O62" s="154" t="s">
        <v>1113</v>
      </c>
      <c r="P62" s="154" t="s">
        <v>1533</v>
      </c>
      <c r="Q62" s="154" t="s">
        <v>1533</v>
      </c>
      <c r="R62" s="154" t="s">
        <v>1113</v>
      </c>
      <c r="S62" s="154" t="s">
        <v>1533</v>
      </c>
      <c r="T62" s="154" t="s">
        <v>1533</v>
      </c>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row>
    <row r="63" spans="1:113">
      <c r="B63" s="155" t="str">
        <f>'Tornooi schema pronostiek'!EW34</f>
        <v>E1</v>
      </c>
      <c r="C63" s="155"/>
      <c r="E63" s="154" t="s">
        <v>1889</v>
      </c>
      <c r="F63" s="154" t="s">
        <v>1889</v>
      </c>
      <c r="G63" s="154" t="s">
        <v>1889</v>
      </c>
      <c r="H63" s="154" t="s">
        <v>1889</v>
      </c>
      <c r="I63" s="154" t="s">
        <v>1889</v>
      </c>
      <c r="J63" s="154" t="s">
        <v>1889</v>
      </c>
      <c r="K63" s="154" t="s">
        <v>1889</v>
      </c>
      <c r="L63" s="154" t="s">
        <v>1889</v>
      </c>
      <c r="M63" s="154" t="s">
        <v>1889</v>
      </c>
      <c r="N63" s="154" t="s">
        <v>1889</v>
      </c>
      <c r="O63" s="154" t="s">
        <v>1889</v>
      </c>
      <c r="P63" s="154" t="s">
        <v>1889</v>
      </c>
      <c r="Q63" s="154" t="s">
        <v>1889</v>
      </c>
      <c r="R63" s="154" t="s">
        <v>1889</v>
      </c>
      <c r="S63" s="154" t="s">
        <v>1889</v>
      </c>
      <c r="T63" s="154" t="s">
        <v>1889</v>
      </c>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row>
    <row r="64" spans="1:113">
      <c r="B64" s="155" t="str">
        <f>'Tornooi schema pronostiek'!EW35</f>
        <v>3B</v>
      </c>
      <c r="C64" s="155"/>
      <c r="E64" s="154" t="s">
        <v>1533</v>
      </c>
      <c r="F64" s="154" t="s">
        <v>2661</v>
      </c>
      <c r="G64" s="154" t="s">
        <v>1399</v>
      </c>
      <c r="H64" s="154" t="s">
        <v>1533</v>
      </c>
      <c r="I64" s="154" t="s">
        <v>1168</v>
      </c>
      <c r="J64" s="154" t="s">
        <v>2661</v>
      </c>
      <c r="K64" s="154" t="s">
        <v>1608</v>
      </c>
      <c r="L64" s="154" t="s">
        <v>1399</v>
      </c>
      <c r="M64" s="154" t="s">
        <v>1533</v>
      </c>
      <c r="N64" s="154" t="s">
        <v>1113</v>
      </c>
      <c r="O64" s="154" t="s">
        <v>1533</v>
      </c>
      <c r="P64" s="154" t="s">
        <v>1324</v>
      </c>
      <c r="Q64" s="154" t="s">
        <v>2661</v>
      </c>
      <c r="R64" s="154" t="s">
        <v>2661</v>
      </c>
      <c r="S64" s="154" t="s">
        <v>1206</v>
      </c>
      <c r="T64" s="154" t="s">
        <v>1113</v>
      </c>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row>
    <row r="65" spans="1:113">
      <c r="B65" s="155" t="str">
        <f>'Tornooi schema pronostiek'!EW38</f>
        <v>D1</v>
      </c>
      <c r="C65" s="155"/>
      <c r="E65" s="154" t="s">
        <v>1789</v>
      </c>
      <c r="F65" s="154" t="s">
        <v>1789</v>
      </c>
      <c r="G65" s="154" t="s">
        <v>1789</v>
      </c>
      <c r="H65" s="154" t="s">
        <v>1789</v>
      </c>
      <c r="I65" s="154" t="s">
        <v>1789</v>
      </c>
      <c r="J65" s="154" t="s">
        <v>1789</v>
      </c>
      <c r="K65" s="154" t="s">
        <v>1789</v>
      </c>
      <c r="L65" s="154" t="s">
        <v>1789</v>
      </c>
      <c r="M65" s="154" t="s">
        <v>1789</v>
      </c>
      <c r="N65" s="154" t="s">
        <v>1789</v>
      </c>
      <c r="O65" s="154" t="s">
        <v>1324</v>
      </c>
      <c r="P65" s="154" t="s">
        <v>1789</v>
      </c>
      <c r="Q65" s="154" t="s">
        <v>1789</v>
      </c>
      <c r="R65" s="154" t="s">
        <v>1789</v>
      </c>
      <c r="S65" s="154" t="s">
        <v>1324</v>
      </c>
      <c r="T65" s="154" t="s">
        <v>1789</v>
      </c>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row>
    <row r="66" spans="1:113">
      <c r="B66" s="155" t="str">
        <f>'Tornooi schema pronostiek'!EW39</f>
        <v>F2</v>
      </c>
      <c r="C66" s="155"/>
      <c r="E66" s="154" t="s">
        <v>1262</v>
      </c>
      <c r="F66" s="154" t="s">
        <v>1262</v>
      </c>
      <c r="G66" s="154" t="s">
        <v>1262</v>
      </c>
      <c r="H66" s="154" t="s">
        <v>1262</v>
      </c>
      <c r="I66" s="154" t="s">
        <v>1262</v>
      </c>
      <c r="J66" s="154" t="s">
        <v>1262</v>
      </c>
      <c r="K66" s="154" t="s">
        <v>1262</v>
      </c>
      <c r="L66" s="154" t="s">
        <v>1262</v>
      </c>
      <c r="M66" s="154" t="s">
        <v>1647</v>
      </c>
      <c r="N66" s="154" t="s">
        <v>1262</v>
      </c>
      <c r="O66" s="154" t="s">
        <v>1262</v>
      </c>
      <c r="P66" s="154" t="s">
        <v>1647</v>
      </c>
      <c r="Q66" s="154" t="s">
        <v>1262</v>
      </c>
      <c r="R66" s="154" t="s">
        <v>1262</v>
      </c>
      <c r="S66" s="154" t="s">
        <v>1262</v>
      </c>
      <c r="T66" s="154" t="s">
        <v>1647</v>
      </c>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row>
    <row r="67" spans="1:113">
      <c r="A67" t="s">
        <v>2931</v>
      </c>
      <c r="B67" s="156" t="str">
        <f>'Tornooi schema pronostiek'!FD12</f>
        <v>W37</v>
      </c>
      <c r="C67" s="156"/>
      <c r="E67" s="154" t="s">
        <v>1132</v>
      </c>
      <c r="F67" s="154" t="s">
        <v>1132</v>
      </c>
      <c r="G67" s="154" t="s">
        <v>1132</v>
      </c>
      <c r="H67" s="154" t="s">
        <v>1132</v>
      </c>
      <c r="I67" s="154" t="s">
        <v>1132</v>
      </c>
      <c r="J67" s="154" t="s">
        <v>1132</v>
      </c>
      <c r="K67" s="154" t="s">
        <v>1132</v>
      </c>
      <c r="L67" s="154" t="s">
        <v>1132</v>
      </c>
      <c r="M67" s="154" t="s">
        <v>1132</v>
      </c>
      <c r="N67" s="154" t="s">
        <v>1132</v>
      </c>
      <c r="O67" s="154" t="s">
        <v>1132</v>
      </c>
      <c r="P67" s="154" t="s">
        <v>1132</v>
      </c>
      <c r="Q67" s="154" t="s">
        <v>1132</v>
      </c>
      <c r="R67" s="154" t="s">
        <v>1132</v>
      </c>
      <c r="S67" s="154" t="s">
        <v>1132</v>
      </c>
      <c r="T67" s="154" t="s">
        <v>1132</v>
      </c>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row>
    <row r="68" spans="1:113">
      <c r="B68" s="156" t="str">
        <f>'Tornooi schema pronostiek'!FD13</f>
        <v>W39</v>
      </c>
      <c r="C68" s="156"/>
      <c r="E68" s="154" t="s">
        <v>1235</v>
      </c>
      <c r="F68" s="154" t="s">
        <v>1324</v>
      </c>
      <c r="G68" s="154" t="s">
        <v>1324</v>
      </c>
      <c r="H68" s="154" t="s">
        <v>1324</v>
      </c>
      <c r="I68" s="154" t="s">
        <v>1324</v>
      </c>
      <c r="J68" s="154" t="s">
        <v>1324</v>
      </c>
      <c r="K68" s="154" t="s">
        <v>1235</v>
      </c>
      <c r="L68" s="154" t="s">
        <v>1755</v>
      </c>
      <c r="M68" s="154" t="s">
        <v>1235</v>
      </c>
      <c r="N68" s="154" t="s">
        <v>1324</v>
      </c>
      <c r="O68" s="154" t="s">
        <v>1789</v>
      </c>
      <c r="P68" s="154" t="s">
        <v>1235</v>
      </c>
      <c r="Q68" s="154" t="s">
        <v>1755</v>
      </c>
      <c r="R68" s="154" t="s">
        <v>1324</v>
      </c>
      <c r="S68" s="154" t="s">
        <v>1789</v>
      </c>
      <c r="T68" s="154" t="s">
        <v>1324</v>
      </c>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row>
    <row r="69" spans="1:113">
      <c r="B69" s="156" t="str">
        <f>'Tornooi schema pronostiek'!FD20</f>
        <v>W38</v>
      </c>
      <c r="C69" s="156"/>
      <c r="E69" s="154" t="s">
        <v>1468</v>
      </c>
      <c r="F69" s="154" t="s">
        <v>1468</v>
      </c>
      <c r="G69" s="154" t="s">
        <v>1468</v>
      </c>
      <c r="H69" s="154" t="s">
        <v>1468</v>
      </c>
      <c r="I69" s="154" t="s">
        <v>1468</v>
      </c>
      <c r="J69" s="154" t="s">
        <v>1468</v>
      </c>
      <c r="K69" s="154" t="s">
        <v>1468</v>
      </c>
      <c r="L69" s="154" t="s">
        <v>1468</v>
      </c>
      <c r="M69" s="154" t="s">
        <v>1468</v>
      </c>
      <c r="N69" s="154" t="s">
        <v>1468</v>
      </c>
      <c r="O69" s="154" t="s">
        <v>1468</v>
      </c>
      <c r="P69" s="154" t="s">
        <v>1468</v>
      </c>
      <c r="Q69" s="154" t="s">
        <v>1468</v>
      </c>
      <c r="R69" s="154" t="s">
        <v>1468</v>
      </c>
      <c r="S69" s="154" t="s">
        <v>1468</v>
      </c>
      <c r="T69" s="154" t="s">
        <v>1468</v>
      </c>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row>
    <row r="70" spans="1:113">
      <c r="B70" s="156" t="str">
        <f>'Tornooi schema pronostiek'!FD21</f>
        <v>W42</v>
      </c>
      <c r="C70" s="156"/>
      <c r="E70" s="154" t="s">
        <v>1077</v>
      </c>
      <c r="F70" s="154" t="s">
        <v>1077</v>
      </c>
      <c r="G70" s="154" t="s">
        <v>1077</v>
      </c>
      <c r="H70" s="154" t="s">
        <v>1077</v>
      </c>
      <c r="I70" s="154" t="s">
        <v>1077</v>
      </c>
      <c r="J70" s="154" t="s">
        <v>1077</v>
      </c>
      <c r="K70" s="154" t="s">
        <v>1077</v>
      </c>
      <c r="L70" s="154" t="s">
        <v>1077</v>
      </c>
      <c r="M70" s="154" t="s">
        <v>1077</v>
      </c>
      <c r="N70" s="154" t="s">
        <v>1077</v>
      </c>
      <c r="O70" s="154" t="s">
        <v>1077</v>
      </c>
      <c r="P70" s="154" t="s">
        <v>1077</v>
      </c>
      <c r="Q70" s="154" t="s">
        <v>1077</v>
      </c>
      <c r="R70" s="154" t="s">
        <v>1077</v>
      </c>
      <c r="S70" s="154" t="s">
        <v>1077</v>
      </c>
      <c r="T70" s="154" t="s">
        <v>1077</v>
      </c>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row>
    <row r="71" spans="1:113">
      <c r="B71" s="156" t="str">
        <f>'Tornooi schema pronostiek'!FD28</f>
        <v>W41</v>
      </c>
      <c r="C71" s="156"/>
      <c r="E71" s="154" t="s">
        <v>1856</v>
      </c>
      <c r="F71" s="154" t="s">
        <v>1856</v>
      </c>
      <c r="G71" s="154" t="s">
        <v>1856</v>
      </c>
      <c r="H71" s="154" t="s">
        <v>1856</v>
      </c>
      <c r="I71" s="154" t="s">
        <v>1856</v>
      </c>
      <c r="J71" s="154" t="s">
        <v>1856</v>
      </c>
      <c r="K71" s="154" t="s">
        <v>1856</v>
      </c>
      <c r="L71" s="154" t="s">
        <v>1856</v>
      </c>
      <c r="M71" s="154" t="s">
        <v>1856</v>
      </c>
      <c r="N71" s="154" t="s">
        <v>1856</v>
      </c>
      <c r="O71" s="154" t="s">
        <v>1856</v>
      </c>
      <c r="P71" s="154" t="s">
        <v>1856</v>
      </c>
      <c r="Q71" s="154" t="s">
        <v>1856</v>
      </c>
      <c r="R71" s="154" t="s">
        <v>1856</v>
      </c>
      <c r="S71" s="154" t="s">
        <v>1856</v>
      </c>
      <c r="T71" s="154" t="s">
        <v>1856</v>
      </c>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row>
    <row r="72" spans="1:113">
      <c r="B72" s="156" t="str">
        <f>'Tornooi schema pronostiek'!FD29</f>
        <v>W43</v>
      </c>
      <c r="C72" s="156"/>
      <c r="E72" s="154" t="s">
        <v>1113</v>
      </c>
      <c r="F72" s="154" t="s">
        <v>1113</v>
      </c>
      <c r="G72" s="154" t="s">
        <v>1533</v>
      </c>
      <c r="H72" s="154" t="s">
        <v>1113</v>
      </c>
      <c r="I72" s="154" t="s">
        <v>1533</v>
      </c>
      <c r="J72" s="154" t="s">
        <v>1168</v>
      </c>
      <c r="K72" s="154" t="s">
        <v>1113</v>
      </c>
      <c r="L72" s="154" t="s">
        <v>1533</v>
      </c>
      <c r="M72" s="154" t="s">
        <v>1113</v>
      </c>
      <c r="N72" s="154" t="s">
        <v>1533</v>
      </c>
      <c r="O72" s="154" t="s">
        <v>1113</v>
      </c>
      <c r="P72" s="154" t="s">
        <v>1533</v>
      </c>
      <c r="Q72" s="154" t="s">
        <v>1533</v>
      </c>
      <c r="R72" s="154" t="s">
        <v>1113</v>
      </c>
      <c r="S72" s="154" t="s">
        <v>1533</v>
      </c>
      <c r="T72" s="154" t="s">
        <v>1533</v>
      </c>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row>
    <row r="73" spans="1:113">
      <c r="B73" s="156" t="str">
        <f>'Tornooi schema pronostiek'!FD36</f>
        <v>W40</v>
      </c>
      <c r="C73" s="156"/>
      <c r="E73" s="154" t="s">
        <v>1889</v>
      </c>
      <c r="F73" s="154" t="s">
        <v>1889</v>
      </c>
      <c r="G73" s="154" t="s">
        <v>1889</v>
      </c>
      <c r="H73" s="154" t="s">
        <v>1889</v>
      </c>
      <c r="I73" s="154" t="s">
        <v>1889</v>
      </c>
      <c r="J73" s="154" t="s">
        <v>1889</v>
      </c>
      <c r="K73" s="154" t="s">
        <v>1889</v>
      </c>
      <c r="L73" s="154" t="s">
        <v>1889</v>
      </c>
      <c r="M73" s="154" t="s">
        <v>1533</v>
      </c>
      <c r="N73" s="154" t="s">
        <v>1889</v>
      </c>
      <c r="O73" s="154" t="s">
        <v>1889</v>
      </c>
      <c r="P73" s="154" t="s">
        <v>1889</v>
      </c>
      <c r="Q73" s="154" t="s">
        <v>1889</v>
      </c>
      <c r="R73" s="154" t="s">
        <v>1889</v>
      </c>
      <c r="S73" s="154" t="s">
        <v>1889</v>
      </c>
      <c r="T73" s="154" t="s">
        <v>1889</v>
      </c>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row>
    <row r="74" spans="1:113">
      <c r="B74" s="156" t="str">
        <f>'Tornooi schema pronostiek'!FD37</f>
        <v>W44</v>
      </c>
      <c r="C74" s="156"/>
      <c r="E74" s="154" t="s">
        <v>1789</v>
      </c>
      <c r="F74" s="154" t="s">
        <v>1789</v>
      </c>
      <c r="G74" s="154" t="s">
        <v>1789</v>
      </c>
      <c r="H74" s="154" t="s">
        <v>1789</v>
      </c>
      <c r="I74" s="154" t="s">
        <v>1789</v>
      </c>
      <c r="J74" s="154" t="s">
        <v>1789</v>
      </c>
      <c r="K74" s="154" t="s">
        <v>1789</v>
      </c>
      <c r="L74" s="154" t="s">
        <v>1789</v>
      </c>
      <c r="M74" s="154" t="s">
        <v>1789</v>
      </c>
      <c r="N74" s="154" t="s">
        <v>1789</v>
      </c>
      <c r="O74" s="154" t="s">
        <v>1324</v>
      </c>
      <c r="P74" s="154" t="s">
        <v>1789</v>
      </c>
      <c r="Q74" s="154" t="s">
        <v>1789</v>
      </c>
      <c r="R74" s="154" t="s">
        <v>1789</v>
      </c>
      <c r="S74" s="154" t="s">
        <v>1324</v>
      </c>
      <c r="T74" s="154" t="s">
        <v>1789</v>
      </c>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row>
    <row r="75" spans="1:113">
      <c r="A75" t="s">
        <v>2932</v>
      </c>
      <c r="B75" s="157" t="str">
        <f>'Tornooi schema pronostiek'!FK16</f>
        <v>W45</v>
      </c>
      <c r="C75" s="157"/>
      <c r="E75" s="154" t="s">
        <v>1132</v>
      </c>
      <c r="F75" s="154" t="s">
        <v>1132</v>
      </c>
      <c r="G75" s="154" t="s">
        <v>1132</v>
      </c>
      <c r="H75" s="154" t="s">
        <v>1132</v>
      </c>
      <c r="I75" s="154" t="s">
        <v>1132</v>
      </c>
      <c r="J75" s="154" t="s">
        <v>1132</v>
      </c>
      <c r="K75" s="154" t="s">
        <v>1132</v>
      </c>
      <c r="L75" s="154" t="s">
        <v>1132</v>
      </c>
      <c r="M75" s="154" t="s">
        <v>1132</v>
      </c>
      <c r="N75" s="154" t="s">
        <v>1132</v>
      </c>
      <c r="O75" s="154" t="s">
        <v>1132</v>
      </c>
      <c r="P75" s="154" t="s">
        <v>1132</v>
      </c>
      <c r="Q75" s="154" t="s">
        <v>1132</v>
      </c>
      <c r="R75" s="154" t="s">
        <v>1132</v>
      </c>
      <c r="S75" s="154" t="s">
        <v>1789</v>
      </c>
      <c r="T75" s="154" t="s">
        <v>1132</v>
      </c>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row>
    <row r="76" spans="1:113">
      <c r="B76" s="157" t="str">
        <f>'Tornooi schema pronostiek'!FK17</f>
        <v>W46</v>
      </c>
      <c r="C76" s="157"/>
      <c r="E76" s="154" t="s">
        <v>1468</v>
      </c>
      <c r="F76" s="154" t="s">
        <v>1077</v>
      </c>
      <c r="G76" s="154" t="s">
        <v>1077</v>
      </c>
      <c r="H76" s="154" t="s">
        <v>1468</v>
      </c>
      <c r="I76" s="154" t="s">
        <v>1468</v>
      </c>
      <c r="J76" s="154" t="s">
        <v>1468</v>
      </c>
      <c r="K76" s="154" t="s">
        <v>1468</v>
      </c>
      <c r="L76" s="154" t="s">
        <v>1468</v>
      </c>
      <c r="M76" s="154" t="s">
        <v>1077</v>
      </c>
      <c r="N76" s="154" t="s">
        <v>1077</v>
      </c>
      <c r="O76" s="154" t="s">
        <v>1468</v>
      </c>
      <c r="P76" s="154" t="s">
        <v>1468</v>
      </c>
      <c r="Q76" s="154" t="s">
        <v>1468</v>
      </c>
      <c r="R76" s="154" t="s">
        <v>1468</v>
      </c>
      <c r="S76" s="154" t="s">
        <v>1077</v>
      </c>
      <c r="T76" s="154" t="s">
        <v>1077</v>
      </c>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row>
    <row r="77" spans="1:113">
      <c r="B77" s="157" t="str">
        <f>'Tornooi schema pronostiek'!FK32</f>
        <v>W47</v>
      </c>
      <c r="C77" s="157"/>
      <c r="E77" s="154" t="s">
        <v>1856</v>
      </c>
      <c r="F77" s="154" t="s">
        <v>1856</v>
      </c>
      <c r="G77" s="154" t="s">
        <v>1856</v>
      </c>
      <c r="H77" s="154" t="s">
        <v>1856</v>
      </c>
      <c r="I77" s="154" t="s">
        <v>1856</v>
      </c>
      <c r="J77" s="154" t="s">
        <v>1856</v>
      </c>
      <c r="K77" s="154" t="s">
        <v>1856</v>
      </c>
      <c r="L77" s="154" t="s">
        <v>1856</v>
      </c>
      <c r="M77" s="154" t="s">
        <v>1856</v>
      </c>
      <c r="N77" s="154" t="s">
        <v>1856</v>
      </c>
      <c r="O77" s="154" t="s">
        <v>1856</v>
      </c>
      <c r="P77" s="154" t="s">
        <v>1856</v>
      </c>
      <c r="Q77" s="154" t="s">
        <v>1856</v>
      </c>
      <c r="R77" s="154" t="s">
        <v>1856</v>
      </c>
      <c r="S77" s="154" t="s">
        <v>1856</v>
      </c>
      <c r="T77" s="154" t="s">
        <v>1533</v>
      </c>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row>
    <row r="78" spans="1:113">
      <c r="B78" s="157" t="str">
        <f>'Tornooi schema pronostiek'!FK33</f>
        <v>W48</v>
      </c>
      <c r="C78" s="157"/>
      <c r="E78" s="154" t="s">
        <v>1789</v>
      </c>
      <c r="F78" s="154" t="s">
        <v>1789</v>
      </c>
      <c r="G78" s="154" t="s">
        <v>1889</v>
      </c>
      <c r="H78" s="154" t="s">
        <v>1789</v>
      </c>
      <c r="I78" s="154" t="s">
        <v>1789</v>
      </c>
      <c r="J78" s="154" t="s">
        <v>1789</v>
      </c>
      <c r="K78" s="154" t="s">
        <v>1789</v>
      </c>
      <c r="L78" s="154" t="s">
        <v>1789</v>
      </c>
      <c r="M78" s="154" t="s">
        <v>1789</v>
      </c>
      <c r="N78" s="154" t="s">
        <v>1789</v>
      </c>
      <c r="O78" s="154" t="s">
        <v>1889</v>
      </c>
      <c r="P78" s="154" t="s">
        <v>1789</v>
      </c>
      <c r="Q78" s="154" t="s">
        <v>1789</v>
      </c>
      <c r="R78" s="154" t="s">
        <v>1889</v>
      </c>
      <c r="S78" s="154" t="s">
        <v>1324</v>
      </c>
      <c r="T78" s="154" t="s">
        <v>1789</v>
      </c>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row>
    <row r="79" spans="1:113">
      <c r="A79" s="125" t="s">
        <v>2933</v>
      </c>
      <c r="B79" s="158" t="str">
        <f>'Tornooi schema pronostiek'!FR23</f>
        <v>W49</v>
      </c>
      <c r="C79" s="158"/>
      <c r="E79" s="154" t="s">
        <v>1132</v>
      </c>
      <c r="F79" s="154" t="s">
        <v>1132</v>
      </c>
      <c r="G79" s="154" t="s">
        <v>1077</v>
      </c>
      <c r="H79" s="154" t="s">
        <v>1468</v>
      </c>
      <c r="I79" s="154" t="s">
        <v>1468</v>
      </c>
      <c r="J79" s="154" t="s">
        <v>1132</v>
      </c>
      <c r="K79" s="154" t="s">
        <v>1132</v>
      </c>
      <c r="L79" s="154" t="s">
        <v>1132</v>
      </c>
      <c r="M79" s="154" t="s">
        <v>1077</v>
      </c>
      <c r="N79" s="154" t="s">
        <v>1132</v>
      </c>
      <c r="O79" s="154" t="s">
        <v>1468</v>
      </c>
      <c r="P79" s="154" t="s">
        <v>1468</v>
      </c>
      <c r="Q79" s="154" t="s">
        <v>1132</v>
      </c>
      <c r="R79" s="154" t="s">
        <v>1468</v>
      </c>
      <c r="S79" s="154" t="s">
        <v>1789</v>
      </c>
      <c r="T79" s="154" t="s">
        <v>1077</v>
      </c>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row>
    <row r="80" spans="1:113">
      <c r="B80" s="158" t="str">
        <f>'Tornooi schema pronostiek'!FR24</f>
        <v>W50</v>
      </c>
      <c r="C80" s="158"/>
      <c r="E80" s="154" t="s">
        <v>1856</v>
      </c>
      <c r="F80" s="154" t="s">
        <v>1789</v>
      </c>
      <c r="G80" s="154" t="s">
        <v>1856</v>
      </c>
      <c r="H80" s="154" t="s">
        <v>1789</v>
      </c>
      <c r="I80" s="154" t="s">
        <v>1789</v>
      </c>
      <c r="J80" s="154" t="s">
        <v>1789</v>
      </c>
      <c r="K80" s="154" t="s">
        <v>1856</v>
      </c>
      <c r="L80" s="154" t="s">
        <v>1856</v>
      </c>
      <c r="M80" s="154" t="s">
        <v>1789</v>
      </c>
      <c r="N80" s="154" t="s">
        <v>1856</v>
      </c>
      <c r="O80" s="154" t="s">
        <v>1889</v>
      </c>
      <c r="P80" s="154" t="s">
        <v>1789</v>
      </c>
      <c r="Q80" s="154" t="s">
        <v>1789</v>
      </c>
      <c r="R80" s="154" t="s">
        <v>1889</v>
      </c>
      <c r="S80" s="154" t="s">
        <v>1856</v>
      </c>
      <c r="T80" s="154" t="s">
        <v>1789</v>
      </c>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row>
    <row r="81" spans="1:113">
      <c r="A81" s="125" t="s">
        <v>2894</v>
      </c>
      <c r="B81" s="159" t="str">
        <f>'Tornooi schema pronostiek'!FO41</f>
        <v/>
      </c>
      <c r="C81" s="159"/>
      <c r="E81" s="154" t="s">
        <v>1856</v>
      </c>
      <c r="F81" s="154" t="s">
        <v>1789</v>
      </c>
      <c r="G81" s="154" t="s">
        <v>1077</v>
      </c>
      <c r="H81" s="154" t="s">
        <v>1789</v>
      </c>
      <c r="I81" s="154" t="s">
        <v>1789</v>
      </c>
      <c r="J81" s="154" t="s">
        <v>1789</v>
      </c>
      <c r="K81" s="154" t="s">
        <v>1132</v>
      </c>
      <c r="L81" s="154" t="s">
        <v>1856</v>
      </c>
      <c r="M81" s="154" t="s">
        <v>1077</v>
      </c>
      <c r="N81" s="154" t="s">
        <v>1856</v>
      </c>
      <c r="O81" s="154" t="s">
        <v>1889</v>
      </c>
      <c r="P81" s="154" t="s">
        <v>1468</v>
      </c>
      <c r="Q81" s="154" t="s">
        <v>1789</v>
      </c>
      <c r="R81" s="154" t="s">
        <v>1468</v>
      </c>
      <c r="S81" s="154" t="s">
        <v>1856</v>
      </c>
      <c r="T81" s="154" t="s">
        <v>1077</v>
      </c>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row>
    <row r="84" spans="1:113" ht="15">
      <c r="B84" s="150" t="s">
        <v>2943</v>
      </c>
      <c r="D84" t="s">
        <v>1975</v>
      </c>
      <c r="E84">
        <f t="shared" ref="E84:BP87" si="18">IF(AND($B15&lt;&gt;"",$C15&lt;&gt;""),IF(E15&lt;&gt;"",IF(VALUE(LEFT(E15))=$B15,1,0)+IF(VALUE(RIGHT(E15))=$C15,1,0)+IF(AND(VALUE(LEFT(E15,1))&gt;VALUE(RIGHT(E15,1)),$B15&gt;$C15),3,0)+IF(AND(VALUE(LEFT(E15,1))&lt;VALUE(RIGHT(E15,1)),$B15&lt;$C15),3,0)+IF(AND(VALUE(LEFT(E15,1))=VALUE(RIGHT(E15,1)),$B15=$C15),3,0),0),0)</f>
        <v>3</v>
      </c>
      <c r="F84">
        <f t="shared" si="18"/>
        <v>3</v>
      </c>
      <c r="G84">
        <f t="shared" si="18"/>
        <v>4</v>
      </c>
      <c r="H84">
        <f t="shared" si="18"/>
        <v>4</v>
      </c>
      <c r="I84">
        <f t="shared" si="18"/>
        <v>3</v>
      </c>
      <c r="J84">
        <f t="shared" si="18"/>
        <v>3</v>
      </c>
      <c r="K84">
        <f t="shared" si="18"/>
        <v>3</v>
      </c>
      <c r="L84">
        <f t="shared" si="18"/>
        <v>4</v>
      </c>
      <c r="M84">
        <f t="shared" si="18"/>
        <v>3</v>
      </c>
      <c r="N84">
        <f t="shared" si="18"/>
        <v>4</v>
      </c>
      <c r="O84">
        <f t="shared" si="18"/>
        <v>3</v>
      </c>
      <c r="P84">
        <f t="shared" si="18"/>
        <v>3</v>
      </c>
      <c r="Q84">
        <f t="shared" si="18"/>
        <v>3</v>
      </c>
      <c r="R84">
        <f t="shared" si="18"/>
        <v>4</v>
      </c>
      <c r="S84">
        <f t="shared" si="18"/>
        <v>4</v>
      </c>
      <c r="T84">
        <f t="shared" si="18"/>
        <v>3</v>
      </c>
      <c r="U84">
        <f t="shared" si="18"/>
        <v>0</v>
      </c>
      <c r="V84">
        <f t="shared" si="18"/>
        <v>0</v>
      </c>
      <c r="W84">
        <f t="shared" si="18"/>
        <v>0</v>
      </c>
      <c r="X84">
        <f t="shared" si="18"/>
        <v>0</v>
      </c>
      <c r="Y84">
        <f t="shared" si="18"/>
        <v>0</v>
      </c>
      <c r="Z84">
        <f t="shared" si="18"/>
        <v>0</v>
      </c>
      <c r="AA84">
        <f t="shared" si="18"/>
        <v>0</v>
      </c>
      <c r="AB84">
        <f t="shared" si="18"/>
        <v>0</v>
      </c>
      <c r="AC84">
        <f t="shared" si="18"/>
        <v>0</v>
      </c>
      <c r="AD84">
        <f t="shared" si="18"/>
        <v>0</v>
      </c>
      <c r="AE84">
        <f t="shared" si="18"/>
        <v>0</v>
      </c>
      <c r="AF84">
        <f t="shared" si="18"/>
        <v>0</v>
      </c>
      <c r="AG84">
        <f t="shared" si="18"/>
        <v>0</v>
      </c>
      <c r="AH84">
        <f t="shared" si="18"/>
        <v>0</v>
      </c>
      <c r="AI84">
        <f t="shared" si="18"/>
        <v>0</v>
      </c>
      <c r="AJ84">
        <f t="shared" si="18"/>
        <v>0</v>
      </c>
      <c r="AK84">
        <f t="shared" si="18"/>
        <v>0</v>
      </c>
      <c r="AL84">
        <f t="shared" si="18"/>
        <v>0</v>
      </c>
      <c r="AM84">
        <f t="shared" si="18"/>
        <v>0</v>
      </c>
      <c r="AN84">
        <f t="shared" si="18"/>
        <v>0</v>
      </c>
      <c r="AO84">
        <f t="shared" si="18"/>
        <v>0</v>
      </c>
      <c r="AP84">
        <f t="shared" si="18"/>
        <v>0</v>
      </c>
      <c r="AQ84">
        <f t="shared" si="18"/>
        <v>0</v>
      </c>
      <c r="AR84">
        <f t="shared" si="18"/>
        <v>0</v>
      </c>
      <c r="AS84">
        <f t="shared" si="18"/>
        <v>0</v>
      </c>
      <c r="AT84">
        <f t="shared" si="18"/>
        <v>0</v>
      </c>
      <c r="AU84">
        <f t="shared" si="18"/>
        <v>0</v>
      </c>
      <c r="AV84">
        <f t="shared" si="18"/>
        <v>0</v>
      </c>
      <c r="AW84">
        <f t="shared" si="18"/>
        <v>0</v>
      </c>
      <c r="AX84">
        <f t="shared" si="18"/>
        <v>0</v>
      </c>
      <c r="AY84">
        <f t="shared" si="18"/>
        <v>0</v>
      </c>
      <c r="AZ84">
        <f t="shared" si="18"/>
        <v>0</v>
      </c>
      <c r="BA84">
        <f t="shared" si="18"/>
        <v>0</v>
      </c>
      <c r="BB84">
        <f t="shared" si="18"/>
        <v>0</v>
      </c>
      <c r="BC84">
        <f t="shared" si="18"/>
        <v>0</v>
      </c>
      <c r="BD84">
        <f t="shared" si="18"/>
        <v>0</v>
      </c>
      <c r="BE84">
        <f t="shared" si="18"/>
        <v>0</v>
      </c>
      <c r="BF84">
        <f t="shared" si="18"/>
        <v>0</v>
      </c>
      <c r="BG84">
        <f t="shared" si="18"/>
        <v>0</v>
      </c>
      <c r="BH84">
        <f t="shared" si="18"/>
        <v>0</v>
      </c>
      <c r="BI84">
        <f t="shared" si="18"/>
        <v>0</v>
      </c>
      <c r="BJ84">
        <f t="shared" si="18"/>
        <v>0</v>
      </c>
      <c r="BK84">
        <f t="shared" si="18"/>
        <v>0</v>
      </c>
      <c r="BL84">
        <f t="shared" si="18"/>
        <v>0</v>
      </c>
      <c r="BM84">
        <f t="shared" si="18"/>
        <v>0</v>
      </c>
      <c r="BN84">
        <f t="shared" si="18"/>
        <v>0</v>
      </c>
      <c r="BO84">
        <f t="shared" si="18"/>
        <v>0</v>
      </c>
      <c r="BP84">
        <f t="shared" si="18"/>
        <v>0</v>
      </c>
      <c r="BQ84">
        <f t="shared" ref="BQ84:DI91" si="19">IF(AND($B15&lt;&gt;"",$C15&lt;&gt;""),IF(BQ15&lt;&gt;"",IF(VALUE(LEFT(BQ15))=$B15,1,0)+IF(VALUE(RIGHT(BQ15))=$C15,1,0)+IF(AND(VALUE(LEFT(BQ15,1))&gt;VALUE(RIGHT(BQ15,1)),$B15&gt;$C15),3,0)+IF(AND(VALUE(LEFT(BQ15,1))&lt;VALUE(RIGHT(BQ15,1)),$B15&lt;$C15),3,0)+IF(AND(VALUE(LEFT(BQ15,1))=VALUE(RIGHT(BQ15,1)),$B15=$C15),3,0),0),0)</f>
        <v>0</v>
      </c>
      <c r="BR84">
        <f t="shared" si="19"/>
        <v>0</v>
      </c>
      <c r="BS84">
        <f t="shared" si="19"/>
        <v>0</v>
      </c>
      <c r="BT84">
        <f t="shared" si="19"/>
        <v>0</v>
      </c>
      <c r="BU84">
        <f t="shared" si="19"/>
        <v>0</v>
      </c>
      <c r="BV84">
        <f t="shared" si="19"/>
        <v>0</v>
      </c>
      <c r="BW84">
        <f t="shared" si="19"/>
        <v>0</v>
      </c>
      <c r="BX84">
        <f t="shared" si="19"/>
        <v>0</v>
      </c>
      <c r="BY84">
        <f t="shared" si="19"/>
        <v>0</v>
      </c>
      <c r="BZ84">
        <f t="shared" si="19"/>
        <v>0</v>
      </c>
      <c r="CA84">
        <f t="shared" si="19"/>
        <v>0</v>
      </c>
      <c r="CB84">
        <f t="shared" si="19"/>
        <v>0</v>
      </c>
      <c r="CC84">
        <f t="shared" si="19"/>
        <v>0</v>
      </c>
      <c r="CD84">
        <f t="shared" si="19"/>
        <v>0</v>
      </c>
      <c r="CE84">
        <f t="shared" si="19"/>
        <v>0</v>
      </c>
      <c r="CF84">
        <f t="shared" si="19"/>
        <v>0</v>
      </c>
      <c r="CG84">
        <f t="shared" si="19"/>
        <v>0</v>
      </c>
      <c r="CH84">
        <f t="shared" si="19"/>
        <v>0</v>
      </c>
      <c r="CI84">
        <f t="shared" si="19"/>
        <v>0</v>
      </c>
      <c r="CJ84">
        <f t="shared" si="19"/>
        <v>0</v>
      </c>
      <c r="CK84">
        <f t="shared" si="19"/>
        <v>0</v>
      </c>
      <c r="CL84">
        <f t="shared" si="19"/>
        <v>0</v>
      </c>
      <c r="CM84">
        <f t="shared" si="19"/>
        <v>0</v>
      </c>
      <c r="CN84">
        <f t="shared" si="19"/>
        <v>0</v>
      </c>
      <c r="CO84">
        <f t="shared" si="19"/>
        <v>0</v>
      </c>
      <c r="CP84">
        <f t="shared" si="19"/>
        <v>0</v>
      </c>
      <c r="CQ84">
        <f t="shared" si="19"/>
        <v>0</v>
      </c>
      <c r="CR84">
        <f t="shared" si="19"/>
        <v>0</v>
      </c>
      <c r="CS84">
        <f t="shared" si="19"/>
        <v>0</v>
      </c>
      <c r="CT84">
        <f t="shared" si="19"/>
        <v>0</v>
      </c>
      <c r="CU84">
        <f t="shared" si="19"/>
        <v>0</v>
      </c>
      <c r="CV84">
        <f t="shared" si="19"/>
        <v>0</v>
      </c>
      <c r="CW84">
        <f t="shared" si="19"/>
        <v>0</v>
      </c>
      <c r="CX84">
        <f t="shared" si="19"/>
        <v>0</v>
      </c>
      <c r="CY84">
        <f t="shared" si="19"/>
        <v>0</v>
      </c>
      <c r="CZ84">
        <f t="shared" si="19"/>
        <v>0</v>
      </c>
      <c r="DA84">
        <f t="shared" si="19"/>
        <v>0</v>
      </c>
      <c r="DB84">
        <f t="shared" si="19"/>
        <v>0</v>
      </c>
      <c r="DC84">
        <f t="shared" si="19"/>
        <v>0</v>
      </c>
      <c r="DD84">
        <f t="shared" si="19"/>
        <v>0</v>
      </c>
      <c r="DE84">
        <f t="shared" si="19"/>
        <v>0</v>
      </c>
      <c r="DF84">
        <f t="shared" si="19"/>
        <v>0</v>
      </c>
      <c r="DG84">
        <f t="shared" si="19"/>
        <v>0</v>
      </c>
      <c r="DH84">
        <f t="shared" si="19"/>
        <v>0</v>
      </c>
      <c r="DI84">
        <f t="shared" si="19"/>
        <v>0</v>
      </c>
    </row>
    <row r="85" spans="1:113">
      <c r="D85" t="s">
        <v>1981</v>
      </c>
      <c r="E85">
        <f t="shared" si="18"/>
        <v>3</v>
      </c>
      <c r="F85">
        <f t="shared" si="18"/>
        <v>1</v>
      </c>
      <c r="G85">
        <f t="shared" si="18"/>
        <v>4</v>
      </c>
      <c r="H85">
        <f t="shared" si="18"/>
        <v>4</v>
      </c>
      <c r="I85">
        <f t="shared" si="18"/>
        <v>1</v>
      </c>
      <c r="J85">
        <f t="shared" si="18"/>
        <v>0</v>
      </c>
      <c r="K85">
        <f t="shared" si="18"/>
        <v>1</v>
      </c>
      <c r="L85">
        <f t="shared" si="18"/>
        <v>3</v>
      </c>
      <c r="M85">
        <f t="shared" si="18"/>
        <v>3</v>
      </c>
      <c r="N85">
        <f t="shared" si="18"/>
        <v>0</v>
      </c>
      <c r="O85">
        <f t="shared" si="18"/>
        <v>4</v>
      </c>
      <c r="P85">
        <f t="shared" si="18"/>
        <v>3</v>
      </c>
      <c r="Q85">
        <f t="shared" si="18"/>
        <v>3</v>
      </c>
      <c r="R85">
        <f t="shared" si="18"/>
        <v>4</v>
      </c>
      <c r="S85">
        <f t="shared" si="18"/>
        <v>0</v>
      </c>
      <c r="T85">
        <f t="shared" si="18"/>
        <v>1</v>
      </c>
      <c r="U85">
        <f t="shared" si="18"/>
        <v>0</v>
      </c>
      <c r="V85">
        <f t="shared" si="18"/>
        <v>0</v>
      </c>
      <c r="W85">
        <f t="shared" si="18"/>
        <v>0</v>
      </c>
      <c r="X85">
        <f t="shared" si="18"/>
        <v>0</v>
      </c>
      <c r="Y85">
        <f t="shared" si="18"/>
        <v>0</v>
      </c>
      <c r="Z85">
        <f t="shared" si="18"/>
        <v>0</v>
      </c>
      <c r="AA85">
        <f t="shared" si="18"/>
        <v>0</v>
      </c>
      <c r="AB85">
        <f t="shared" si="18"/>
        <v>0</v>
      </c>
      <c r="AC85">
        <f t="shared" si="18"/>
        <v>0</v>
      </c>
      <c r="AD85">
        <f t="shared" si="18"/>
        <v>0</v>
      </c>
      <c r="AE85">
        <f t="shared" si="18"/>
        <v>0</v>
      </c>
      <c r="AF85">
        <f t="shared" si="18"/>
        <v>0</v>
      </c>
      <c r="AG85">
        <f t="shared" si="18"/>
        <v>0</v>
      </c>
      <c r="AH85">
        <f t="shared" si="18"/>
        <v>0</v>
      </c>
      <c r="AI85">
        <f t="shared" si="18"/>
        <v>0</v>
      </c>
      <c r="AJ85">
        <f t="shared" si="18"/>
        <v>0</v>
      </c>
      <c r="AK85">
        <f t="shared" si="18"/>
        <v>0</v>
      </c>
      <c r="AL85">
        <f t="shared" si="18"/>
        <v>0</v>
      </c>
      <c r="AM85">
        <f t="shared" si="18"/>
        <v>0</v>
      </c>
      <c r="AN85">
        <f t="shared" si="18"/>
        <v>0</v>
      </c>
      <c r="AO85">
        <f t="shared" si="18"/>
        <v>0</v>
      </c>
      <c r="AP85">
        <f t="shared" si="18"/>
        <v>0</v>
      </c>
      <c r="AQ85">
        <f t="shared" si="18"/>
        <v>0</v>
      </c>
      <c r="AR85">
        <f t="shared" si="18"/>
        <v>0</v>
      </c>
      <c r="AS85">
        <f t="shared" si="18"/>
        <v>0</v>
      </c>
      <c r="AT85">
        <f t="shared" si="18"/>
        <v>0</v>
      </c>
      <c r="AU85">
        <f t="shared" si="18"/>
        <v>0</v>
      </c>
      <c r="AV85">
        <f t="shared" si="18"/>
        <v>0</v>
      </c>
      <c r="AW85">
        <f t="shared" si="18"/>
        <v>0</v>
      </c>
      <c r="AX85">
        <f t="shared" si="18"/>
        <v>0</v>
      </c>
      <c r="AY85">
        <f t="shared" si="18"/>
        <v>0</v>
      </c>
      <c r="AZ85">
        <f t="shared" si="18"/>
        <v>0</v>
      </c>
      <c r="BA85">
        <f t="shared" si="18"/>
        <v>0</v>
      </c>
      <c r="BB85">
        <f t="shared" si="18"/>
        <v>0</v>
      </c>
      <c r="BC85">
        <f t="shared" si="18"/>
        <v>0</v>
      </c>
      <c r="BD85">
        <f t="shared" si="18"/>
        <v>0</v>
      </c>
      <c r="BE85">
        <f t="shared" si="18"/>
        <v>0</v>
      </c>
      <c r="BF85">
        <f t="shared" si="18"/>
        <v>0</v>
      </c>
      <c r="BG85">
        <f t="shared" si="18"/>
        <v>0</v>
      </c>
      <c r="BH85">
        <f t="shared" si="18"/>
        <v>0</v>
      </c>
      <c r="BI85">
        <f t="shared" si="18"/>
        <v>0</v>
      </c>
      <c r="BJ85">
        <f t="shared" si="18"/>
        <v>0</v>
      </c>
      <c r="BK85">
        <f t="shared" si="18"/>
        <v>0</v>
      </c>
      <c r="BL85">
        <f t="shared" si="18"/>
        <v>0</v>
      </c>
      <c r="BM85">
        <f t="shared" si="18"/>
        <v>0</v>
      </c>
      <c r="BN85">
        <f t="shared" si="18"/>
        <v>0</v>
      </c>
      <c r="BO85">
        <f t="shared" si="18"/>
        <v>0</v>
      </c>
      <c r="BP85">
        <f t="shared" si="18"/>
        <v>0</v>
      </c>
      <c r="BQ85">
        <f t="shared" si="19"/>
        <v>0</v>
      </c>
      <c r="BR85">
        <f t="shared" si="19"/>
        <v>0</v>
      </c>
      <c r="BS85">
        <f t="shared" si="19"/>
        <v>0</v>
      </c>
      <c r="BT85">
        <f t="shared" si="19"/>
        <v>0</v>
      </c>
      <c r="BU85">
        <f t="shared" si="19"/>
        <v>0</v>
      </c>
      <c r="BV85">
        <f t="shared" si="19"/>
        <v>0</v>
      </c>
      <c r="BW85">
        <f t="shared" si="19"/>
        <v>0</v>
      </c>
      <c r="BX85">
        <f t="shared" si="19"/>
        <v>0</v>
      </c>
      <c r="BY85">
        <f t="shared" si="19"/>
        <v>0</v>
      </c>
      <c r="BZ85">
        <f t="shared" si="19"/>
        <v>0</v>
      </c>
      <c r="CA85">
        <f t="shared" si="19"/>
        <v>0</v>
      </c>
      <c r="CB85">
        <f t="shared" si="19"/>
        <v>0</v>
      </c>
      <c r="CC85">
        <f t="shared" si="19"/>
        <v>0</v>
      </c>
      <c r="CD85">
        <f t="shared" si="19"/>
        <v>0</v>
      </c>
      <c r="CE85">
        <f t="shared" si="19"/>
        <v>0</v>
      </c>
      <c r="CF85">
        <f t="shared" si="19"/>
        <v>0</v>
      </c>
      <c r="CG85">
        <f t="shared" si="19"/>
        <v>0</v>
      </c>
      <c r="CH85">
        <f t="shared" si="19"/>
        <v>0</v>
      </c>
      <c r="CI85">
        <f t="shared" si="19"/>
        <v>0</v>
      </c>
      <c r="CJ85">
        <f t="shared" si="19"/>
        <v>0</v>
      </c>
      <c r="CK85">
        <f t="shared" si="19"/>
        <v>0</v>
      </c>
      <c r="CL85">
        <f t="shared" si="19"/>
        <v>0</v>
      </c>
      <c r="CM85">
        <f t="shared" si="19"/>
        <v>0</v>
      </c>
      <c r="CN85">
        <f t="shared" si="19"/>
        <v>0</v>
      </c>
      <c r="CO85">
        <f t="shared" si="19"/>
        <v>0</v>
      </c>
      <c r="CP85">
        <f t="shared" si="19"/>
        <v>0</v>
      </c>
      <c r="CQ85">
        <f t="shared" si="19"/>
        <v>0</v>
      </c>
      <c r="CR85">
        <f t="shared" si="19"/>
        <v>0</v>
      </c>
      <c r="CS85">
        <f t="shared" si="19"/>
        <v>0</v>
      </c>
      <c r="CT85">
        <f t="shared" si="19"/>
        <v>0</v>
      </c>
      <c r="CU85">
        <f t="shared" si="19"/>
        <v>0</v>
      </c>
      <c r="CV85">
        <f t="shared" si="19"/>
        <v>0</v>
      </c>
      <c r="CW85">
        <f t="shared" si="19"/>
        <v>0</v>
      </c>
      <c r="CX85">
        <f t="shared" si="19"/>
        <v>0</v>
      </c>
      <c r="CY85">
        <f t="shared" si="19"/>
        <v>0</v>
      </c>
      <c r="CZ85">
        <f t="shared" si="19"/>
        <v>0</v>
      </c>
      <c r="DA85">
        <f t="shared" si="19"/>
        <v>0</v>
      </c>
      <c r="DB85">
        <f t="shared" si="19"/>
        <v>0</v>
      </c>
      <c r="DC85">
        <f t="shared" si="19"/>
        <v>0</v>
      </c>
      <c r="DD85">
        <f t="shared" si="19"/>
        <v>0</v>
      </c>
      <c r="DE85">
        <f t="shared" si="19"/>
        <v>0</v>
      </c>
      <c r="DF85">
        <f t="shared" si="19"/>
        <v>0</v>
      </c>
      <c r="DG85">
        <f t="shared" si="19"/>
        <v>0</v>
      </c>
      <c r="DH85">
        <f t="shared" si="19"/>
        <v>0</v>
      </c>
      <c r="DI85">
        <f t="shared" si="19"/>
        <v>0</v>
      </c>
    </row>
    <row r="86" spans="1:113">
      <c r="D86" t="s">
        <v>2944</v>
      </c>
      <c r="E86">
        <f t="shared" si="18"/>
        <v>3</v>
      </c>
      <c r="F86">
        <f t="shared" si="18"/>
        <v>0</v>
      </c>
      <c r="G86">
        <f t="shared" si="18"/>
        <v>3</v>
      </c>
      <c r="H86">
        <f t="shared" si="18"/>
        <v>3</v>
      </c>
      <c r="I86">
        <f t="shared" si="18"/>
        <v>0</v>
      </c>
      <c r="J86">
        <f t="shared" si="18"/>
        <v>4</v>
      </c>
      <c r="K86">
        <f t="shared" si="18"/>
        <v>3</v>
      </c>
      <c r="L86">
        <f t="shared" si="18"/>
        <v>0</v>
      </c>
      <c r="M86">
        <f t="shared" si="18"/>
        <v>4</v>
      </c>
      <c r="N86">
        <f t="shared" si="18"/>
        <v>0</v>
      </c>
      <c r="O86">
        <f t="shared" si="18"/>
        <v>4</v>
      </c>
      <c r="P86">
        <f t="shared" si="18"/>
        <v>3</v>
      </c>
      <c r="Q86">
        <f t="shared" si="18"/>
        <v>0</v>
      </c>
      <c r="R86">
        <f t="shared" si="18"/>
        <v>3</v>
      </c>
      <c r="S86">
        <f t="shared" si="18"/>
        <v>3</v>
      </c>
      <c r="T86">
        <f t="shared" si="18"/>
        <v>4</v>
      </c>
      <c r="U86">
        <f t="shared" si="18"/>
        <v>0</v>
      </c>
      <c r="V86">
        <f t="shared" si="18"/>
        <v>0</v>
      </c>
      <c r="W86">
        <f t="shared" si="18"/>
        <v>0</v>
      </c>
      <c r="X86">
        <f t="shared" si="18"/>
        <v>0</v>
      </c>
      <c r="Y86">
        <f t="shared" si="18"/>
        <v>0</v>
      </c>
      <c r="Z86">
        <f t="shared" si="18"/>
        <v>0</v>
      </c>
      <c r="AA86">
        <f t="shared" si="18"/>
        <v>0</v>
      </c>
      <c r="AB86">
        <f t="shared" si="18"/>
        <v>0</v>
      </c>
      <c r="AC86">
        <f t="shared" si="18"/>
        <v>0</v>
      </c>
      <c r="AD86">
        <f t="shared" si="18"/>
        <v>0</v>
      </c>
      <c r="AE86">
        <f t="shared" si="18"/>
        <v>0</v>
      </c>
      <c r="AF86">
        <f t="shared" si="18"/>
        <v>0</v>
      </c>
      <c r="AG86">
        <f t="shared" si="18"/>
        <v>0</v>
      </c>
      <c r="AH86">
        <f t="shared" si="18"/>
        <v>0</v>
      </c>
      <c r="AI86">
        <f t="shared" si="18"/>
        <v>0</v>
      </c>
      <c r="AJ86">
        <f t="shared" si="18"/>
        <v>0</v>
      </c>
      <c r="AK86">
        <f t="shared" si="18"/>
        <v>0</v>
      </c>
      <c r="AL86">
        <f t="shared" si="18"/>
        <v>0</v>
      </c>
      <c r="AM86">
        <f t="shared" si="18"/>
        <v>0</v>
      </c>
      <c r="AN86">
        <f t="shared" si="18"/>
        <v>0</v>
      </c>
      <c r="AO86">
        <f t="shared" si="18"/>
        <v>0</v>
      </c>
      <c r="AP86">
        <f t="shared" si="18"/>
        <v>0</v>
      </c>
      <c r="AQ86">
        <f t="shared" si="18"/>
        <v>0</v>
      </c>
      <c r="AR86">
        <f t="shared" si="18"/>
        <v>0</v>
      </c>
      <c r="AS86">
        <f t="shared" si="18"/>
        <v>0</v>
      </c>
      <c r="AT86">
        <f t="shared" si="18"/>
        <v>0</v>
      </c>
      <c r="AU86">
        <f t="shared" si="18"/>
        <v>0</v>
      </c>
      <c r="AV86">
        <f t="shared" si="18"/>
        <v>0</v>
      </c>
      <c r="AW86">
        <f t="shared" si="18"/>
        <v>0</v>
      </c>
      <c r="AX86">
        <f t="shared" si="18"/>
        <v>0</v>
      </c>
      <c r="AY86">
        <f t="shared" si="18"/>
        <v>0</v>
      </c>
      <c r="AZ86">
        <f t="shared" si="18"/>
        <v>0</v>
      </c>
      <c r="BA86">
        <f t="shared" si="18"/>
        <v>0</v>
      </c>
      <c r="BB86">
        <f t="shared" si="18"/>
        <v>0</v>
      </c>
      <c r="BC86">
        <f t="shared" si="18"/>
        <v>0</v>
      </c>
      <c r="BD86">
        <f t="shared" si="18"/>
        <v>0</v>
      </c>
      <c r="BE86">
        <f t="shared" si="18"/>
        <v>0</v>
      </c>
      <c r="BF86">
        <f t="shared" si="18"/>
        <v>0</v>
      </c>
      <c r="BG86">
        <f t="shared" si="18"/>
        <v>0</v>
      </c>
      <c r="BH86">
        <f t="shared" si="18"/>
        <v>0</v>
      </c>
      <c r="BI86">
        <f t="shared" si="18"/>
        <v>0</v>
      </c>
      <c r="BJ86">
        <f t="shared" si="18"/>
        <v>0</v>
      </c>
      <c r="BK86">
        <f t="shared" si="18"/>
        <v>0</v>
      </c>
      <c r="BL86">
        <f t="shared" si="18"/>
        <v>0</v>
      </c>
      <c r="BM86">
        <f t="shared" si="18"/>
        <v>0</v>
      </c>
      <c r="BN86">
        <f t="shared" si="18"/>
        <v>0</v>
      </c>
      <c r="BO86">
        <f t="shared" si="18"/>
        <v>0</v>
      </c>
      <c r="BP86">
        <f t="shared" si="18"/>
        <v>0</v>
      </c>
      <c r="BQ86">
        <f t="shared" si="19"/>
        <v>0</v>
      </c>
      <c r="BR86">
        <f t="shared" si="19"/>
        <v>0</v>
      </c>
      <c r="BS86">
        <f t="shared" si="19"/>
        <v>0</v>
      </c>
      <c r="BT86">
        <f t="shared" si="19"/>
        <v>0</v>
      </c>
      <c r="BU86">
        <f t="shared" si="19"/>
        <v>0</v>
      </c>
      <c r="BV86">
        <f t="shared" si="19"/>
        <v>0</v>
      </c>
      <c r="BW86">
        <f t="shared" si="19"/>
        <v>0</v>
      </c>
      <c r="BX86">
        <f t="shared" si="19"/>
        <v>0</v>
      </c>
      <c r="BY86">
        <f t="shared" si="19"/>
        <v>0</v>
      </c>
      <c r="BZ86">
        <f t="shared" si="19"/>
        <v>0</v>
      </c>
      <c r="CA86">
        <f t="shared" si="19"/>
        <v>0</v>
      </c>
      <c r="CB86">
        <f t="shared" si="19"/>
        <v>0</v>
      </c>
      <c r="CC86">
        <f t="shared" si="19"/>
        <v>0</v>
      </c>
      <c r="CD86">
        <f t="shared" si="19"/>
        <v>0</v>
      </c>
      <c r="CE86">
        <f t="shared" si="19"/>
        <v>0</v>
      </c>
      <c r="CF86">
        <f t="shared" si="19"/>
        <v>0</v>
      </c>
      <c r="CG86">
        <f t="shared" si="19"/>
        <v>0</v>
      </c>
      <c r="CH86">
        <f t="shared" si="19"/>
        <v>0</v>
      </c>
      <c r="CI86">
        <f t="shared" si="19"/>
        <v>0</v>
      </c>
      <c r="CJ86">
        <f t="shared" si="19"/>
        <v>0</v>
      </c>
      <c r="CK86">
        <f t="shared" si="19"/>
        <v>0</v>
      </c>
      <c r="CL86">
        <f t="shared" si="19"/>
        <v>0</v>
      </c>
      <c r="CM86">
        <f t="shared" si="19"/>
        <v>0</v>
      </c>
      <c r="CN86">
        <f t="shared" si="19"/>
        <v>0</v>
      </c>
      <c r="CO86">
        <f t="shared" si="19"/>
        <v>0</v>
      </c>
      <c r="CP86">
        <f t="shared" si="19"/>
        <v>0</v>
      </c>
      <c r="CQ86">
        <f t="shared" si="19"/>
        <v>0</v>
      </c>
      <c r="CR86">
        <f t="shared" si="19"/>
        <v>0</v>
      </c>
      <c r="CS86">
        <f t="shared" si="19"/>
        <v>0</v>
      </c>
      <c r="CT86">
        <f t="shared" si="19"/>
        <v>0</v>
      </c>
      <c r="CU86">
        <f t="shared" si="19"/>
        <v>0</v>
      </c>
      <c r="CV86">
        <f t="shared" si="19"/>
        <v>0</v>
      </c>
      <c r="CW86">
        <f t="shared" si="19"/>
        <v>0</v>
      </c>
      <c r="CX86">
        <f t="shared" si="19"/>
        <v>0</v>
      </c>
      <c r="CY86">
        <f t="shared" si="19"/>
        <v>0</v>
      </c>
      <c r="CZ86">
        <f t="shared" si="19"/>
        <v>0</v>
      </c>
      <c r="DA86">
        <f t="shared" si="19"/>
        <v>0</v>
      </c>
      <c r="DB86">
        <f t="shared" si="19"/>
        <v>0</v>
      </c>
      <c r="DC86">
        <f t="shared" si="19"/>
        <v>0</v>
      </c>
      <c r="DD86">
        <f t="shared" si="19"/>
        <v>0</v>
      </c>
      <c r="DE86">
        <f t="shared" si="19"/>
        <v>0</v>
      </c>
      <c r="DF86">
        <f t="shared" si="19"/>
        <v>0</v>
      </c>
      <c r="DG86">
        <f t="shared" si="19"/>
        <v>0</v>
      </c>
      <c r="DH86">
        <f t="shared" si="19"/>
        <v>0</v>
      </c>
      <c r="DI86">
        <f t="shared" si="19"/>
        <v>0</v>
      </c>
    </row>
    <row r="87" spans="1:113">
      <c r="D87" t="s">
        <v>2945</v>
      </c>
      <c r="E87">
        <f t="shared" si="18"/>
        <v>3</v>
      </c>
      <c r="F87">
        <f t="shared" si="18"/>
        <v>3</v>
      </c>
      <c r="G87">
        <f t="shared" si="18"/>
        <v>4</v>
      </c>
      <c r="H87">
        <f t="shared" si="18"/>
        <v>4</v>
      </c>
      <c r="I87">
        <f t="shared" si="18"/>
        <v>3</v>
      </c>
      <c r="J87">
        <f t="shared" si="18"/>
        <v>1</v>
      </c>
      <c r="K87">
        <f t="shared" si="18"/>
        <v>4</v>
      </c>
      <c r="L87">
        <f t="shared" si="18"/>
        <v>4</v>
      </c>
      <c r="M87">
        <f t="shared" si="18"/>
        <v>4</v>
      </c>
      <c r="N87">
        <f t="shared" si="18"/>
        <v>4</v>
      </c>
      <c r="O87">
        <f t="shared" si="18"/>
        <v>4</v>
      </c>
      <c r="P87">
        <f t="shared" si="18"/>
        <v>3</v>
      </c>
      <c r="Q87">
        <f t="shared" si="18"/>
        <v>3</v>
      </c>
      <c r="R87">
        <f t="shared" si="18"/>
        <v>4</v>
      </c>
      <c r="S87">
        <f t="shared" si="18"/>
        <v>5</v>
      </c>
      <c r="T87">
        <f t="shared" si="18"/>
        <v>3</v>
      </c>
      <c r="U87">
        <f t="shared" si="18"/>
        <v>0</v>
      </c>
      <c r="V87">
        <f t="shared" si="18"/>
        <v>0</v>
      </c>
      <c r="W87">
        <f t="shared" si="18"/>
        <v>0</v>
      </c>
      <c r="X87">
        <f t="shared" si="18"/>
        <v>0</v>
      </c>
      <c r="Y87">
        <f t="shared" si="18"/>
        <v>0</v>
      </c>
      <c r="Z87">
        <f t="shared" si="18"/>
        <v>0</v>
      </c>
      <c r="AA87">
        <f t="shared" si="18"/>
        <v>0</v>
      </c>
      <c r="AB87">
        <f t="shared" si="18"/>
        <v>0</v>
      </c>
      <c r="AC87">
        <f t="shared" si="18"/>
        <v>0</v>
      </c>
      <c r="AD87">
        <f t="shared" si="18"/>
        <v>0</v>
      </c>
      <c r="AE87">
        <f t="shared" si="18"/>
        <v>0</v>
      </c>
      <c r="AF87">
        <f t="shared" si="18"/>
        <v>0</v>
      </c>
      <c r="AG87">
        <f t="shared" si="18"/>
        <v>0</v>
      </c>
      <c r="AH87">
        <f t="shared" si="18"/>
        <v>0</v>
      </c>
      <c r="AI87">
        <f t="shared" si="18"/>
        <v>0</v>
      </c>
      <c r="AJ87">
        <f t="shared" si="18"/>
        <v>0</v>
      </c>
      <c r="AK87">
        <f t="shared" si="18"/>
        <v>0</v>
      </c>
      <c r="AL87">
        <f t="shared" si="18"/>
        <v>0</v>
      </c>
      <c r="AM87">
        <f t="shared" si="18"/>
        <v>0</v>
      </c>
      <c r="AN87">
        <f t="shared" si="18"/>
        <v>0</v>
      </c>
      <c r="AO87">
        <f t="shared" si="18"/>
        <v>0</v>
      </c>
      <c r="AP87">
        <f t="shared" si="18"/>
        <v>0</v>
      </c>
      <c r="AQ87">
        <f t="shared" si="18"/>
        <v>0</v>
      </c>
      <c r="AR87">
        <f t="shared" si="18"/>
        <v>0</v>
      </c>
      <c r="AS87">
        <f t="shared" si="18"/>
        <v>0</v>
      </c>
      <c r="AT87">
        <f t="shared" si="18"/>
        <v>0</v>
      </c>
      <c r="AU87">
        <f t="shared" si="18"/>
        <v>0</v>
      </c>
      <c r="AV87">
        <f t="shared" si="18"/>
        <v>0</v>
      </c>
      <c r="AW87">
        <f t="shared" si="18"/>
        <v>0</v>
      </c>
      <c r="AX87">
        <f t="shared" si="18"/>
        <v>0</v>
      </c>
      <c r="AY87">
        <f t="shared" si="18"/>
        <v>0</v>
      </c>
      <c r="AZ87">
        <f t="shared" si="18"/>
        <v>0</v>
      </c>
      <c r="BA87">
        <f t="shared" si="18"/>
        <v>0</v>
      </c>
      <c r="BB87">
        <f t="shared" si="18"/>
        <v>0</v>
      </c>
      <c r="BC87">
        <f t="shared" si="18"/>
        <v>0</v>
      </c>
      <c r="BD87">
        <f t="shared" si="18"/>
        <v>0</v>
      </c>
      <c r="BE87">
        <f t="shared" si="18"/>
        <v>0</v>
      </c>
      <c r="BF87">
        <f t="shared" si="18"/>
        <v>0</v>
      </c>
      <c r="BG87">
        <f t="shared" si="18"/>
        <v>0</v>
      </c>
      <c r="BH87">
        <f t="shared" si="18"/>
        <v>0</v>
      </c>
      <c r="BI87">
        <f t="shared" si="18"/>
        <v>0</v>
      </c>
      <c r="BJ87">
        <f t="shared" si="18"/>
        <v>0</v>
      </c>
      <c r="BK87">
        <f t="shared" si="18"/>
        <v>0</v>
      </c>
      <c r="BL87">
        <f t="shared" si="18"/>
        <v>0</v>
      </c>
      <c r="BM87">
        <f t="shared" si="18"/>
        <v>0</v>
      </c>
      <c r="BN87">
        <f t="shared" si="18"/>
        <v>0</v>
      </c>
      <c r="BO87">
        <f t="shared" si="18"/>
        <v>0</v>
      </c>
      <c r="BP87">
        <f t="shared" ref="BP87:CF90" si="20">IF(AND($B18&lt;&gt;"",$C18&lt;&gt;""),IF(BP18&lt;&gt;"",IF(VALUE(LEFT(BP18))=$B18,1,0)+IF(VALUE(RIGHT(BP18))=$C18,1,0)+IF(AND(VALUE(LEFT(BP18,1))&gt;VALUE(RIGHT(BP18,1)),$B18&gt;$C18),3,0)+IF(AND(VALUE(LEFT(BP18,1))&lt;VALUE(RIGHT(BP18,1)),$B18&lt;$C18),3,0)+IF(AND(VALUE(LEFT(BP18,1))=VALUE(RIGHT(BP18,1)),$B18=$C18),3,0),0),0)</f>
        <v>0</v>
      </c>
      <c r="BQ87">
        <f t="shared" si="20"/>
        <v>0</v>
      </c>
      <c r="BR87">
        <f t="shared" si="20"/>
        <v>0</v>
      </c>
      <c r="BS87">
        <f t="shared" si="20"/>
        <v>0</v>
      </c>
      <c r="BT87">
        <f t="shared" si="20"/>
        <v>0</v>
      </c>
      <c r="BU87">
        <f t="shared" si="20"/>
        <v>0</v>
      </c>
      <c r="BV87">
        <f t="shared" si="20"/>
        <v>0</v>
      </c>
      <c r="BW87">
        <f t="shared" si="20"/>
        <v>0</v>
      </c>
      <c r="BX87">
        <f t="shared" si="20"/>
        <v>0</v>
      </c>
      <c r="BY87">
        <f t="shared" si="20"/>
        <v>0</v>
      </c>
      <c r="BZ87">
        <f t="shared" si="20"/>
        <v>0</v>
      </c>
      <c r="CA87">
        <f t="shared" si="20"/>
        <v>0</v>
      </c>
      <c r="CB87">
        <f t="shared" si="20"/>
        <v>0</v>
      </c>
      <c r="CC87">
        <f t="shared" si="20"/>
        <v>0</v>
      </c>
      <c r="CD87">
        <f t="shared" si="20"/>
        <v>0</v>
      </c>
      <c r="CE87">
        <f t="shared" si="20"/>
        <v>0</v>
      </c>
      <c r="CF87">
        <f t="shared" si="20"/>
        <v>0</v>
      </c>
      <c r="CG87">
        <f t="shared" si="19"/>
        <v>0</v>
      </c>
      <c r="CH87">
        <f t="shared" si="19"/>
        <v>0</v>
      </c>
      <c r="CI87">
        <f t="shared" si="19"/>
        <v>0</v>
      </c>
      <c r="CJ87">
        <f t="shared" si="19"/>
        <v>0</v>
      </c>
      <c r="CK87">
        <f t="shared" si="19"/>
        <v>0</v>
      </c>
      <c r="CL87">
        <f t="shared" si="19"/>
        <v>0</v>
      </c>
      <c r="CM87">
        <f t="shared" si="19"/>
        <v>0</v>
      </c>
      <c r="CN87">
        <f t="shared" si="19"/>
        <v>0</v>
      </c>
      <c r="CO87">
        <f t="shared" si="19"/>
        <v>0</v>
      </c>
      <c r="CP87">
        <f t="shared" si="19"/>
        <v>0</v>
      </c>
      <c r="CQ87">
        <f t="shared" si="19"/>
        <v>0</v>
      </c>
      <c r="CR87">
        <f t="shared" si="19"/>
        <v>0</v>
      </c>
      <c r="CS87">
        <f t="shared" si="19"/>
        <v>0</v>
      </c>
      <c r="CT87">
        <f t="shared" si="19"/>
        <v>0</v>
      </c>
      <c r="CU87">
        <f t="shared" si="19"/>
        <v>0</v>
      </c>
      <c r="CV87">
        <f t="shared" si="19"/>
        <v>0</v>
      </c>
      <c r="CW87">
        <f t="shared" si="19"/>
        <v>0</v>
      </c>
      <c r="CX87">
        <f t="shared" si="19"/>
        <v>0</v>
      </c>
      <c r="CY87">
        <f t="shared" si="19"/>
        <v>0</v>
      </c>
      <c r="CZ87">
        <f t="shared" si="19"/>
        <v>0</v>
      </c>
      <c r="DA87">
        <f t="shared" si="19"/>
        <v>0</v>
      </c>
      <c r="DB87">
        <f t="shared" si="19"/>
        <v>0</v>
      </c>
      <c r="DC87">
        <f t="shared" si="19"/>
        <v>0</v>
      </c>
      <c r="DD87">
        <f t="shared" si="19"/>
        <v>0</v>
      </c>
      <c r="DE87">
        <f t="shared" si="19"/>
        <v>0</v>
      </c>
      <c r="DF87">
        <f t="shared" si="19"/>
        <v>0</v>
      </c>
      <c r="DG87">
        <f t="shared" si="19"/>
        <v>0</v>
      </c>
      <c r="DH87">
        <f t="shared" si="19"/>
        <v>0</v>
      </c>
      <c r="DI87">
        <f t="shared" si="19"/>
        <v>0</v>
      </c>
    </row>
    <row r="88" spans="1:113">
      <c r="D88" t="s">
        <v>2946</v>
      </c>
      <c r="E88">
        <f t="shared" ref="E88:BP91" si="21">IF(AND($B19&lt;&gt;"",$C19&lt;&gt;""),IF(E19&lt;&gt;"",IF(VALUE(LEFT(E19))=$B19,1,0)+IF(VALUE(RIGHT(E19))=$C19,1,0)+IF(AND(VALUE(LEFT(E19,1))&gt;VALUE(RIGHT(E19,1)),$B19&gt;$C19),3,0)+IF(AND(VALUE(LEFT(E19,1))&lt;VALUE(RIGHT(E19,1)),$B19&lt;$C19),3,0)+IF(AND(VALUE(LEFT(E19,1))=VALUE(RIGHT(E19,1)),$B19=$C19),3,0),0),0)</f>
        <v>0</v>
      </c>
      <c r="F88">
        <f t="shared" si="21"/>
        <v>0</v>
      </c>
      <c r="G88">
        <f t="shared" si="21"/>
        <v>0</v>
      </c>
      <c r="H88">
        <f t="shared" si="21"/>
        <v>0</v>
      </c>
      <c r="I88">
        <f t="shared" si="21"/>
        <v>0</v>
      </c>
      <c r="J88">
        <f t="shared" si="21"/>
        <v>0</v>
      </c>
      <c r="K88">
        <f t="shared" si="21"/>
        <v>0</v>
      </c>
      <c r="L88">
        <f t="shared" si="21"/>
        <v>0</v>
      </c>
      <c r="M88">
        <f t="shared" si="21"/>
        <v>0</v>
      </c>
      <c r="N88">
        <f t="shared" si="21"/>
        <v>0</v>
      </c>
      <c r="O88">
        <f t="shared" si="21"/>
        <v>0</v>
      </c>
      <c r="P88">
        <f t="shared" si="21"/>
        <v>0</v>
      </c>
      <c r="Q88">
        <f t="shared" si="21"/>
        <v>0</v>
      </c>
      <c r="R88">
        <f t="shared" si="21"/>
        <v>0</v>
      </c>
      <c r="S88">
        <f t="shared" si="21"/>
        <v>0</v>
      </c>
      <c r="T88">
        <f t="shared" si="21"/>
        <v>0</v>
      </c>
      <c r="U88">
        <f t="shared" si="21"/>
        <v>0</v>
      </c>
      <c r="V88">
        <f t="shared" si="21"/>
        <v>0</v>
      </c>
      <c r="W88">
        <f t="shared" si="21"/>
        <v>0</v>
      </c>
      <c r="X88">
        <f t="shared" si="21"/>
        <v>0</v>
      </c>
      <c r="Y88">
        <f t="shared" si="21"/>
        <v>0</v>
      </c>
      <c r="Z88">
        <f t="shared" si="21"/>
        <v>0</v>
      </c>
      <c r="AA88">
        <f t="shared" si="21"/>
        <v>0</v>
      </c>
      <c r="AB88">
        <f t="shared" si="21"/>
        <v>0</v>
      </c>
      <c r="AC88">
        <f t="shared" si="21"/>
        <v>0</v>
      </c>
      <c r="AD88">
        <f t="shared" si="21"/>
        <v>0</v>
      </c>
      <c r="AE88">
        <f t="shared" si="21"/>
        <v>0</v>
      </c>
      <c r="AF88">
        <f t="shared" si="21"/>
        <v>0</v>
      </c>
      <c r="AG88">
        <f t="shared" si="21"/>
        <v>0</v>
      </c>
      <c r="AH88">
        <f t="shared" si="21"/>
        <v>0</v>
      </c>
      <c r="AI88">
        <f t="shared" si="21"/>
        <v>0</v>
      </c>
      <c r="AJ88">
        <f t="shared" si="21"/>
        <v>0</v>
      </c>
      <c r="AK88">
        <f t="shared" si="21"/>
        <v>0</v>
      </c>
      <c r="AL88">
        <f t="shared" si="21"/>
        <v>0</v>
      </c>
      <c r="AM88">
        <f t="shared" si="21"/>
        <v>0</v>
      </c>
      <c r="AN88">
        <f t="shared" si="21"/>
        <v>0</v>
      </c>
      <c r="AO88">
        <f t="shared" si="21"/>
        <v>0</v>
      </c>
      <c r="AP88">
        <f t="shared" si="21"/>
        <v>0</v>
      </c>
      <c r="AQ88">
        <f t="shared" si="21"/>
        <v>0</v>
      </c>
      <c r="AR88">
        <f t="shared" si="21"/>
        <v>0</v>
      </c>
      <c r="AS88">
        <f t="shared" si="21"/>
        <v>0</v>
      </c>
      <c r="AT88">
        <f t="shared" si="21"/>
        <v>0</v>
      </c>
      <c r="AU88">
        <f t="shared" si="21"/>
        <v>0</v>
      </c>
      <c r="AV88">
        <f t="shared" si="21"/>
        <v>0</v>
      </c>
      <c r="AW88">
        <f t="shared" si="21"/>
        <v>0</v>
      </c>
      <c r="AX88">
        <f t="shared" si="21"/>
        <v>0</v>
      </c>
      <c r="AY88">
        <f t="shared" si="21"/>
        <v>0</v>
      </c>
      <c r="AZ88">
        <f t="shared" si="21"/>
        <v>0</v>
      </c>
      <c r="BA88">
        <f t="shared" si="21"/>
        <v>0</v>
      </c>
      <c r="BB88">
        <f t="shared" si="21"/>
        <v>0</v>
      </c>
      <c r="BC88">
        <f t="shared" si="21"/>
        <v>0</v>
      </c>
      <c r="BD88">
        <f t="shared" si="21"/>
        <v>0</v>
      </c>
      <c r="BE88">
        <f t="shared" si="21"/>
        <v>0</v>
      </c>
      <c r="BF88">
        <f t="shared" si="21"/>
        <v>0</v>
      </c>
      <c r="BG88">
        <f t="shared" si="21"/>
        <v>0</v>
      </c>
      <c r="BH88">
        <f t="shared" si="21"/>
        <v>0</v>
      </c>
      <c r="BI88">
        <f t="shared" si="21"/>
        <v>0</v>
      </c>
      <c r="BJ88">
        <f t="shared" si="21"/>
        <v>0</v>
      </c>
      <c r="BK88">
        <f t="shared" si="21"/>
        <v>0</v>
      </c>
      <c r="BL88">
        <f t="shared" si="21"/>
        <v>0</v>
      </c>
      <c r="BM88">
        <f t="shared" si="21"/>
        <v>0</v>
      </c>
      <c r="BN88">
        <f t="shared" si="21"/>
        <v>0</v>
      </c>
      <c r="BO88">
        <f t="shared" si="21"/>
        <v>0</v>
      </c>
      <c r="BP88">
        <f t="shared" si="21"/>
        <v>0</v>
      </c>
      <c r="BQ88">
        <f t="shared" si="20"/>
        <v>0</v>
      </c>
      <c r="BR88">
        <f t="shared" si="20"/>
        <v>0</v>
      </c>
      <c r="BS88">
        <f t="shared" si="20"/>
        <v>0</v>
      </c>
      <c r="BT88">
        <f t="shared" si="20"/>
        <v>0</v>
      </c>
      <c r="BU88">
        <f t="shared" si="20"/>
        <v>0</v>
      </c>
      <c r="BV88">
        <f t="shared" si="20"/>
        <v>0</v>
      </c>
      <c r="BW88">
        <f t="shared" si="20"/>
        <v>0</v>
      </c>
      <c r="BX88">
        <f t="shared" si="20"/>
        <v>0</v>
      </c>
      <c r="BY88">
        <f t="shared" si="20"/>
        <v>0</v>
      </c>
      <c r="BZ88">
        <f t="shared" si="20"/>
        <v>0</v>
      </c>
      <c r="CA88">
        <f t="shared" si="20"/>
        <v>0</v>
      </c>
      <c r="CB88">
        <f t="shared" si="20"/>
        <v>0</v>
      </c>
      <c r="CC88">
        <f t="shared" si="20"/>
        <v>0</v>
      </c>
      <c r="CD88">
        <f t="shared" si="20"/>
        <v>0</v>
      </c>
      <c r="CE88">
        <f t="shared" si="20"/>
        <v>0</v>
      </c>
      <c r="CF88">
        <f t="shared" si="20"/>
        <v>0</v>
      </c>
      <c r="CG88">
        <f t="shared" si="19"/>
        <v>0</v>
      </c>
      <c r="CH88">
        <f t="shared" si="19"/>
        <v>0</v>
      </c>
      <c r="CI88">
        <f t="shared" si="19"/>
        <v>0</v>
      </c>
      <c r="CJ88">
        <f t="shared" si="19"/>
        <v>0</v>
      </c>
      <c r="CK88">
        <f t="shared" si="19"/>
        <v>0</v>
      </c>
      <c r="CL88">
        <f t="shared" si="19"/>
        <v>0</v>
      </c>
      <c r="CM88">
        <f t="shared" si="19"/>
        <v>0</v>
      </c>
      <c r="CN88">
        <f t="shared" si="19"/>
        <v>0</v>
      </c>
      <c r="CO88">
        <f t="shared" si="19"/>
        <v>0</v>
      </c>
      <c r="CP88">
        <f t="shared" si="19"/>
        <v>0</v>
      </c>
      <c r="CQ88">
        <f t="shared" si="19"/>
        <v>0</v>
      </c>
      <c r="CR88">
        <f t="shared" si="19"/>
        <v>0</v>
      </c>
      <c r="CS88">
        <f t="shared" si="19"/>
        <v>0</v>
      </c>
      <c r="CT88">
        <f t="shared" si="19"/>
        <v>0</v>
      </c>
      <c r="CU88">
        <f t="shared" si="19"/>
        <v>0</v>
      </c>
      <c r="CV88">
        <f t="shared" si="19"/>
        <v>0</v>
      </c>
      <c r="CW88">
        <f t="shared" si="19"/>
        <v>0</v>
      </c>
      <c r="CX88">
        <f t="shared" si="19"/>
        <v>0</v>
      </c>
      <c r="CY88">
        <f t="shared" si="19"/>
        <v>0</v>
      </c>
      <c r="CZ88">
        <f t="shared" si="19"/>
        <v>0</v>
      </c>
      <c r="DA88">
        <f t="shared" si="19"/>
        <v>0</v>
      </c>
      <c r="DB88">
        <f t="shared" si="19"/>
        <v>0</v>
      </c>
      <c r="DC88">
        <f t="shared" si="19"/>
        <v>0</v>
      </c>
      <c r="DD88">
        <f t="shared" si="19"/>
        <v>0</v>
      </c>
      <c r="DE88">
        <f t="shared" si="19"/>
        <v>0</v>
      </c>
      <c r="DF88">
        <f t="shared" si="19"/>
        <v>0</v>
      </c>
      <c r="DG88">
        <f t="shared" si="19"/>
        <v>0</v>
      </c>
      <c r="DH88">
        <f t="shared" si="19"/>
        <v>0</v>
      </c>
      <c r="DI88">
        <f t="shared" si="19"/>
        <v>0</v>
      </c>
    </row>
    <row r="89" spans="1:113">
      <c r="D89" t="s">
        <v>2947</v>
      </c>
      <c r="E89">
        <f t="shared" si="21"/>
        <v>0</v>
      </c>
      <c r="F89">
        <f t="shared" si="21"/>
        <v>0</v>
      </c>
      <c r="G89">
        <f t="shared" si="21"/>
        <v>0</v>
      </c>
      <c r="H89">
        <f t="shared" si="21"/>
        <v>0</v>
      </c>
      <c r="I89">
        <f t="shared" si="21"/>
        <v>0</v>
      </c>
      <c r="J89">
        <f t="shared" si="21"/>
        <v>0</v>
      </c>
      <c r="K89">
        <f t="shared" si="21"/>
        <v>0</v>
      </c>
      <c r="L89">
        <f t="shared" si="21"/>
        <v>0</v>
      </c>
      <c r="M89">
        <f t="shared" si="21"/>
        <v>0</v>
      </c>
      <c r="N89">
        <f t="shared" si="21"/>
        <v>0</v>
      </c>
      <c r="O89">
        <f t="shared" si="21"/>
        <v>0</v>
      </c>
      <c r="P89">
        <f t="shared" si="21"/>
        <v>0</v>
      </c>
      <c r="Q89">
        <f t="shared" si="21"/>
        <v>0</v>
      </c>
      <c r="R89">
        <f t="shared" si="21"/>
        <v>0</v>
      </c>
      <c r="S89">
        <f t="shared" si="21"/>
        <v>0</v>
      </c>
      <c r="T89">
        <f t="shared" si="21"/>
        <v>0</v>
      </c>
      <c r="U89">
        <f t="shared" si="21"/>
        <v>0</v>
      </c>
      <c r="V89">
        <f t="shared" si="21"/>
        <v>0</v>
      </c>
      <c r="W89">
        <f t="shared" si="21"/>
        <v>0</v>
      </c>
      <c r="X89">
        <f t="shared" si="21"/>
        <v>0</v>
      </c>
      <c r="Y89">
        <f t="shared" si="21"/>
        <v>0</v>
      </c>
      <c r="Z89">
        <f t="shared" si="21"/>
        <v>0</v>
      </c>
      <c r="AA89">
        <f t="shared" si="21"/>
        <v>0</v>
      </c>
      <c r="AB89">
        <f t="shared" si="21"/>
        <v>0</v>
      </c>
      <c r="AC89">
        <f t="shared" si="21"/>
        <v>0</v>
      </c>
      <c r="AD89">
        <f t="shared" si="21"/>
        <v>0</v>
      </c>
      <c r="AE89">
        <f t="shared" si="21"/>
        <v>0</v>
      </c>
      <c r="AF89">
        <f t="shared" si="21"/>
        <v>0</v>
      </c>
      <c r="AG89">
        <f t="shared" si="21"/>
        <v>0</v>
      </c>
      <c r="AH89">
        <f t="shared" si="21"/>
        <v>0</v>
      </c>
      <c r="AI89">
        <f t="shared" si="21"/>
        <v>0</v>
      </c>
      <c r="AJ89">
        <f t="shared" si="21"/>
        <v>0</v>
      </c>
      <c r="AK89">
        <f t="shared" si="21"/>
        <v>0</v>
      </c>
      <c r="AL89">
        <f t="shared" si="21"/>
        <v>0</v>
      </c>
      <c r="AM89">
        <f t="shared" si="21"/>
        <v>0</v>
      </c>
      <c r="AN89">
        <f t="shared" si="21"/>
        <v>0</v>
      </c>
      <c r="AO89">
        <f t="shared" si="21"/>
        <v>0</v>
      </c>
      <c r="AP89">
        <f t="shared" si="21"/>
        <v>0</v>
      </c>
      <c r="AQ89">
        <f t="shared" si="21"/>
        <v>0</v>
      </c>
      <c r="AR89">
        <f t="shared" si="21"/>
        <v>0</v>
      </c>
      <c r="AS89">
        <f t="shared" si="21"/>
        <v>0</v>
      </c>
      <c r="AT89">
        <f t="shared" si="21"/>
        <v>0</v>
      </c>
      <c r="AU89">
        <f t="shared" si="21"/>
        <v>0</v>
      </c>
      <c r="AV89">
        <f t="shared" si="21"/>
        <v>0</v>
      </c>
      <c r="AW89">
        <f t="shared" si="21"/>
        <v>0</v>
      </c>
      <c r="AX89">
        <f t="shared" si="21"/>
        <v>0</v>
      </c>
      <c r="AY89">
        <f t="shared" si="21"/>
        <v>0</v>
      </c>
      <c r="AZ89">
        <f t="shared" si="21"/>
        <v>0</v>
      </c>
      <c r="BA89">
        <f t="shared" si="21"/>
        <v>0</v>
      </c>
      <c r="BB89">
        <f t="shared" si="21"/>
        <v>0</v>
      </c>
      <c r="BC89">
        <f t="shared" si="21"/>
        <v>0</v>
      </c>
      <c r="BD89">
        <f t="shared" si="21"/>
        <v>0</v>
      </c>
      <c r="BE89">
        <f t="shared" si="21"/>
        <v>0</v>
      </c>
      <c r="BF89">
        <f t="shared" si="21"/>
        <v>0</v>
      </c>
      <c r="BG89">
        <f t="shared" si="21"/>
        <v>0</v>
      </c>
      <c r="BH89">
        <f t="shared" si="21"/>
        <v>0</v>
      </c>
      <c r="BI89">
        <f t="shared" si="21"/>
        <v>0</v>
      </c>
      <c r="BJ89">
        <f t="shared" si="21"/>
        <v>0</v>
      </c>
      <c r="BK89">
        <f t="shared" si="21"/>
        <v>0</v>
      </c>
      <c r="BL89">
        <f t="shared" si="21"/>
        <v>0</v>
      </c>
      <c r="BM89">
        <f t="shared" si="21"/>
        <v>0</v>
      </c>
      <c r="BN89">
        <f t="shared" si="21"/>
        <v>0</v>
      </c>
      <c r="BO89">
        <f t="shared" si="21"/>
        <v>0</v>
      </c>
      <c r="BP89">
        <f t="shared" si="21"/>
        <v>0</v>
      </c>
      <c r="BQ89">
        <f t="shared" si="20"/>
        <v>0</v>
      </c>
      <c r="BR89">
        <f t="shared" si="20"/>
        <v>0</v>
      </c>
      <c r="BS89">
        <f t="shared" si="20"/>
        <v>0</v>
      </c>
      <c r="BT89">
        <f t="shared" si="20"/>
        <v>0</v>
      </c>
      <c r="BU89">
        <f t="shared" si="20"/>
        <v>0</v>
      </c>
      <c r="BV89">
        <f t="shared" si="20"/>
        <v>0</v>
      </c>
      <c r="BW89">
        <f t="shared" si="20"/>
        <v>0</v>
      </c>
      <c r="BX89">
        <f t="shared" si="20"/>
        <v>0</v>
      </c>
      <c r="BY89">
        <f t="shared" si="20"/>
        <v>0</v>
      </c>
      <c r="BZ89">
        <f t="shared" si="20"/>
        <v>0</v>
      </c>
      <c r="CA89">
        <f t="shared" si="20"/>
        <v>0</v>
      </c>
      <c r="CB89">
        <f t="shared" si="20"/>
        <v>0</v>
      </c>
      <c r="CC89">
        <f t="shared" si="20"/>
        <v>0</v>
      </c>
      <c r="CD89">
        <f t="shared" si="20"/>
        <v>0</v>
      </c>
      <c r="CE89">
        <f t="shared" si="20"/>
        <v>0</v>
      </c>
      <c r="CF89">
        <f t="shared" si="20"/>
        <v>0</v>
      </c>
      <c r="CG89">
        <f t="shared" si="19"/>
        <v>0</v>
      </c>
      <c r="CH89">
        <f t="shared" si="19"/>
        <v>0</v>
      </c>
      <c r="CI89">
        <f t="shared" si="19"/>
        <v>0</v>
      </c>
      <c r="CJ89">
        <f t="shared" si="19"/>
        <v>0</v>
      </c>
      <c r="CK89">
        <f t="shared" si="19"/>
        <v>0</v>
      </c>
      <c r="CL89">
        <f t="shared" si="19"/>
        <v>0</v>
      </c>
      <c r="CM89">
        <f t="shared" si="19"/>
        <v>0</v>
      </c>
      <c r="CN89">
        <f t="shared" si="19"/>
        <v>0</v>
      </c>
      <c r="CO89">
        <f t="shared" si="19"/>
        <v>0</v>
      </c>
      <c r="CP89">
        <f t="shared" si="19"/>
        <v>0</v>
      </c>
      <c r="CQ89">
        <f t="shared" si="19"/>
        <v>0</v>
      </c>
      <c r="CR89">
        <f t="shared" si="19"/>
        <v>0</v>
      </c>
      <c r="CS89">
        <f t="shared" si="19"/>
        <v>0</v>
      </c>
      <c r="CT89">
        <f t="shared" si="19"/>
        <v>0</v>
      </c>
      <c r="CU89">
        <f t="shared" si="19"/>
        <v>0</v>
      </c>
      <c r="CV89">
        <f t="shared" si="19"/>
        <v>0</v>
      </c>
      <c r="CW89">
        <f t="shared" si="19"/>
        <v>0</v>
      </c>
      <c r="CX89">
        <f t="shared" si="19"/>
        <v>0</v>
      </c>
      <c r="CY89">
        <f t="shared" si="19"/>
        <v>0</v>
      </c>
      <c r="CZ89">
        <f t="shared" si="19"/>
        <v>0</v>
      </c>
      <c r="DA89">
        <f t="shared" si="19"/>
        <v>0</v>
      </c>
      <c r="DB89">
        <f t="shared" si="19"/>
        <v>0</v>
      </c>
      <c r="DC89">
        <f t="shared" si="19"/>
        <v>0</v>
      </c>
      <c r="DD89">
        <f t="shared" si="19"/>
        <v>0</v>
      </c>
      <c r="DE89">
        <f t="shared" si="19"/>
        <v>0</v>
      </c>
      <c r="DF89">
        <f t="shared" si="19"/>
        <v>0</v>
      </c>
      <c r="DG89">
        <f t="shared" si="19"/>
        <v>0</v>
      </c>
      <c r="DH89">
        <f t="shared" si="19"/>
        <v>0</v>
      </c>
      <c r="DI89">
        <f t="shared" si="19"/>
        <v>0</v>
      </c>
    </row>
    <row r="90" spans="1:113">
      <c r="D90" t="s">
        <v>1987</v>
      </c>
      <c r="E90">
        <f t="shared" si="21"/>
        <v>0</v>
      </c>
      <c r="F90">
        <f t="shared" si="21"/>
        <v>0</v>
      </c>
      <c r="G90">
        <f t="shared" si="21"/>
        <v>0</v>
      </c>
      <c r="H90">
        <f t="shared" si="21"/>
        <v>0</v>
      </c>
      <c r="I90">
        <f t="shared" si="21"/>
        <v>0</v>
      </c>
      <c r="J90">
        <f t="shared" si="21"/>
        <v>0</v>
      </c>
      <c r="K90">
        <f t="shared" si="21"/>
        <v>0</v>
      </c>
      <c r="L90">
        <f t="shared" si="21"/>
        <v>0</v>
      </c>
      <c r="M90">
        <f t="shared" si="21"/>
        <v>0</v>
      </c>
      <c r="N90">
        <f t="shared" si="21"/>
        <v>0</v>
      </c>
      <c r="O90">
        <f t="shared" si="21"/>
        <v>0</v>
      </c>
      <c r="P90">
        <f t="shared" si="21"/>
        <v>0</v>
      </c>
      <c r="Q90">
        <f t="shared" si="21"/>
        <v>0</v>
      </c>
      <c r="R90">
        <f t="shared" si="21"/>
        <v>0</v>
      </c>
      <c r="S90">
        <f t="shared" si="21"/>
        <v>0</v>
      </c>
      <c r="T90">
        <f t="shared" si="21"/>
        <v>0</v>
      </c>
      <c r="U90">
        <f t="shared" si="21"/>
        <v>0</v>
      </c>
      <c r="V90">
        <f t="shared" si="21"/>
        <v>0</v>
      </c>
      <c r="W90">
        <f t="shared" si="21"/>
        <v>0</v>
      </c>
      <c r="X90">
        <f t="shared" si="21"/>
        <v>0</v>
      </c>
      <c r="Y90">
        <f t="shared" si="21"/>
        <v>0</v>
      </c>
      <c r="Z90">
        <f t="shared" si="21"/>
        <v>0</v>
      </c>
      <c r="AA90">
        <f t="shared" si="21"/>
        <v>0</v>
      </c>
      <c r="AB90">
        <f t="shared" si="21"/>
        <v>0</v>
      </c>
      <c r="AC90">
        <f t="shared" si="21"/>
        <v>0</v>
      </c>
      <c r="AD90">
        <f t="shared" si="21"/>
        <v>0</v>
      </c>
      <c r="AE90">
        <f t="shared" si="21"/>
        <v>0</v>
      </c>
      <c r="AF90">
        <f t="shared" si="21"/>
        <v>0</v>
      </c>
      <c r="AG90">
        <f t="shared" si="21"/>
        <v>0</v>
      </c>
      <c r="AH90">
        <f t="shared" si="21"/>
        <v>0</v>
      </c>
      <c r="AI90">
        <f t="shared" si="21"/>
        <v>0</v>
      </c>
      <c r="AJ90">
        <f t="shared" si="21"/>
        <v>0</v>
      </c>
      <c r="AK90">
        <f t="shared" si="21"/>
        <v>0</v>
      </c>
      <c r="AL90">
        <f t="shared" si="21"/>
        <v>0</v>
      </c>
      <c r="AM90">
        <f t="shared" si="21"/>
        <v>0</v>
      </c>
      <c r="AN90">
        <f t="shared" si="21"/>
        <v>0</v>
      </c>
      <c r="AO90">
        <f t="shared" si="21"/>
        <v>0</v>
      </c>
      <c r="AP90">
        <f t="shared" si="21"/>
        <v>0</v>
      </c>
      <c r="AQ90">
        <f t="shared" si="21"/>
        <v>0</v>
      </c>
      <c r="AR90">
        <f t="shared" si="21"/>
        <v>0</v>
      </c>
      <c r="AS90">
        <f t="shared" si="21"/>
        <v>0</v>
      </c>
      <c r="AT90">
        <f t="shared" si="21"/>
        <v>0</v>
      </c>
      <c r="AU90">
        <f t="shared" si="21"/>
        <v>0</v>
      </c>
      <c r="AV90">
        <f t="shared" si="21"/>
        <v>0</v>
      </c>
      <c r="AW90">
        <f t="shared" si="21"/>
        <v>0</v>
      </c>
      <c r="AX90">
        <f t="shared" si="21"/>
        <v>0</v>
      </c>
      <c r="AY90">
        <f t="shared" si="21"/>
        <v>0</v>
      </c>
      <c r="AZ90">
        <f t="shared" si="21"/>
        <v>0</v>
      </c>
      <c r="BA90">
        <f t="shared" si="21"/>
        <v>0</v>
      </c>
      <c r="BB90">
        <f t="shared" si="21"/>
        <v>0</v>
      </c>
      <c r="BC90">
        <f t="shared" si="21"/>
        <v>0</v>
      </c>
      <c r="BD90">
        <f t="shared" si="21"/>
        <v>0</v>
      </c>
      <c r="BE90">
        <f t="shared" si="21"/>
        <v>0</v>
      </c>
      <c r="BF90">
        <f t="shared" si="21"/>
        <v>0</v>
      </c>
      <c r="BG90">
        <f t="shared" si="21"/>
        <v>0</v>
      </c>
      <c r="BH90">
        <f t="shared" si="21"/>
        <v>0</v>
      </c>
      <c r="BI90">
        <f t="shared" si="21"/>
        <v>0</v>
      </c>
      <c r="BJ90">
        <f t="shared" si="21"/>
        <v>0</v>
      </c>
      <c r="BK90">
        <f t="shared" si="21"/>
        <v>0</v>
      </c>
      <c r="BL90">
        <f t="shared" si="21"/>
        <v>0</v>
      </c>
      <c r="BM90">
        <f t="shared" si="21"/>
        <v>0</v>
      </c>
      <c r="BN90">
        <f t="shared" si="21"/>
        <v>0</v>
      </c>
      <c r="BO90">
        <f t="shared" si="21"/>
        <v>0</v>
      </c>
      <c r="BP90">
        <f t="shared" si="21"/>
        <v>0</v>
      </c>
      <c r="BQ90">
        <f t="shared" si="20"/>
        <v>0</v>
      </c>
      <c r="BR90">
        <f t="shared" si="20"/>
        <v>0</v>
      </c>
      <c r="BS90">
        <f t="shared" si="20"/>
        <v>0</v>
      </c>
      <c r="BT90">
        <f t="shared" si="20"/>
        <v>0</v>
      </c>
      <c r="BU90">
        <f t="shared" si="20"/>
        <v>0</v>
      </c>
      <c r="BV90">
        <f t="shared" si="20"/>
        <v>0</v>
      </c>
      <c r="BW90">
        <f t="shared" si="20"/>
        <v>0</v>
      </c>
      <c r="BX90">
        <f t="shared" si="20"/>
        <v>0</v>
      </c>
      <c r="BY90">
        <f t="shared" si="20"/>
        <v>0</v>
      </c>
      <c r="BZ90">
        <f t="shared" si="20"/>
        <v>0</v>
      </c>
      <c r="CA90">
        <f t="shared" si="20"/>
        <v>0</v>
      </c>
      <c r="CB90">
        <f t="shared" si="20"/>
        <v>0</v>
      </c>
      <c r="CC90">
        <f t="shared" si="20"/>
        <v>0</v>
      </c>
      <c r="CD90">
        <f t="shared" si="20"/>
        <v>0</v>
      </c>
      <c r="CE90">
        <f t="shared" si="20"/>
        <v>0</v>
      </c>
      <c r="CF90">
        <f t="shared" si="20"/>
        <v>0</v>
      </c>
      <c r="CG90">
        <f t="shared" si="19"/>
        <v>0</v>
      </c>
      <c r="CH90">
        <f t="shared" si="19"/>
        <v>0</v>
      </c>
      <c r="CI90">
        <f t="shared" si="19"/>
        <v>0</v>
      </c>
      <c r="CJ90">
        <f t="shared" si="19"/>
        <v>0</v>
      </c>
      <c r="CK90">
        <f t="shared" si="19"/>
        <v>0</v>
      </c>
      <c r="CL90">
        <f t="shared" si="19"/>
        <v>0</v>
      </c>
      <c r="CM90">
        <f t="shared" si="19"/>
        <v>0</v>
      </c>
      <c r="CN90">
        <f t="shared" si="19"/>
        <v>0</v>
      </c>
      <c r="CO90">
        <f t="shared" si="19"/>
        <v>0</v>
      </c>
      <c r="CP90">
        <f t="shared" si="19"/>
        <v>0</v>
      </c>
      <c r="CQ90">
        <f t="shared" si="19"/>
        <v>0</v>
      </c>
      <c r="CR90">
        <f t="shared" si="19"/>
        <v>0</v>
      </c>
      <c r="CS90">
        <f t="shared" si="19"/>
        <v>0</v>
      </c>
      <c r="CT90">
        <f t="shared" si="19"/>
        <v>0</v>
      </c>
      <c r="CU90">
        <f t="shared" si="19"/>
        <v>0</v>
      </c>
      <c r="CV90">
        <f t="shared" si="19"/>
        <v>0</v>
      </c>
      <c r="CW90">
        <f t="shared" si="19"/>
        <v>0</v>
      </c>
      <c r="CX90">
        <f t="shared" si="19"/>
        <v>0</v>
      </c>
      <c r="CY90">
        <f t="shared" si="19"/>
        <v>0</v>
      </c>
      <c r="CZ90">
        <f t="shared" si="19"/>
        <v>0</v>
      </c>
      <c r="DA90">
        <f t="shared" si="19"/>
        <v>0</v>
      </c>
      <c r="DB90">
        <f t="shared" si="19"/>
        <v>0</v>
      </c>
      <c r="DC90">
        <f t="shared" si="19"/>
        <v>0</v>
      </c>
      <c r="DD90">
        <f t="shared" si="19"/>
        <v>0</v>
      </c>
      <c r="DE90">
        <f t="shared" si="19"/>
        <v>0</v>
      </c>
      <c r="DF90">
        <f t="shared" si="19"/>
        <v>0</v>
      </c>
      <c r="DG90">
        <f t="shared" si="19"/>
        <v>0</v>
      </c>
      <c r="DH90">
        <f t="shared" si="19"/>
        <v>0</v>
      </c>
      <c r="DI90">
        <f t="shared" si="19"/>
        <v>0</v>
      </c>
    </row>
    <row r="91" spans="1:113">
      <c r="D91" t="s">
        <v>1993</v>
      </c>
      <c r="E91">
        <f t="shared" si="21"/>
        <v>0</v>
      </c>
      <c r="F91">
        <f t="shared" si="21"/>
        <v>0</v>
      </c>
      <c r="G91">
        <f t="shared" si="21"/>
        <v>0</v>
      </c>
      <c r="H91">
        <f t="shared" si="21"/>
        <v>0</v>
      </c>
      <c r="I91">
        <f t="shared" si="21"/>
        <v>0</v>
      </c>
      <c r="J91">
        <f t="shared" si="21"/>
        <v>0</v>
      </c>
      <c r="K91">
        <f t="shared" si="21"/>
        <v>0</v>
      </c>
      <c r="L91">
        <f t="shared" si="21"/>
        <v>0</v>
      </c>
      <c r="M91">
        <f t="shared" si="21"/>
        <v>0</v>
      </c>
      <c r="N91">
        <f t="shared" si="21"/>
        <v>0</v>
      </c>
      <c r="O91">
        <f t="shared" si="21"/>
        <v>0</v>
      </c>
      <c r="P91">
        <f t="shared" si="21"/>
        <v>0</v>
      </c>
      <c r="Q91">
        <f t="shared" si="21"/>
        <v>0</v>
      </c>
      <c r="R91">
        <f t="shared" si="21"/>
        <v>0</v>
      </c>
      <c r="S91">
        <f t="shared" si="21"/>
        <v>0</v>
      </c>
      <c r="T91">
        <f t="shared" si="21"/>
        <v>0</v>
      </c>
      <c r="U91">
        <f t="shared" si="21"/>
        <v>0</v>
      </c>
      <c r="V91">
        <f t="shared" si="21"/>
        <v>0</v>
      </c>
      <c r="W91">
        <f t="shared" si="21"/>
        <v>0</v>
      </c>
      <c r="X91">
        <f t="shared" si="21"/>
        <v>0</v>
      </c>
      <c r="Y91">
        <f t="shared" si="21"/>
        <v>0</v>
      </c>
      <c r="Z91">
        <f t="shared" si="21"/>
        <v>0</v>
      </c>
      <c r="AA91">
        <f t="shared" si="21"/>
        <v>0</v>
      </c>
      <c r="AB91">
        <f t="shared" si="21"/>
        <v>0</v>
      </c>
      <c r="AC91">
        <f t="shared" si="21"/>
        <v>0</v>
      </c>
      <c r="AD91">
        <f t="shared" si="21"/>
        <v>0</v>
      </c>
      <c r="AE91">
        <f t="shared" si="21"/>
        <v>0</v>
      </c>
      <c r="AF91">
        <f t="shared" si="21"/>
        <v>0</v>
      </c>
      <c r="AG91">
        <f t="shared" si="21"/>
        <v>0</v>
      </c>
      <c r="AH91">
        <f t="shared" si="21"/>
        <v>0</v>
      </c>
      <c r="AI91">
        <f t="shared" si="21"/>
        <v>0</v>
      </c>
      <c r="AJ91">
        <f t="shared" si="21"/>
        <v>0</v>
      </c>
      <c r="AK91">
        <f t="shared" si="21"/>
        <v>0</v>
      </c>
      <c r="AL91">
        <f t="shared" si="21"/>
        <v>0</v>
      </c>
      <c r="AM91">
        <f t="shared" si="21"/>
        <v>0</v>
      </c>
      <c r="AN91">
        <f t="shared" si="21"/>
        <v>0</v>
      </c>
      <c r="AO91">
        <f t="shared" si="21"/>
        <v>0</v>
      </c>
      <c r="AP91">
        <f t="shared" si="21"/>
        <v>0</v>
      </c>
      <c r="AQ91">
        <f t="shared" si="21"/>
        <v>0</v>
      </c>
      <c r="AR91">
        <f t="shared" si="21"/>
        <v>0</v>
      </c>
      <c r="AS91">
        <f t="shared" si="21"/>
        <v>0</v>
      </c>
      <c r="AT91">
        <f t="shared" si="21"/>
        <v>0</v>
      </c>
      <c r="AU91">
        <f t="shared" si="21"/>
        <v>0</v>
      </c>
      <c r="AV91">
        <f t="shared" si="21"/>
        <v>0</v>
      </c>
      <c r="AW91">
        <f t="shared" si="21"/>
        <v>0</v>
      </c>
      <c r="AX91">
        <f t="shared" si="21"/>
        <v>0</v>
      </c>
      <c r="AY91">
        <f t="shared" si="21"/>
        <v>0</v>
      </c>
      <c r="AZ91">
        <f t="shared" si="21"/>
        <v>0</v>
      </c>
      <c r="BA91">
        <f t="shared" si="21"/>
        <v>0</v>
      </c>
      <c r="BB91">
        <f t="shared" si="21"/>
        <v>0</v>
      </c>
      <c r="BC91">
        <f t="shared" si="21"/>
        <v>0</v>
      </c>
      <c r="BD91">
        <f t="shared" si="21"/>
        <v>0</v>
      </c>
      <c r="BE91">
        <f t="shared" si="21"/>
        <v>0</v>
      </c>
      <c r="BF91">
        <f t="shared" si="21"/>
        <v>0</v>
      </c>
      <c r="BG91">
        <f t="shared" si="21"/>
        <v>0</v>
      </c>
      <c r="BH91">
        <f t="shared" si="21"/>
        <v>0</v>
      </c>
      <c r="BI91">
        <f t="shared" si="21"/>
        <v>0</v>
      </c>
      <c r="BJ91">
        <f t="shared" si="21"/>
        <v>0</v>
      </c>
      <c r="BK91">
        <f t="shared" si="21"/>
        <v>0</v>
      </c>
      <c r="BL91">
        <f t="shared" si="21"/>
        <v>0</v>
      </c>
      <c r="BM91">
        <f t="shared" si="21"/>
        <v>0</v>
      </c>
      <c r="BN91">
        <f t="shared" si="21"/>
        <v>0</v>
      </c>
      <c r="BO91">
        <f t="shared" si="21"/>
        <v>0</v>
      </c>
      <c r="BP91">
        <f t="shared" ref="BP91:DA101" si="22">IF(AND($B22&lt;&gt;"",$C22&lt;&gt;""),IF(BP22&lt;&gt;"",IF(VALUE(LEFT(BP22))=$B22,1,0)+IF(VALUE(RIGHT(BP22))=$C22,1,0)+IF(AND(VALUE(LEFT(BP22,1))&gt;VALUE(RIGHT(BP22,1)),$B22&gt;$C22),3,0)+IF(AND(VALUE(LEFT(BP22,1))&lt;VALUE(RIGHT(BP22,1)),$B22&lt;$C22),3,0)+IF(AND(VALUE(LEFT(BP22,1))=VALUE(RIGHT(BP22,1)),$B22=$C22),3,0),0),0)</f>
        <v>0</v>
      </c>
      <c r="BQ91">
        <f t="shared" si="22"/>
        <v>0</v>
      </c>
      <c r="BR91">
        <f t="shared" si="22"/>
        <v>0</v>
      </c>
      <c r="BS91">
        <f t="shared" si="22"/>
        <v>0</v>
      </c>
      <c r="BT91">
        <f t="shared" si="22"/>
        <v>0</v>
      </c>
      <c r="BU91">
        <f t="shared" si="22"/>
        <v>0</v>
      </c>
      <c r="BV91">
        <f t="shared" si="22"/>
        <v>0</v>
      </c>
      <c r="BW91">
        <f t="shared" si="22"/>
        <v>0</v>
      </c>
      <c r="BX91">
        <f t="shared" si="22"/>
        <v>0</v>
      </c>
      <c r="BY91">
        <f t="shared" si="22"/>
        <v>0</v>
      </c>
      <c r="BZ91">
        <f t="shared" si="22"/>
        <v>0</v>
      </c>
      <c r="CA91">
        <f t="shared" si="22"/>
        <v>0</v>
      </c>
      <c r="CB91">
        <f t="shared" si="22"/>
        <v>0</v>
      </c>
      <c r="CC91">
        <f t="shared" si="22"/>
        <v>0</v>
      </c>
      <c r="CD91">
        <f t="shared" si="22"/>
        <v>0</v>
      </c>
      <c r="CE91">
        <f t="shared" si="22"/>
        <v>0</v>
      </c>
      <c r="CF91">
        <f t="shared" si="22"/>
        <v>0</v>
      </c>
      <c r="CG91">
        <f t="shared" si="19"/>
        <v>0</v>
      </c>
      <c r="CH91">
        <f t="shared" si="19"/>
        <v>0</v>
      </c>
      <c r="CI91">
        <f t="shared" si="19"/>
        <v>0</v>
      </c>
      <c r="CJ91">
        <f t="shared" si="19"/>
        <v>0</v>
      </c>
      <c r="CK91">
        <f t="shared" ref="CK91:DI100" si="23">IF(AND($B22&lt;&gt;"",$C22&lt;&gt;""),IF(CK22&lt;&gt;"",IF(VALUE(LEFT(CK22))=$B22,1,0)+IF(VALUE(RIGHT(CK22))=$C22,1,0)+IF(AND(VALUE(LEFT(CK22,1))&gt;VALUE(RIGHT(CK22,1)),$B22&gt;$C22),3,0)+IF(AND(VALUE(LEFT(CK22,1))&lt;VALUE(RIGHT(CK22,1)),$B22&lt;$C22),3,0)+IF(AND(VALUE(LEFT(CK22,1))=VALUE(RIGHT(CK22,1)),$B22=$C22),3,0),0),0)</f>
        <v>0</v>
      </c>
      <c r="CL91">
        <f t="shared" si="23"/>
        <v>0</v>
      </c>
      <c r="CM91">
        <f t="shared" si="23"/>
        <v>0</v>
      </c>
      <c r="CN91">
        <f t="shared" si="23"/>
        <v>0</v>
      </c>
      <c r="CO91">
        <f t="shared" si="23"/>
        <v>0</v>
      </c>
      <c r="CP91">
        <f t="shared" si="23"/>
        <v>0</v>
      </c>
      <c r="CQ91">
        <f t="shared" si="23"/>
        <v>0</v>
      </c>
      <c r="CR91">
        <f t="shared" si="23"/>
        <v>0</v>
      </c>
      <c r="CS91">
        <f t="shared" si="23"/>
        <v>0</v>
      </c>
      <c r="CT91">
        <f t="shared" si="23"/>
        <v>0</v>
      </c>
      <c r="CU91">
        <f t="shared" si="23"/>
        <v>0</v>
      </c>
      <c r="CV91">
        <f t="shared" si="23"/>
        <v>0</v>
      </c>
      <c r="CW91">
        <f t="shared" si="23"/>
        <v>0</v>
      </c>
      <c r="CX91">
        <f t="shared" si="23"/>
        <v>0</v>
      </c>
      <c r="CY91">
        <f t="shared" si="23"/>
        <v>0</v>
      </c>
      <c r="CZ91">
        <f t="shared" si="23"/>
        <v>0</v>
      </c>
      <c r="DA91">
        <f t="shared" si="23"/>
        <v>0</v>
      </c>
      <c r="DB91">
        <f t="shared" si="23"/>
        <v>0</v>
      </c>
      <c r="DC91">
        <f t="shared" si="23"/>
        <v>0</v>
      </c>
      <c r="DD91">
        <f t="shared" si="23"/>
        <v>0</v>
      </c>
      <c r="DE91">
        <f t="shared" si="23"/>
        <v>0</v>
      </c>
      <c r="DF91">
        <f t="shared" si="23"/>
        <v>0</v>
      </c>
      <c r="DG91">
        <f t="shared" si="23"/>
        <v>0</v>
      </c>
      <c r="DH91">
        <f t="shared" si="23"/>
        <v>0</v>
      </c>
      <c r="DI91">
        <f t="shared" si="23"/>
        <v>0</v>
      </c>
    </row>
    <row r="92" spans="1:113">
      <c r="D92" t="s">
        <v>2948</v>
      </c>
      <c r="E92">
        <f t="shared" ref="E92:BP95" si="24">IF(AND($B23&lt;&gt;"",$C23&lt;&gt;""),IF(E23&lt;&gt;"",IF(VALUE(LEFT(E23))=$B23,1,0)+IF(VALUE(RIGHT(E23))=$C23,1,0)+IF(AND(VALUE(LEFT(E23,1))&gt;VALUE(RIGHT(E23,1)),$B23&gt;$C23),3,0)+IF(AND(VALUE(LEFT(E23,1))&lt;VALUE(RIGHT(E23,1)),$B23&lt;$C23),3,0)+IF(AND(VALUE(LEFT(E23,1))=VALUE(RIGHT(E23,1)),$B23=$C23),3,0),0),0)</f>
        <v>0</v>
      </c>
      <c r="F92">
        <f t="shared" si="24"/>
        <v>0</v>
      </c>
      <c r="G92">
        <f t="shared" si="24"/>
        <v>0</v>
      </c>
      <c r="H92">
        <f t="shared" si="24"/>
        <v>0</v>
      </c>
      <c r="I92">
        <f t="shared" si="24"/>
        <v>0</v>
      </c>
      <c r="J92">
        <f t="shared" si="24"/>
        <v>0</v>
      </c>
      <c r="K92">
        <f t="shared" si="24"/>
        <v>0</v>
      </c>
      <c r="L92">
        <f t="shared" si="24"/>
        <v>0</v>
      </c>
      <c r="M92">
        <f t="shared" si="24"/>
        <v>0</v>
      </c>
      <c r="N92">
        <f t="shared" si="24"/>
        <v>0</v>
      </c>
      <c r="O92">
        <f t="shared" si="24"/>
        <v>0</v>
      </c>
      <c r="P92">
        <f t="shared" si="24"/>
        <v>0</v>
      </c>
      <c r="Q92">
        <f t="shared" si="24"/>
        <v>0</v>
      </c>
      <c r="R92">
        <f t="shared" si="24"/>
        <v>0</v>
      </c>
      <c r="S92">
        <f t="shared" si="24"/>
        <v>0</v>
      </c>
      <c r="T92">
        <f t="shared" si="24"/>
        <v>0</v>
      </c>
      <c r="U92">
        <f t="shared" si="24"/>
        <v>0</v>
      </c>
      <c r="V92">
        <f t="shared" si="24"/>
        <v>0</v>
      </c>
      <c r="W92">
        <f t="shared" si="24"/>
        <v>0</v>
      </c>
      <c r="X92">
        <f t="shared" si="24"/>
        <v>0</v>
      </c>
      <c r="Y92">
        <f t="shared" si="24"/>
        <v>0</v>
      </c>
      <c r="Z92">
        <f t="shared" si="24"/>
        <v>0</v>
      </c>
      <c r="AA92">
        <f t="shared" si="24"/>
        <v>0</v>
      </c>
      <c r="AB92">
        <f t="shared" si="24"/>
        <v>0</v>
      </c>
      <c r="AC92">
        <f t="shared" si="24"/>
        <v>0</v>
      </c>
      <c r="AD92">
        <f t="shared" si="24"/>
        <v>0</v>
      </c>
      <c r="AE92">
        <f t="shared" si="24"/>
        <v>0</v>
      </c>
      <c r="AF92">
        <f t="shared" si="24"/>
        <v>0</v>
      </c>
      <c r="AG92">
        <f t="shared" si="24"/>
        <v>0</v>
      </c>
      <c r="AH92">
        <f t="shared" si="24"/>
        <v>0</v>
      </c>
      <c r="AI92">
        <f t="shared" si="24"/>
        <v>0</v>
      </c>
      <c r="AJ92">
        <f t="shared" si="24"/>
        <v>0</v>
      </c>
      <c r="AK92">
        <f t="shared" si="24"/>
        <v>0</v>
      </c>
      <c r="AL92">
        <f t="shared" si="24"/>
        <v>0</v>
      </c>
      <c r="AM92">
        <f t="shared" si="24"/>
        <v>0</v>
      </c>
      <c r="AN92">
        <f t="shared" si="24"/>
        <v>0</v>
      </c>
      <c r="AO92">
        <f t="shared" si="24"/>
        <v>0</v>
      </c>
      <c r="AP92">
        <f t="shared" si="24"/>
        <v>0</v>
      </c>
      <c r="AQ92">
        <f t="shared" si="24"/>
        <v>0</v>
      </c>
      <c r="AR92">
        <f t="shared" si="24"/>
        <v>0</v>
      </c>
      <c r="AS92">
        <f t="shared" si="24"/>
        <v>0</v>
      </c>
      <c r="AT92">
        <f t="shared" si="24"/>
        <v>0</v>
      </c>
      <c r="AU92">
        <f t="shared" si="24"/>
        <v>0</v>
      </c>
      <c r="AV92">
        <f t="shared" si="24"/>
        <v>0</v>
      </c>
      <c r="AW92">
        <f t="shared" si="24"/>
        <v>0</v>
      </c>
      <c r="AX92">
        <f t="shared" si="24"/>
        <v>0</v>
      </c>
      <c r="AY92">
        <f t="shared" si="24"/>
        <v>0</v>
      </c>
      <c r="AZ92">
        <f t="shared" si="24"/>
        <v>0</v>
      </c>
      <c r="BA92">
        <f t="shared" si="24"/>
        <v>0</v>
      </c>
      <c r="BB92">
        <f t="shared" si="24"/>
        <v>0</v>
      </c>
      <c r="BC92">
        <f t="shared" si="24"/>
        <v>0</v>
      </c>
      <c r="BD92">
        <f t="shared" si="24"/>
        <v>0</v>
      </c>
      <c r="BE92">
        <f t="shared" si="24"/>
        <v>0</v>
      </c>
      <c r="BF92">
        <f t="shared" si="24"/>
        <v>0</v>
      </c>
      <c r="BG92">
        <f t="shared" si="24"/>
        <v>0</v>
      </c>
      <c r="BH92">
        <f t="shared" si="24"/>
        <v>0</v>
      </c>
      <c r="BI92">
        <f t="shared" si="24"/>
        <v>0</v>
      </c>
      <c r="BJ92">
        <f t="shared" si="24"/>
        <v>0</v>
      </c>
      <c r="BK92">
        <f t="shared" si="24"/>
        <v>0</v>
      </c>
      <c r="BL92">
        <f t="shared" si="24"/>
        <v>0</v>
      </c>
      <c r="BM92">
        <f t="shared" si="24"/>
        <v>0</v>
      </c>
      <c r="BN92">
        <f t="shared" si="24"/>
        <v>0</v>
      </c>
      <c r="BO92">
        <f t="shared" si="24"/>
        <v>0</v>
      </c>
      <c r="BP92">
        <f t="shared" si="24"/>
        <v>0</v>
      </c>
      <c r="BQ92">
        <f t="shared" si="22"/>
        <v>0</v>
      </c>
      <c r="BR92">
        <f t="shared" si="22"/>
        <v>0</v>
      </c>
      <c r="BS92">
        <f t="shared" si="22"/>
        <v>0</v>
      </c>
      <c r="BT92">
        <f t="shared" si="22"/>
        <v>0</v>
      </c>
      <c r="BU92">
        <f t="shared" si="22"/>
        <v>0</v>
      </c>
      <c r="BV92">
        <f t="shared" si="22"/>
        <v>0</v>
      </c>
      <c r="BW92">
        <f t="shared" si="22"/>
        <v>0</v>
      </c>
      <c r="BX92">
        <f t="shared" si="22"/>
        <v>0</v>
      </c>
      <c r="BY92">
        <f t="shared" si="22"/>
        <v>0</v>
      </c>
      <c r="BZ92">
        <f t="shared" si="22"/>
        <v>0</v>
      </c>
      <c r="CA92">
        <f t="shared" si="22"/>
        <v>0</v>
      </c>
      <c r="CB92">
        <f t="shared" si="22"/>
        <v>0</v>
      </c>
      <c r="CC92">
        <f t="shared" si="22"/>
        <v>0</v>
      </c>
      <c r="CD92">
        <f t="shared" si="22"/>
        <v>0</v>
      </c>
      <c r="CE92">
        <f t="shared" si="22"/>
        <v>0</v>
      </c>
      <c r="CF92">
        <f t="shared" si="22"/>
        <v>0</v>
      </c>
      <c r="CG92">
        <f t="shared" si="22"/>
        <v>0</v>
      </c>
      <c r="CH92">
        <f t="shared" si="22"/>
        <v>0</v>
      </c>
      <c r="CI92">
        <f t="shared" si="22"/>
        <v>0</v>
      </c>
      <c r="CJ92">
        <f t="shared" si="22"/>
        <v>0</v>
      </c>
      <c r="CK92">
        <f t="shared" si="22"/>
        <v>0</v>
      </c>
      <c r="CL92">
        <f t="shared" si="22"/>
        <v>0</v>
      </c>
      <c r="CM92">
        <f t="shared" si="22"/>
        <v>0</v>
      </c>
      <c r="CN92">
        <f t="shared" si="22"/>
        <v>0</v>
      </c>
      <c r="CO92">
        <f t="shared" si="22"/>
        <v>0</v>
      </c>
      <c r="CP92">
        <f t="shared" si="22"/>
        <v>0</v>
      </c>
      <c r="CQ92">
        <f t="shared" si="22"/>
        <v>0</v>
      </c>
      <c r="CR92">
        <f t="shared" si="22"/>
        <v>0</v>
      </c>
      <c r="CS92">
        <f t="shared" si="22"/>
        <v>0</v>
      </c>
      <c r="CT92">
        <f t="shared" si="22"/>
        <v>0</v>
      </c>
      <c r="CU92">
        <f t="shared" si="22"/>
        <v>0</v>
      </c>
      <c r="CV92">
        <f t="shared" si="22"/>
        <v>0</v>
      </c>
      <c r="CW92">
        <f t="shared" si="22"/>
        <v>0</v>
      </c>
      <c r="CX92">
        <f t="shared" si="22"/>
        <v>0</v>
      </c>
      <c r="CY92">
        <f t="shared" si="22"/>
        <v>0</v>
      </c>
      <c r="CZ92">
        <f t="shared" si="22"/>
        <v>0</v>
      </c>
      <c r="DA92">
        <f t="shared" si="22"/>
        <v>0</v>
      </c>
      <c r="DB92">
        <f t="shared" si="23"/>
        <v>0</v>
      </c>
      <c r="DC92">
        <f t="shared" si="23"/>
        <v>0</v>
      </c>
      <c r="DD92">
        <f t="shared" si="23"/>
        <v>0</v>
      </c>
      <c r="DE92">
        <f t="shared" si="23"/>
        <v>0</v>
      </c>
      <c r="DF92">
        <f t="shared" si="23"/>
        <v>0</v>
      </c>
      <c r="DG92">
        <f t="shared" si="23"/>
        <v>0</v>
      </c>
      <c r="DH92">
        <f t="shared" si="23"/>
        <v>0</v>
      </c>
      <c r="DI92">
        <f t="shared" si="23"/>
        <v>0</v>
      </c>
    </row>
    <row r="93" spans="1:113">
      <c r="D93" t="s">
        <v>2949</v>
      </c>
      <c r="E93">
        <f t="shared" si="24"/>
        <v>0</v>
      </c>
      <c r="F93">
        <f t="shared" si="24"/>
        <v>0</v>
      </c>
      <c r="G93">
        <f t="shared" si="24"/>
        <v>0</v>
      </c>
      <c r="H93">
        <f t="shared" si="24"/>
        <v>0</v>
      </c>
      <c r="I93">
        <f t="shared" si="24"/>
        <v>0</v>
      </c>
      <c r="J93">
        <f t="shared" si="24"/>
        <v>0</v>
      </c>
      <c r="K93">
        <f t="shared" si="24"/>
        <v>0</v>
      </c>
      <c r="L93">
        <f t="shared" si="24"/>
        <v>0</v>
      </c>
      <c r="M93">
        <f t="shared" si="24"/>
        <v>0</v>
      </c>
      <c r="N93">
        <f t="shared" si="24"/>
        <v>0</v>
      </c>
      <c r="O93">
        <f t="shared" si="24"/>
        <v>0</v>
      </c>
      <c r="P93">
        <f t="shared" si="24"/>
        <v>0</v>
      </c>
      <c r="Q93">
        <f t="shared" si="24"/>
        <v>0</v>
      </c>
      <c r="R93">
        <f t="shared" si="24"/>
        <v>0</v>
      </c>
      <c r="S93">
        <f t="shared" si="24"/>
        <v>0</v>
      </c>
      <c r="T93">
        <f t="shared" si="24"/>
        <v>0</v>
      </c>
      <c r="U93">
        <f t="shared" si="24"/>
        <v>0</v>
      </c>
      <c r="V93">
        <f t="shared" si="24"/>
        <v>0</v>
      </c>
      <c r="W93">
        <f t="shared" si="24"/>
        <v>0</v>
      </c>
      <c r="X93">
        <f t="shared" si="24"/>
        <v>0</v>
      </c>
      <c r="Y93">
        <f t="shared" si="24"/>
        <v>0</v>
      </c>
      <c r="Z93">
        <f t="shared" si="24"/>
        <v>0</v>
      </c>
      <c r="AA93">
        <f t="shared" si="24"/>
        <v>0</v>
      </c>
      <c r="AB93">
        <f t="shared" si="24"/>
        <v>0</v>
      </c>
      <c r="AC93">
        <f t="shared" si="24"/>
        <v>0</v>
      </c>
      <c r="AD93">
        <f t="shared" si="24"/>
        <v>0</v>
      </c>
      <c r="AE93">
        <f t="shared" si="24"/>
        <v>0</v>
      </c>
      <c r="AF93">
        <f t="shared" si="24"/>
        <v>0</v>
      </c>
      <c r="AG93">
        <f t="shared" si="24"/>
        <v>0</v>
      </c>
      <c r="AH93">
        <f t="shared" si="24"/>
        <v>0</v>
      </c>
      <c r="AI93">
        <f t="shared" si="24"/>
        <v>0</v>
      </c>
      <c r="AJ93">
        <f t="shared" si="24"/>
        <v>0</v>
      </c>
      <c r="AK93">
        <f t="shared" si="24"/>
        <v>0</v>
      </c>
      <c r="AL93">
        <f t="shared" si="24"/>
        <v>0</v>
      </c>
      <c r="AM93">
        <f t="shared" si="24"/>
        <v>0</v>
      </c>
      <c r="AN93">
        <f t="shared" si="24"/>
        <v>0</v>
      </c>
      <c r="AO93">
        <f t="shared" si="24"/>
        <v>0</v>
      </c>
      <c r="AP93">
        <f t="shared" si="24"/>
        <v>0</v>
      </c>
      <c r="AQ93">
        <f t="shared" si="24"/>
        <v>0</v>
      </c>
      <c r="AR93">
        <f t="shared" si="24"/>
        <v>0</v>
      </c>
      <c r="AS93">
        <f t="shared" si="24"/>
        <v>0</v>
      </c>
      <c r="AT93">
        <f t="shared" si="24"/>
        <v>0</v>
      </c>
      <c r="AU93">
        <f t="shared" si="24"/>
        <v>0</v>
      </c>
      <c r="AV93">
        <f t="shared" si="24"/>
        <v>0</v>
      </c>
      <c r="AW93">
        <f t="shared" si="24"/>
        <v>0</v>
      </c>
      <c r="AX93">
        <f t="shared" si="24"/>
        <v>0</v>
      </c>
      <c r="AY93">
        <f t="shared" si="24"/>
        <v>0</v>
      </c>
      <c r="AZ93">
        <f t="shared" si="24"/>
        <v>0</v>
      </c>
      <c r="BA93">
        <f t="shared" si="24"/>
        <v>0</v>
      </c>
      <c r="BB93">
        <f t="shared" si="24"/>
        <v>0</v>
      </c>
      <c r="BC93">
        <f t="shared" si="24"/>
        <v>0</v>
      </c>
      <c r="BD93">
        <f t="shared" si="24"/>
        <v>0</v>
      </c>
      <c r="BE93">
        <f t="shared" si="24"/>
        <v>0</v>
      </c>
      <c r="BF93">
        <f t="shared" si="24"/>
        <v>0</v>
      </c>
      <c r="BG93">
        <f t="shared" si="24"/>
        <v>0</v>
      </c>
      <c r="BH93">
        <f t="shared" si="24"/>
        <v>0</v>
      </c>
      <c r="BI93">
        <f t="shared" si="24"/>
        <v>0</v>
      </c>
      <c r="BJ93">
        <f t="shared" si="24"/>
        <v>0</v>
      </c>
      <c r="BK93">
        <f t="shared" si="24"/>
        <v>0</v>
      </c>
      <c r="BL93">
        <f t="shared" si="24"/>
        <v>0</v>
      </c>
      <c r="BM93">
        <f t="shared" si="24"/>
        <v>0</v>
      </c>
      <c r="BN93">
        <f t="shared" si="24"/>
        <v>0</v>
      </c>
      <c r="BO93">
        <f t="shared" si="24"/>
        <v>0</v>
      </c>
      <c r="BP93">
        <f t="shared" si="24"/>
        <v>0</v>
      </c>
      <c r="BQ93">
        <f t="shared" si="22"/>
        <v>0</v>
      </c>
      <c r="BR93">
        <f t="shared" si="22"/>
        <v>0</v>
      </c>
      <c r="BS93">
        <f t="shared" si="22"/>
        <v>0</v>
      </c>
      <c r="BT93">
        <f t="shared" si="22"/>
        <v>0</v>
      </c>
      <c r="BU93">
        <f t="shared" si="22"/>
        <v>0</v>
      </c>
      <c r="BV93">
        <f t="shared" si="22"/>
        <v>0</v>
      </c>
      <c r="BW93">
        <f t="shared" si="22"/>
        <v>0</v>
      </c>
      <c r="BX93">
        <f t="shared" si="22"/>
        <v>0</v>
      </c>
      <c r="BY93">
        <f t="shared" si="22"/>
        <v>0</v>
      </c>
      <c r="BZ93">
        <f t="shared" si="22"/>
        <v>0</v>
      </c>
      <c r="CA93">
        <f t="shared" si="22"/>
        <v>0</v>
      </c>
      <c r="CB93">
        <f t="shared" si="22"/>
        <v>0</v>
      </c>
      <c r="CC93">
        <f t="shared" si="22"/>
        <v>0</v>
      </c>
      <c r="CD93">
        <f t="shared" si="22"/>
        <v>0</v>
      </c>
      <c r="CE93">
        <f t="shared" si="22"/>
        <v>0</v>
      </c>
      <c r="CF93">
        <f t="shared" si="22"/>
        <v>0</v>
      </c>
      <c r="CG93">
        <f t="shared" si="22"/>
        <v>0</v>
      </c>
      <c r="CH93">
        <f t="shared" si="22"/>
        <v>0</v>
      </c>
      <c r="CI93">
        <f t="shared" si="22"/>
        <v>0</v>
      </c>
      <c r="CJ93">
        <f t="shared" si="22"/>
        <v>0</v>
      </c>
      <c r="CK93">
        <f t="shared" si="22"/>
        <v>0</v>
      </c>
      <c r="CL93">
        <f t="shared" si="22"/>
        <v>0</v>
      </c>
      <c r="CM93">
        <f t="shared" si="22"/>
        <v>0</v>
      </c>
      <c r="CN93">
        <f t="shared" si="22"/>
        <v>0</v>
      </c>
      <c r="CO93">
        <f t="shared" si="22"/>
        <v>0</v>
      </c>
      <c r="CP93">
        <f t="shared" si="22"/>
        <v>0</v>
      </c>
      <c r="CQ93">
        <f t="shared" si="22"/>
        <v>0</v>
      </c>
      <c r="CR93">
        <f t="shared" si="22"/>
        <v>0</v>
      </c>
      <c r="CS93">
        <f t="shared" si="22"/>
        <v>0</v>
      </c>
      <c r="CT93">
        <f t="shared" si="22"/>
        <v>0</v>
      </c>
      <c r="CU93">
        <f t="shared" si="22"/>
        <v>0</v>
      </c>
      <c r="CV93">
        <f t="shared" si="22"/>
        <v>0</v>
      </c>
      <c r="CW93">
        <f t="shared" si="22"/>
        <v>0</v>
      </c>
      <c r="CX93">
        <f t="shared" si="22"/>
        <v>0</v>
      </c>
      <c r="CY93">
        <f t="shared" si="22"/>
        <v>0</v>
      </c>
      <c r="CZ93">
        <f t="shared" si="22"/>
        <v>0</v>
      </c>
      <c r="DA93">
        <f t="shared" si="22"/>
        <v>0</v>
      </c>
      <c r="DB93">
        <f t="shared" si="23"/>
        <v>0</v>
      </c>
      <c r="DC93">
        <f t="shared" si="23"/>
        <v>0</v>
      </c>
      <c r="DD93">
        <f t="shared" si="23"/>
        <v>0</v>
      </c>
      <c r="DE93">
        <f t="shared" si="23"/>
        <v>0</v>
      </c>
      <c r="DF93">
        <f t="shared" si="23"/>
        <v>0</v>
      </c>
      <c r="DG93">
        <f t="shared" si="23"/>
        <v>0</v>
      </c>
      <c r="DH93">
        <f t="shared" si="23"/>
        <v>0</v>
      </c>
      <c r="DI93">
        <f t="shared" si="23"/>
        <v>0</v>
      </c>
    </row>
    <row r="94" spans="1:113">
      <c r="D94" t="s">
        <v>2950</v>
      </c>
      <c r="E94">
        <f t="shared" si="24"/>
        <v>0</v>
      </c>
      <c r="F94">
        <f t="shared" si="24"/>
        <v>0</v>
      </c>
      <c r="G94">
        <f t="shared" si="24"/>
        <v>0</v>
      </c>
      <c r="H94">
        <f t="shared" si="24"/>
        <v>0</v>
      </c>
      <c r="I94">
        <f t="shared" si="24"/>
        <v>0</v>
      </c>
      <c r="J94">
        <f t="shared" si="24"/>
        <v>0</v>
      </c>
      <c r="K94">
        <f t="shared" si="24"/>
        <v>0</v>
      </c>
      <c r="L94">
        <f t="shared" si="24"/>
        <v>0</v>
      </c>
      <c r="M94">
        <f t="shared" si="24"/>
        <v>0</v>
      </c>
      <c r="N94">
        <f t="shared" si="24"/>
        <v>0</v>
      </c>
      <c r="O94">
        <f t="shared" si="24"/>
        <v>0</v>
      </c>
      <c r="P94">
        <f t="shared" si="24"/>
        <v>0</v>
      </c>
      <c r="Q94">
        <f t="shared" si="24"/>
        <v>0</v>
      </c>
      <c r="R94">
        <f t="shared" si="24"/>
        <v>0</v>
      </c>
      <c r="S94">
        <f t="shared" si="24"/>
        <v>0</v>
      </c>
      <c r="T94">
        <f t="shared" si="24"/>
        <v>0</v>
      </c>
      <c r="U94">
        <f t="shared" si="24"/>
        <v>0</v>
      </c>
      <c r="V94">
        <f t="shared" si="24"/>
        <v>0</v>
      </c>
      <c r="W94">
        <f t="shared" si="24"/>
        <v>0</v>
      </c>
      <c r="X94">
        <f t="shared" si="24"/>
        <v>0</v>
      </c>
      <c r="Y94">
        <f t="shared" si="24"/>
        <v>0</v>
      </c>
      <c r="Z94">
        <f t="shared" si="24"/>
        <v>0</v>
      </c>
      <c r="AA94">
        <f t="shared" si="24"/>
        <v>0</v>
      </c>
      <c r="AB94">
        <f t="shared" si="24"/>
        <v>0</v>
      </c>
      <c r="AC94">
        <f t="shared" si="24"/>
        <v>0</v>
      </c>
      <c r="AD94">
        <f t="shared" si="24"/>
        <v>0</v>
      </c>
      <c r="AE94">
        <f t="shared" si="24"/>
        <v>0</v>
      </c>
      <c r="AF94">
        <f t="shared" si="24"/>
        <v>0</v>
      </c>
      <c r="AG94">
        <f t="shared" si="24"/>
        <v>0</v>
      </c>
      <c r="AH94">
        <f t="shared" si="24"/>
        <v>0</v>
      </c>
      <c r="AI94">
        <f t="shared" si="24"/>
        <v>0</v>
      </c>
      <c r="AJ94">
        <f t="shared" si="24"/>
        <v>0</v>
      </c>
      <c r="AK94">
        <f t="shared" si="24"/>
        <v>0</v>
      </c>
      <c r="AL94">
        <f t="shared" si="24"/>
        <v>0</v>
      </c>
      <c r="AM94">
        <f t="shared" si="24"/>
        <v>0</v>
      </c>
      <c r="AN94">
        <f t="shared" si="24"/>
        <v>0</v>
      </c>
      <c r="AO94">
        <f t="shared" si="24"/>
        <v>0</v>
      </c>
      <c r="AP94">
        <f t="shared" si="24"/>
        <v>0</v>
      </c>
      <c r="AQ94">
        <f t="shared" si="24"/>
        <v>0</v>
      </c>
      <c r="AR94">
        <f t="shared" si="24"/>
        <v>0</v>
      </c>
      <c r="AS94">
        <f t="shared" si="24"/>
        <v>0</v>
      </c>
      <c r="AT94">
        <f t="shared" si="24"/>
        <v>0</v>
      </c>
      <c r="AU94">
        <f t="shared" si="24"/>
        <v>0</v>
      </c>
      <c r="AV94">
        <f t="shared" si="24"/>
        <v>0</v>
      </c>
      <c r="AW94">
        <f t="shared" si="24"/>
        <v>0</v>
      </c>
      <c r="AX94">
        <f t="shared" si="24"/>
        <v>0</v>
      </c>
      <c r="AY94">
        <f t="shared" si="24"/>
        <v>0</v>
      </c>
      <c r="AZ94">
        <f t="shared" si="24"/>
        <v>0</v>
      </c>
      <c r="BA94">
        <f t="shared" si="24"/>
        <v>0</v>
      </c>
      <c r="BB94">
        <f t="shared" si="24"/>
        <v>0</v>
      </c>
      <c r="BC94">
        <f t="shared" si="24"/>
        <v>0</v>
      </c>
      <c r="BD94">
        <f t="shared" si="24"/>
        <v>0</v>
      </c>
      <c r="BE94">
        <f t="shared" si="24"/>
        <v>0</v>
      </c>
      <c r="BF94">
        <f t="shared" si="24"/>
        <v>0</v>
      </c>
      <c r="BG94">
        <f t="shared" si="24"/>
        <v>0</v>
      </c>
      <c r="BH94">
        <f t="shared" si="24"/>
        <v>0</v>
      </c>
      <c r="BI94">
        <f t="shared" si="24"/>
        <v>0</v>
      </c>
      <c r="BJ94">
        <f t="shared" si="24"/>
        <v>0</v>
      </c>
      <c r="BK94">
        <f t="shared" si="24"/>
        <v>0</v>
      </c>
      <c r="BL94">
        <f t="shared" si="24"/>
        <v>0</v>
      </c>
      <c r="BM94">
        <f t="shared" si="24"/>
        <v>0</v>
      </c>
      <c r="BN94">
        <f t="shared" si="24"/>
        <v>0</v>
      </c>
      <c r="BO94">
        <f t="shared" si="24"/>
        <v>0</v>
      </c>
      <c r="BP94">
        <f t="shared" si="24"/>
        <v>0</v>
      </c>
      <c r="BQ94">
        <f t="shared" si="22"/>
        <v>0</v>
      </c>
      <c r="BR94">
        <f t="shared" si="22"/>
        <v>0</v>
      </c>
      <c r="BS94">
        <f t="shared" si="22"/>
        <v>0</v>
      </c>
      <c r="BT94">
        <f t="shared" si="22"/>
        <v>0</v>
      </c>
      <c r="BU94">
        <f t="shared" si="22"/>
        <v>0</v>
      </c>
      <c r="BV94">
        <f t="shared" si="22"/>
        <v>0</v>
      </c>
      <c r="BW94">
        <f t="shared" si="22"/>
        <v>0</v>
      </c>
      <c r="BX94">
        <f t="shared" si="22"/>
        <v>0</v>
      </c>
      <c r="BY94">
        <f t="shared" si="22"/>
        <v>0</v>
      </c>
      <c r="BZ94">
        <f t="shared" si="22"/>
        <v>0</v>
      </c>
      <c r="CA94">
        <f t="shared" si="22"/>
        <v>0</v>
      </c>
      <c r="CB94">
        <f t="shared" si="22"/>
        <v>0</v>
      </c>
      <c r="CC94">
        <f t="shared" si="22"/>
        <v>0</v>
      </c>
      <c r="CD94">
        <f t="shared" si="22"/>
        <v>0</v>
      </c>
      <c r="CE94">
        <f t="shared" si="22"/>
        <v>0</v>
      </c>
      <c r="CF94">
        <f t="shared" si="22"/>
        <v>0</v>
      </c>
      <c r="CG94">
        <f t="shared" si="22"/>
        <v>0</v>
      </c>
      <c r="CH94">
        <f t="shared" si="22"/>
        <v>0</v>
      </c>
      <c r="CI94">
        <f t="shared" si="22"/>
        <v>0</v>
      </c>
      <c r="CJ94">
        <f t="shared" si="22"/>
        <v>0</v>
      </c>
      <c r="CK94">
        <f t="shared" si="22"/>
        <v>0</v>
      </c>
      <c r="CL94">
        <f t="shared" si="22"/>
        <v>0</v>
      </c>
      <c r="CM94">
        <f t="shared" si="22"/>
        <v>0</v>
      </c>
      <c r="CN94">
        <f t="shared" si="22"/>
        <v>0</v>
      </c>
      <c r="CO94">
        <f t="shared" si="22"/>
        <v>0</v>
      </c>
      <c r="CP94">
        <f t="shared" si="22"/>
        <v>0</v>
      </c>
      <c r="CQ94">
        <f t="shared" si="22"/>
        <v>0</v>
      </c>
      <c r="CR94">
        <f t="shared" si="22"/>
        <v>0</v>
      </c>
      <c r="CS94">
        <f t="shared" si="22"/>
        <v>0</v>
      </c>
      <c r="CT94">
        <f t="shared" si="22"/>
        <v>0</v>
      </c>
      <c r="CU94">
        <f t="shared" si="22"/>
        <v>0</v>
      </c>
      <c r="CV94">
        <f t="shared" si="22"/>
        <v>0</v>
      </c>
      <c r="CW94">
        <f t="shared" si="22"/>
        <v>0</v>
      </c>
      <c r="CX94">
        <f t="shared" si="22"/>
        <v>0</v>
      </c>
      <c r="CY94">
        <f t="shared" si="22"/>
        <v>0</v>
      </c>
      <c r="CZ94">
        <f t="shared" si="22"/>
        <v>0</v>
      </c>
      <c r="DA94">
        <f t="shared" si="22"/>
        <v>0</v>
      </c>
      <c r="DB94">
        <f t="shared" si="23"/>
        <v>0</v>
      </c>
      <c r="DC94">
        <f t="shared" si="23"/>
        <v>0</v>
      </c>
      <c r="DD94">
        <f t="shared" si="23"/>
        <v>0</v>
      </c>
      <c r="DE94">
        <f t="shared" si="23"/>
        <v>0</v>
      </c>
      <c r="DF94">
        <f t="shared" si="23"/>
        <v>0</v>
      </c>
      <c r="DG94">
        <f t="shared" si="23"/>
        <v>0</v>
      </c>
      <c r="DH94">
        <f t="shared" si="23"/>
        <v>0</v>
      </c>
      <c r="DI94">
        <f t="shared" si="23"/>
        <v>0</v>
      </c>
    </row>
    <row r="95" spans="1:113">
      <c r="D95" t="s">
        <v>2951</v>
      </c>
      <c r="E95">
        <f t="shared" si="24"/>
        <v>0</v>
      </c>
      <c r="F95">
        <f t="shared" si="24"/>
        <v>0</v>
      </c>
      <c r="G95">
        <f t="shared" si="24"/>
        <v>0</v>
      </c>
      <c r="H95">
        <f t="shared" si="24"/>
        <v>0</v>
      </c>
      <c r="I95">
        <f t="shared" si="24"/>
        <v>0</v>
      </c>
      <c r="J95">
        <f t="shared" si="24"/>
        <v>0</v>
      </c>
      <c r="K95">
        <f t="shared" si="24"/>
        <v>0</v>
      </c>
      <c r="L95">
        <f t="shared" si="24"/>
        <v>0</v>
      </c>
      <c r="M95">
        <f t="shared" si="24"/>
        <v>0</v>
      </c>
      <c r="N95">
        <f t="shared" si="24"/>
        <v>0</v>
      </c>
      <c r="O95">
        <f t="shared" si="24"/>
        <v>0</v>
      </c>
      <c r="P95">
        <f t="shared" si="24"/>
        <v>0</v>
      </c>
      <c r="Q95">
        <f t="shared" si="24"/>
        <v>0</v>
      </c>
      <c r="R95">
        <f t="shared" si="24"/>
        <v>0</v>
      </c>
      <c r="S95">
        <f t="shared" si="24"/>
        <v>0</v>
      </c>
      <c r="T95">
        <f t="shared" si="24"/>
        <v>0</v>
      </c>
      <c r="U95">
        <f t="shared" si="24"/>
        <v>0</v>
      </c>
      <c r="V95">
        <f t="shared" si="24"/>
        <v>0</v>
      </c>
      <c r="W95">
        <f t="shared" si="24"/>
        <v>0</v>
      </c>
      <c r="X95">
        <f t="shared" si="24"/>
        <v>0</v>
      </c>
      <c r="Y95">
        <f t="shared" si="24"/>
        <v>0</v>
      </c>
      <c r="Z95">
        <f t="shared" si="24"/>
        <v>0</v>
      </c>
      <c r="AA95">
        <f t="shared" si="24"/>
        <v>0</v>
      </c>
      <c r="AB95">
        <f t="shared" si="24"/>
        <v>0</v>
      </c>
      <c r="AC95">
        <f t="shared" si="24"/>
        <v>0</v>
      </c>
      <c r="AD95">
        <f t="shared" si="24"/>
        <v>0</v>
      </c>
      <c r="AE95">
        <f t="shared" si="24"/>
        <v>0</v>
      </c>
      <c r="AF95">
        <f t="shared" si="24"/>
        <v>0</v>
      </c>
      <c r="AG95">
        <f t="shared" si="24"/>
        <v>0</v>
      </c>
      <c r="AH95">
        <f t="shared" si="24"/>
        <v>0</v>
      </c>
      <c r="AI95">
        <f t="shared" si="24"/>
        <v>0</v>
      </c>
      <c r="AJ95">
        <f t="shared" si="24"/>
        <v>0</v>
      </c>
      <c r="AK95">
        <f t="shared" si="24"/>
        <v>0</v>
      </c>
      <c r="AL95">
        <f t="shared" si="24"/>
        <v>0</v>
      </c>
      <c r="AM95">
        <f t="shared" si="24"/>
        <v>0</v>
      </c>
      <c r="AN95">
        <f t="shared" si="24"/>
        <v>0</v>
      </c>
      <c r="AO95">
        <f t="shared" si="24"/>
        <v>0</v>
      </c>
      <c r="AP95">
        <f t="shared" si="24"/>
        <v>0</v>
      </c>
      <c r="AQ95">
        <f t="shared" si="24"/>
        <v>0</v>
      </c>
      <c r="AR95">
        <f t="shared" si="24"/>
        <v>0</v>
      </c>
      <c r="AS95">
        <f t="shared" si="24"/>
        <v>0</v>
      </c>
      <c r="AT95">
        <f t="shared" si="24"/>
        <v>0</v>
      </c>
      <c r="AU95">
        <f t="shared" si="24"/>
        <v>0</v>
      </c>
      <c r="AV95">
        <f t="shared" si="24"/>
        <v>0</v>
      </c>
      <c r="AW95">
        <f t="shared" si="24"/>
        <v>0</v>
      </c>
      <c r="AX95">
        <f t="shared" si="24"/>
        <v>0</v>
      </c>
      <c r="AY95">
        <f t="shared" si="24"/>
        <v>0</v>
      </c>
      <c r="AZ95">
        <f t="shared" si="24"/>
        <v>0</v>
      </c>
      <c r="BA95">
        <f t="shared" si="24"/>
        <v>0</v>
      </c>
      <c r="BB95">
        <f t="shared" si="24"/>
        <v>0</v>
      </c>
      <c r="BC95">
        <f t="shared" si="24"/>
        <v>0</v>
      </c>
      <c r="BD95">
        <f t="shared" si="24"/>
        <v>0</v>
      </c>
      <c r="BE95">
        <f t="shared" si="24"/>
        <v>0</v>
      </c>
      <c r="BF95">
        <f t="shared" si="24"/>
        <v>0</v>
      </c>
      <c r="BG95">
        <f t="shared" si="24"/>
        <v>0</v>
      </c>
      <c r="BH95">
        <f t="shared" si="24"/>
        <v>0</v>
      </c>
      <c r="BI95">
        <f t="shared" si="24"/>
        <v>0</v>
      </c>
      <c r="BJ95">
        <f t="shared" si="24"/>
        <v>0</v>
      </c>
      <c r="BK95">
        <f t="shared" si="24"/>
        <v>0</v>
      </c>
      <c r="BL95">
        <f t="shared" si="24"/>
        <v>0</v>
      </c>
      <c r="BM95">
        <f t="shared" si="24"/>
        <v>0</v>
      </c>
      <c r="BN95">
        <f t="shared" si="24"/>
        <v>0</v>
      </c>
      <c r="BO95">
        <f t="shared" si="24"/>
        <v>0</v>
      </c>
      <c r="BP95">
        <f t="shared" ref="BP95:CF98" si="25">IF(AND($B26&lt;&gt;"",$C26&lt;&gt;""),IF(BP26&lt;&gt;"",IF(VALUE(LEFT(BP26))=$B26,1,0)+IF(VALUE(RIGHT(BP26))=$C26,1,0)+IF(AND(VALUE(LEFT(BP26,1))&gt;VALUE(RIGHT(BP26,1)),$B26&gt;$C26),3,0)+IF(AND(VALUE(LEFT(BP26,1))&lt;VALUE(RIGHT(BP26,1)),$B26&lt;$C26),3,0)+IF(AND(VALUE(LEFT(BP26,1))=VALUE(RIGHT(BP26,1)),$B26=$C26),3,0),0),0)</f>
        <v>0</v>
      </c>
      <c r="BQ95">
        <f t="shared" si="25"/>
        <v>0</v>
      </c>
      <c r="BR95">
        <f t="shared" si="25"/>
        <v>0</v>
      </c>
      <c r="BS95">
        <f t="shared" si="25"/>
        <v>0</v>
      </c>
      <c r="BT95">
        <f t="shared" si="25"/>
        <v>0</v>
      </c>
      <c r="BU95">
        <f t="shared" si="25"/>
        <v>0</v>
      </c>
      <c r="BV95">
        <f t="shared" si="25"/>
        <v>0</v>
      </c>
      <c r="BW95">
        <f t="shared" si="25"/>
        <v>0</v>
      </c>
      <c r="BX95">
        <f t="shared" si="25"/>
        <v>0</v>
      </c>
      <c r="BY95">
        <f t="shared" si="25"/>
        <v>0</v>
      </c>
      <c r="BZ95">
        <f t="shared" si="25"/>
        <v>0</v>
      </c>
      <c r="CA95">
        <f t="shared" si="25"/>
        <v>0</v>
      </c>
      <c r="CB95">
        <f t="shared" si="25"/>
        <v>0</v>
      </c>
      <c r="CC95">
        <f t="shared" si="25"/>
        <v>0</v>
      </c>
      <c r="CD95">
        <f t="shared" si="25"/>
        <v>0</v>
      </c>
      <c r="CE95">
        <f t="shared" si="25"/>
        <v>0</v>
      </c>
      <c r="CF95">
        <f t="shared" si="25"/>
        <v>0</v>
      </c>
      <c r="CG95">
        <f t="shared" si="22"/>
        <v>0</v>
      </c>
      <c r="CH95">
        <f t="shared" si="22"/>
        <v>0</v>
      </c>
      <c r="CI95">
        <f t="shared" si="22"/>
        <v>0</v>
      </c>
      <c r="CJ95">
        <f t="shared" si="22"/>
        <v>0</v>
      </c>
      <c r="CK95">
        <f t="shared" si="22"/>
        <v>0</v>
      </c>
      <c r="CL95">
        <f t="shared" si="22"/>
        <v>0</v>
      </c>
      <c r="CM95">
        <f t="shared" si="22"/>
        <v>0</v>
      </c>
      <c r="CN95">
        <f t="shared" si="22"/>
        <v>0</v>
      </c>
      <c r="CO95">
        <f t="shared" si="22"/>
        <v>0</v>
      </c>
      <c r="CP95">
        <f t="shared" si="22"/>
        <v>0</v>
      </c>
      <c r="CQ95">
        <f t="shared" si="22"/>
        <v>0</v>
      </c>
      <c r="CR95">
        <f t="shared" si="22"/>
        <v>0</v>
      </c>
      <c r="CS95">
        <f t="shared" si="22"/>
        <v>0</v>
      </c>
      <c r="CT95">
        <f t="shared" si="22"/>
        <v>0</v>
      </c>
      <c r="CU95">
        <f t="shared" si="22"/>
        <v>0</v>
      </c>
      <c r="CV95">
        <f t="shared" si="22"/>
        <v>0</v>
      </c>
      <c r="CW95">
        <f t="shared" si="22"/>
        <v>0</v>
      </c>
      <c r="CX95">
        <f t="shared" si="22"/>
        <v>0</v>
      </c>
      <c r="CY95">
        <f t="shared" si="22"/>
        <v>0</v>
      </c>
      <c r="CZ95">
        <f t="shared" si="22"/>
        <v>0</v>
      </c>
      <c r="DA95">
        <f t="shared" si="22"/>
        <v>0</v>
      </c>
      <c r="DB95">
        <f t="shared" si="23"/>
        <v>0</v>
      </c>
      <c r="DC95">
        <f t="shared" si="23"/>
        <v>0</v>
      </c>
      <c r="DD95">
        <f t="shared" si="23"/>
        <v>0</v>
      </c>
      <c r="DE95">
        <f t="shared" si="23"/>
        <v>0</v>
      </c>
      <c r="DF95">
        <f t="shared" si="23"/>
        <v>0</v>
      </c>
      <c r="DG95">
        <f t="shared" si="23"/>
        <v>0</v>
      </c>
      <c r="DH95">
        <f t="shared" si="23"/>
        <v>0</v>
      </c>
      <c r="DI95">
        <f t="shared" si="23"/>
        <v>0</v>
      </c>
    </row>
    <row r="96" spans="1:113">
      <c r="D96" t="s">
        <v>1999</v>
      </c>
      <c r="E96">
        <f t="shared" ref="E96:BP99" si="26">IF(AND($B27&lt;&gt;"",$C27&lt;&gt;""),IF(E27&lt;&gt;"",IF(VALUE(LEFT(E27))=$B27,1,0)+IF(VALUE(RIGHT(E27))=$C27,1,0)+IF(AND(VALUE(LEFT(E27,1))&gt;VALUE(RIGHT(E27,1)),$B27&gt;$C27),3,0)+IF(AND(VALUE(LEFT(E27,1))&lt;VALUE(RIGHT(E27,1)),$B27&lt;$C27),3,0)+IF(AND(VALUE(LEFT(E27,1))=VALUE(RIGHT(E27,1)),$B27=$C27),3,0),0),0)</f>
        <v>0</v>
      </c>
      <c r="F96">
        <f t="shared" si="26"/>
        <v>0</v>
      </c>
      <c r="G96">
        <f t="shared" si="26"/>
        <v>0</v>
      </c>
      <c r="H96">
        <f t="shared" si="26"/>
        <v>0</v>
      </c>
      <c r="I96">
        <f t="shared" si="26"/>
        <v>0</v>
      </c>
      <c r="J96">
        <f t="shared" si="26"/>
        <v>0</v>
      </c>
      <c r="K96">
        <f t="shared" si="26"/>
        <v>0</v>
      </c>
      <c r="L96">
        <f t="shared" si="26"/>
        <v>0</v>
      </c>
      <c r="M96">
        <f t="shared" si="26"/>
        <v>0</v>
      </c>
      <c r="N96">
        <f t="shared" si="26"/>
        <v>0</v>
      </c>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0</v>
      </c>
      <c r="AA96">
        <f t="shared" si="26"/>
        <v>0</v>
      </c>
      <c r="AB96">
        <f t="shared" si="26"/>
        <v>0</v>
      </c>
      <c r="AC96">
        <f t="shared" si="26"/>
        <v>0</v>
      </c>
      <c r="AD96">
        <f t="shared" si="26"/>
        <v>0</v>
      </c>
      <c r="AE96">
        <f t="shared" si="26"/>
        <v>0</v>
      </c>
      <c r="AF96">
        <f t="shared" si="26"/>
        <v>0</v>
      </c>
      <c r="AG96">
        <f t="shared" si="26"/>
        <v>0</v>
      </c>
      <c r="AH96">
        <f t="shared" si="26"/>
        <v>0</v>
      </c>
      <c r="AI96">
        <f t="shared" si="26"/>
        <v>0</v>
      </c>
      <c r="AJ96">
        <f t="shared" si="26"/>
        <v>0</v>
      </c>
      <c r="AK96">
        <f t="shared" si="26"/>
        <v>0</v>
      </c>
      <c r="AL96">
        <f t="shared" si="26"/>
        <v>0</v>
      </c>
      <c r="AM96">
        <f t="shared" si="26"/>
        <v>0</v>
      </c>
      <c r="AN96">
        <f t="shared" si="26"/>
        <v>0</v>
      </c>
      <c r="AO96">
        <f t="shared" si="26"/>
        <v>0</v>
      </c>
      <c r="AP96">
        <f t="shared" si="26"/>
        <v>0</v>
      </c>
      <c r="AQ96">
        <f t="shared" si="26"/>
        <v>0</v>
      </c>
      <c r="AR96">
        <f t="shared" si="26"/>
        <v>0</v>
      </c>
      <c r="AS96">
        <f t="shared" si="26"/>
        <v>0</v>
      </c>
      <c r="AT96">
        <f t="shared" si="26"/>
        <v>0</v>
      </c>
      <c r="AU96">
        <f t="shared" si="26"/>
        <v>0</v>
      </c>
      <c r="AV96">
        <f t="shared" si="26"/>
        <v>0</v>
      </c>
      <c r="AW96">
        <f t="shared" si="26"/>
        <v>0</v>
      </c>
      <c r="AX96">
        <f t="shared" si="26"/>
        <v>0</v>
      </c>
      <c r="AY96">
        <f t="shared" si="26"/>
        <v>0</v>
      </c>
      <c r="AZ96">
        <f t="shared" si="26"/>
        <v>0</v>
      </c>
      <c r="BA96">
        <f t="shared" si="26"/>
        <v>0</v>
      </c>
      <c r="BB96">
        <f t="shared" si="26"/>
        <v>0</v>
      </c>
      <c r="BC96">
        <f t="shared" si="26"/>
        <v>0</v>
      </c>
      <c r="BD96">
        <f t="shared" si="26"/>
        <v>0</v>
      </c>
      <c r="BE96">
        <f t="shared" si="26"/>
        <v>0</v>
      </c>
      <c r="BF96">
        <f t="shared" si="26"/>
        <v>0</v>
      </c>
      <c r="BG96">
        <f t="shared" si="26"/>
        <v>0</v>
      </c>
      <c r="BH96">
        <f t="shared" si="26"/>
        <v>0</v>
      </c>
      <c r="BI96">
        <f t="shared" si="26"/>
        <v>0</v>
      </c>
      <c r="BJ96">
        <f t="shared" si="26"/>
        <v>0</v>
      </c>
      <c r="BK96">
        <f t="shared" si="26"/>
        <v>0</v>
      </c>
      <c r="BL96">
        <f t="shared" si="26"/>
        <v>0</v>
      </c>
      <c r="BM96">
        <f t="shared" si="26"/>
        <v>0</v>
      </c>
      <c r="BN96">
        <f t="shared" si="26"/>
        <v>0</v>
      </c>
      <c r="BO96">
        <f t="shared" si="26"/>
        <v>0</v>
      </c>
      <c r="BP96">
        <f t="shared" si="26"/>
        <v>0</v>
      </c>
      <c r="BQ96">
        <f t="shared" si="25"/>
        <v>0</v>
      </c>
      <c r="BR96">
        <f t="shared" si="25"/>
        <v>0</v>
      </c>
      <c r="BS96">
        <f t="shared" si="25"/>
        <v>0</v>
      </c>
      <c r="BT96">
        <f t="shared" si="25"/>
        <v>0</v>
      </c>
      <c r="BU96">
        <f t="shared" si="25"/>
        <v>0</v>
      </c>
      <c r="BV96">
        <f t="shared" si="25"/>
        <v>0</v>
      </c>
      <c r="BW96">
        <f t="shared" si="25"/>
        <v>0</v>
      </c>
      <c r="BX96">
        <f t="shared" si="25"/>
        <v>0</v>
      </c>
      <c r="BY96">
        <f t="shared" si="25"/>
        <v>0</v>
      </c>
      <c r="BZ96">
        <f t="shared" si="25"/>
        <v>0</v>
      </c>
      <c r="CA96">
        <f t="shared" si="25"/>
        <v>0</v>
      </c>
      <c r="CB96">
        <f t="shared" si="25"/>
        <v>0</v>
      </c>
      <c r="CC96">
        <f t="shared" si="25"/>
        <v>0</v>
      </c>
      <c r="CD96">
        <f t="shared" si="25"/>
        <v>0</v>
      </c>
      <c r="CE96">
        <f t="shared" si="25"/>
        <v>0</v>
      </c>
      <c r="CF96">
        <f t="shared" si="25"/>
        <v>0</v>
      </c>
      <c r="CG96">
        <f t="shared" si="22"/>
        <v>0</v>
      </c>
      <c r="CH96">
        <f t="shared" si="22"/>
        <v>0</v>
      </c>
      <c r="CI96">
        <f t="shared" si="22"/>
        <v>0</v>
      </c>
      <c r="CJ96">
        <f t="shared" si="22"/>
        <v>0</v>
      </c>
      <c r="CK96">
        <f t="shared" si="22"/>
        <v>0</v>
      </c>
      <c r="CL96">
        <f t="shared" si="22"/>
        <v>0</v>
      </c>
      <c r="CM96">
        <f t="shared" si="22"/>
        <v>0</v>
      </c>
      <c r="CN96">
        <f t="shared" si="22"/>
        <v>0</v>
      </c>
      <c r="CO96">
        <f t="shared" si="22"/>
        <v>0</v>
      </c>
      <c r="CP96">
        <f t="shared" si="22"/>
        <v>0</v>
      </c>
      <c r="CQ96">
        <f t="shared" si="22"/>
        <v>0</v>
      </c>
      <c r="CR96">
        <f t="shared" si="22"/>
        <v>0</v>
      </c>
      <c r="CS96">
        <f t="shared" si="22"/>
        <v>0</v>
      </c>
      <c r="CT96">
        <f t="shared" si="22"/>
        <v>0</v>
      </c>
      <c r="CU96">
        <f t="shared" si="22"/>
        <v>0</v>
      </c>
      <c r="CV96">
        <f t="shared" si="22"/>
        <v>0</v>
      </c>
      <c r="CW96">
        <f t="shared" si="22"/>
        <v>0</v>
      </c>
      <c r="CX96">
        <f t="shared" si="22"/>
        <v>0</v>
      </c>
      <c r="CY96">
        <f t="shared" si="22"/>
        <v>0</v>
      </c>
      <c r="CZ96">
        <f t="shared" si="22"/>
        <v>0</v>
      </c>
      <c r="DA96">
        <f t="shared" si="22"/>
        <v>0</v>
      </c>
      <c r="DB96">
        <f t="shared" si="23"/>
        <v>0</v>
      </c>
      <c r="DC96">
        <f t="shared" si="23"/>
        <v>0</v>
      </c>
      <c r="DD96">
        <f t="shared" si="23"/>
        <v>0</v>
      </c>
      <c r="DE96">
        <f t="shared" si="23"/>
        <v>0</v>
      </c>
      <c r="DF96">
        <f t="shared" si="23"/>
        <v>0</v>
      </c>
      <c r="DG96">
        <f t="shared" si="23"/>
        <v>0</v>
      </c>
      <c r="DH96">
        <f t="shared" si="23"/>
        <v>0</v>
      </c>
      <c r="DI96">
        <f t="shared" si="23"/>
        <v>0</v>
      </c>
    </row>
    <row r="97" spans="4:113">
      <c r="D97" t="s">
        <v>2007</v>
      </c>
      <c r="E97">
        <f t="shared" si="26"/>
        <v>0</v>
      </c>
      <c r="F97">
        <f t="shared" si="26"/>
        <v>0</v>
      </c>
      <c r="G97">
        <f t="shared" si="26"/>
        <v>0</v>
      </c>
      <c r="H97">
        <f t="shared" si="26"/>
        <v>0</v>
      </c>
      <c r="I97">
        <f t="shared" si="26"/>
        <v>0</v>
      </c>
      <c r="J97">
        <f t="shared" si="26"/>
        <v>0</v>
      </c>
      <c r="K97">
        <f t="shared" si="26"/>
        <v>0</v>
      </c>
      <c r="L97">
        <f t="shared" si="26"/>
        <v>0</v>
      </c>
      <c r="M97">
        <f t="shared" si="26"/>
        <v>0</v>
      </c>
      <c r="N97">
        <f t="shared" si="26"/>
        <v>0</v>
      </c>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0</v>
      </c>
      <c r="AB97">
        <f t="shared" si="26"/>
        <v>0</v>
      </c>
      <c r="AC97">
        <f t="shared" si="26"/>
        <v>0</v>
      </c>
      <c r="AD97">
        <f t="shared" si="26"/>
        <v>0</v>
      </c>
      <c r="AE97">
        <f t="shared" si="26"/>
        <v>0</v>
      </c>
      <c r="AF97">
        <f t="shared" si="26"/>
        <v>0</v>
      </c>
      <c r="AG97">
        <f t="shared" si="26"/>
        <v>0</v>
      </c>
      <c r="AH97">
        <f t="shared" si="26"/>
        <v>0</v>
      </c>
      <c r="AI97">
        <f t="shared" si="26"/>
        <v>0</v>
      </c>
      <c r="AJ97">
        <f t="shared" si="26"/>
        <v>0</v>
      </c>
      <c r="AK97">
        <f t="shared" si="26"/>
        <v>0</v>
      </c>
      <c r="AL97">
        <f t="shared" si="26"/>
        <v>0</v>
      </c>
      <c r="AM97">
        <f t="shared" si="26"/>
        <v>0</v>
      </c>
      <c r="AN97">
        <f t="shared" si="26"/>
        <v>0</v>
      </c>
      <c r="AO97">
        <f t="shared" si="26"/>
        <v>0</v>
      </c>
      <c r="AP97">
        <f t="shared" si="26"/>
        <v>0</v>
      </c>
      <c r="AQ97">
        <f t="shared" si="26"/>
        <v>0</v>
      </c>
      <c r="AR97">
        <f t="shared" si="26"/>
        <v>0</v>
      </c>
      <c r="AS97">
        <f t="shared" si="26"/>
        <v>0</v>
      </c>
      <c r="AT97">
        <f t="shared" si="26"/>
        <v>0</v>
      </c>
      <c r="AU97">
        <f t="shared" si="26"/>
        <v>0</v>
      </c>
      <c r="AV97">
        <f t="shared" si="26"/>
        <v>0</v>
      </c>
      <c r="AW97">
        <f t="shared" si="26"/>
        <v>0</v>
      </c>
      <c r="AX97">
        <f t="shared" si="26"/>
        <v>0</v>
      </c>
      <c r="AY97">
        <f t="shared" si="26"/>
        <v>0</v>
      </c>
      <c r="AZ97">
        <f t="shared" si="26"/>
        <v>0</v>
      </c>
      <c r="BA97">
        <f t="shared" si="26"/>
        <v>0</v>
      </c>
      <c r="BB97">
        <f t="shared" si="26"/>
        <v>0</v>
      </c>
      <c r="BC97">
        <f t="shared" si="26"/>
        <v>0</v>
      </c>
      <c r="BD97">
        <f t="shared" si="26"/>
        <v>0</v>
      </c>
      <c r="BE97">
        <f t="shared" si="26"/>
        <v>0</v>
      </c>
      <c r="BF97">
        <f t="shared" si="26"/>
        <v>0</v>
      </c>
      <c r="BG97">
        <f t="shared" si="26"/>
        <v>0</v>
      </c>
      <c r="BH97">
        <f t="shared" si="26"/>
        <v>0</v>
      </c>
      <c r="BI97">
        <f t="shared" si="26"/>
        <v>0</v>
      </c>
      <c r="BJ97">
        <f t="shared" si="26"/>
        <v>0</v>
      </c>
      <c r="BK97">
        <f t="shared" si="26"/>
        <v>0</v>
      </c>
      <c r="BL97">
        <f t="shared" si="26"/>
        <v>0</v>
      </c>
      <c r="BM97">
        <f t="shared" si="26"/>
        <v>0</v>
      </c>
      <c r="BN97">
        <f t="shared" si="26"/>
        <v>0</v>
      </c>
      <c r="BO97">
        <f t="shared" si="26"/>
        <v>0</v>
      </c>
      <c r="BP97">
        <f t="shared" si="26"/>
        <v>0</v>
      </c>
      <c r="BQ97">
        <f t="shared" si="25"/>
        <v>0</v>
      </c>
      <c r="BR97">
        <f t="shared" si="25"/>
        <v>0</v>
      </c>
      <c r="BS97">
        <f t="shared" si="25"/>
        <v>0</v>
      </c>
      <c r="BT97">
        <f t="shared" si="25"/>
        <v>0</v>
      </c>
      <c r="BU97">
        <f t="shared" si="25"/>
        <v>0</v>
      </c>
      <c r="BV97">
        <f t="shared" si="25"/>
        <v>0</v>
      </c>
      <c r="BW97">
        <f t="shared" si="25"/>
        <v>0</v>
      </c>
      <c r="BX97">
        <f t="shared" si="25"/>
        <v>0</v>
      </c>
      <c r="BY97">
        <f t="shared" si="25"/>
        <v>0</v>
      </c>
      <c r="BZ97">
        <f t="shared" si="25"/>
        <v>0</v>
      </c>
      <c r="CA97">
        <f t="shared" si="25"/>
        <v>0</v>
      </c>
      <c r="CB97">
        <f t="shared" si="25"/>
        <v>0</v>
      </c>
      <c r="CC97">
        <f t="shared" si="25"/>
        <v>0</v>
      </c>
      <c r="CD97">
        <f t="shared" si="25"/>
        <v>0</v>
      </c>
      <c r="CE97">
        <f t="shared" si="25"/>
        <v>0</v>
      </c>
      <c r="CF97">
        <f t="shared" si="25"/>
        <v>0</v>
      </c>
      <c r="CG97">
        <f t="shared" si="22"/>
        <v>0</v>
      </c>
      <c r="CH97">
        <f t="shared" si="22"/>
        <v>0</v>
      </c>
      <c r="CI97">
        <f t="shared" si="22"/>
        <v>0</v>
      </c>
      <c r="CJ97">
        <f t="shared" si="22"/>
        <v>0</v>
      </c>
      <c r="CK97">
        <f t="shared" si="22"/>
        <v>0</v>
      </c>
      <c r="CL97">
        <f t="shared" si="22"/>
        <v>0</v>
      </c>
      <c r="CM97">
        <f t="shared" si="22"/>
        <v>0</v>
      </c>
      <c r="CN97">
        <f t="shared" si="22"/>
        <v>0</v>
      </c>
      <c r="CO97">
        <f t="shared" si="22"/>
        <v>0</v>
      </c>
      <c r="CP97">
        <f t="shared" si="22"/>
        <v>0</v>
      </c>
      <c r="CQ97">
        <f t="shared" si="22"/>
        <v>0</v>
      </c>
      <c r="CR97">
        <f t="shared" si="22"/>
        <v>0</v>
      </c>
      <c r="CS97">
        <f t="shared" si="22"/>
        <v>0</v>
      </c>
      <c r="CT97">
        <f t="shared" si="22"/>
        <v>0</v>
      </c>
      <c r="CU97">
        <f t="shared" si="22"/>
        <v>0</v>
      </c>
      <c r="CV97">
        <f t="shared" si="22"/>
        <v>0</v>
      </c>
      <c r="CW97">
        <f t="shared" si="22"/>
        <v>0</v>
      </c>
      <c r="CX97">
        <f t="shared" si="22"/>
        <v>0</v>
      </c>
      <c r="CY97">
        <f t="shared" si="22"/>
        <v>0</v>
      </c>
      <c r="CZ97">
        <f t="shared" si="22"/>
        <v>0</v>
      </c>
      <c r="DA97">
        <f t="shared" si="22"/>
        <v>0</v>
      </c>
      <c r="DB97">
        <f t="shared" si="23"/>
        <v>0</v>
      </c>
      <c r="DC97">
        <f t="shared" si="23"/>
        <v>0</v>
      </c>
      <c r="DD97">
        <f t="shared" si="23"/>
        <v>0</v>
      </c>
      <c r="DE97">
        <f t="shared" si="23"/>
        <v>0</v>
      </c>
      <c r="DF97">
        <f t="shared" si="23"/>
        <v>0</v>
      </c>
      <c r="DG97">
        <f t="shared" si="23"/>
        <v>0</v>
      </c>
      <c r="DH97">
        <f t="shared" si="23"/>
        <v>0</v>
      </c>
      <c r="DI97">
        <f t="shared" si="23"/>
        <v>0</v>
      </c>
    </row>
    <row r="98" spans="4:113">
      <c r="D98" t="s">
        <v>2952</v>
      </c>
      <c r="E98">
        <f t="shared" si="26"/>
        <v>0</v>
      </c>
      <c r="F98">
        <f t="shared" si="26"/>
        <v>0</v>
      </c>
      <c r="G98">
        <f t="shared" si="26"/>
        <v>0</v>
      </c>
      <c r="H98">
        <f t="shared" si="26"/>
        <v>0</v>
      </c>
      <c r="I98">
        <f t="shared" si="26"/>
        <v>0</v>
      </c>
      <c r="J98">
        <f t="shared" si="26"/>
        <v>0</v>
      </c>
      <c r="K98">
        <f t="shared" si="26"/>
        <v>0</v>
      </c>
      <c r="L98">
        <f t="shared" si="26"/>
        <v>0</v>
      </c>
      <c r="M98">
        <f t="shared" si="26"/>
        <v>0</v>
      </c>
      <c r="N98">
        <f t="shared" si="26"/>
        <v>0</v>
      </c>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0</v>
      </c>
      <c r="AC98">
        <f t="shared" si="26"/>
        <v>0</v>
      </c>
      <c r="AD98">
        <f t="shared" si="26"/>
        <v>0</v>
      </c>
      <c r="AE98">
        <f t="shared" si="26"/>
        <v>0</v>
      </c>
      <c r="AF98">
        <f t="shared" si="26"/>
        <v>0</v>
      </c>
      <c r="AG98">
        <f t="shared" si="26"/>
        <v>0</v>
      </c>
      <c r="AH98">
        <f t="shared" si="26"/>
        <v>0</v>
      </c>
      <c r="AI98">
        <f t="shared" si="26"/>
        <v>0</v>
      </c>
      <c r="AJ98">
        <f t="shared" si="26"/>
        <v>0</v>
      </c>
      <c r="AK98">
        <f t="shared" si="26"/>
        <v>0</v>
      </c>
      <c r="AL98">
        <f t="shared" si="26"/>
        <v>0</v>
      </c>
      <c r="AM98">
        <f t="shared" si="26"/>
        <v>0</v>
      </c>
      <c r="AN98">
        <f t="shared" si="26"/>
        <v>0</v>
      </c>
      <c r="AO98">
        <f t="shared" si="26"/>
        <v>0</v>
      </c>
      <c r="AP98">
        <f t="shared" si="26"/>
        <v>0</v>
      </c>
      <c r="AQ98">
        <f t="shared" si="26"/>
        <v>0</v>
      </c>
      <c r="AR98">
        <f t="shared" si="26"/>
        <v>0</v>
      </c>
      <c r="AS98">
        <f t="shared" si="26"/>
        <v>0</v>
      </c>
      <c r="AT98">
        <f t="shared" si="26"/>
        <v>0</v>
      </c>
      <c r="AU98">
        <f t="shared" si="26"/>
        <v>0</v>
      </c>
      <c r="AV98">
        <f t="shared" si="26"/>
        <v>0</v>
      </c>
      <c r="AW98">
        <f t="shared" si="26"/>
        <v>0</v>
      </c>
      <c r="AX98">
        <f t="shared" si="26"/>
        <v>0</v>
      </c>
      <c r="AY98">
        <f t="shared" si="26"/>
        <v>0</v>
      </c>
      <c r="AZ98">
        <f t="shared" si="26"/>
        <v>0</v>
      </c>
      <c r="BA98">
        <f t="shared" si="26"/>
        <v>0</v>
      </c>
      <c r="BB98">
        <f t="shared" si="26"/>
        <v>0</v>
      </c>
      <c r="BC98">
        <f t="shared" si="26"/>
        <v>0</v>
      </c>
      <c r="BD98">
        <f t="shared" si="26"/>
        <v>0</v>
      </c>
      <c r="BE98">
        <f t="shared" si="26"/>
        <v>0</v>
      </c>
      <c r="BF98">
        <f t="shared" si="26"/>
        <v>0</v>
      </c>
      <c r="BG98">
        <f t="shared" si="26"/>
        <v>0</v>
      </c>
      <c r="BH98">
        <f t="shared" si="26"/>
        <v>0</v>
      </c>
      <c r="BI98">
        <f t="shared" si="26"/>
        <v>0</v>
      </c>
      <c r="BJ98">
        <f t="shared" si="26"/>
        <v>0</v>
      </c>
      <c r="BK98">
        <f t="shared" si="26"/>
        <v>0</v>
      </c>
      <c r="BL98">
        <f t="shared" si="26"/>
        <v>0</v>
      </c>
      <c r="BM98">
        <f t="shared" si="26"/>
        <v>0</v>
      </c>
      <c r="BN98">
        <f t="shared" si="26"/>
        <v>0</v>
      </c>
      <c r="BO98">
        <f t="shared" si="26"/>
        <v>0</v>
      </c>
      <c r="BP98">
        <f t="shared" si="26"/>
        <v>0</v>
      </c>
      <c r="BQ98">
        <f t="shared" si="25"/>
        <v>0</v>
      </c>
      <c r="BR98">
        <f t="shared" si="25"/>
        <v>0</v>
      </c>
      <c r="BS98">
        <f t="shared" si="25"/>
        <v>0</v>
      </c>
      <c r="BT98">
        <f t="shared" si="25"/>
        <v>0</v>
      </c>
      <c r="BU98">
        <f t="shared" si="25"/>
        <v>0</v>
      </c>
      <c r="BV98">
        <f t="shared" si="25"/>
        <v>0</v>
      </c>
      <c r="BW98">
        <f t="shared" si="25"/>
        <v>0</v>
      </c>
      <c r="BX98">
        <f t="shared" si="25"/>
        <v>0</v>
      </c>
      <c r="BY98">
        <f t="shared" si="25"/>
        <v>0</v>
      </c>
      <c r="BZ98">
        <f t="shared" si="25"/>
        <v>0</v>
      </c>
      <c r="CA98">
        <f t="shared" si="25"/>
        <v>0</v>
      </c>
      <c r="CB98">
        <f t="shared" si="25"/>
        <v>0</v>
      </c>
      <c r="CC98">
        <f t="shared" si="25"/>
        <v>0</v>
      </c>
      <c r="CD98">
        <f t="shared" si="25"/>
        <v>0</v>
      </c>
      <c r="CE98">
        <f t="shared" si="25"/>
        <v>0</v>
      </c>
      <c r="CF98">
        <f t="shared" si="25"/>
        <v>0</v>
      </c>
      <c r="CG98">
        <f t="shared" si="22"/>
        <v>0</v>
      </c>
      <c r="CH98">
        <f t="shared" si="22"/>
        <v>0</v>
      </c>
      <c r="CI98">
        <f t="shared" si="22"/>
        <v>0</v>
      </c>
      <c r="CJ98">
        <f t="shared" si="22"/>
        <v>0</v>
      </c>
      <c r="CK98">
        <f t="shared" si="22"/>
        <v>0</v>
      </c>
      <c r="CL98">
        <f t="shared" si="22"/>
        <v>0</v>
      </c>
      <c r="CM98">
        <f t="shared" si="22"/>
        <v>0</v>
      </c>
      <c r="CN98">
        <f t="shared" si="22"/>
        <v>0</v>
      </c>
      <c r="CO98">
        <f t="shared" si="22"/>
        <v>0</v>
      </c>
      <c r="CP98">
        <f t="shared" si="22"/>
        <v>0</v>
      </c>
      <c r="CQ98">
        <f t="shared" si="22"/>
        <v>0</v>
      </c>
      <c r="CR98">
        <f t="shared" si="22"/>
        <v>0</v>
      </c>
      <c r="CS98">
        <f t="shared" si="22"/>
        <v>0</v>
      </c>
      <c r="CT98">
        <f t="shared" si="22"/>
        <v>0</v>
      </c>
      <c r="CU98">
        <f t="shared" si="22"/>
        <v>0</v>
      </c>
      <c r="CV98">
        <f t="shared" si="22"/>
        <v>0</v>
      </c>
      <c r="CW98">
        <f t="shared" si="22"/>
        <v>0</v>
      </c>
      <c r="CX98">
        <f t="shared" si="22"/>
        <v>0</v>
      </c>
      <c r="CY98">
        <f t="shared" si="22"/>
        <v>0</v>
      </c>
      <c r="CZ98">
        <f t="shared" si="22"/>
        <v>0</v>
      </c>
      <c r="DA98">
        <f t="shared" si="22"/>
        <v>0</v>
      </c>
      <c r="DB98">
        <f t="shared" si="23"/>
        <v>0</v>
      </c>
      <c r="DC98">
        <f t="shared" si="23"/>
        <v>0</v>
      </c>
      <c r="DD98">
        <f t="shared" si="23"/>
        <v>0</v>
      </c>
      <c r="DE98">
        <f t="shared" si="23"/>
        <v>0</v>
      </c>
      <c r="DF98">
        <f t="shared" si="23"/>
        <v>0</v>
      </c>
      <c r="DG98">
        <f t="shared" si="23"/>
        <v>0</v>
      </c>
      <c r="DH98">
        <f t="shared" si="23"/>
        <v>0</v>
      </c>
      <c r="DI98">
        <f t="shared" si="23"/>
        <v>0</v>
      </c>
    </row>
    <row r="99" spans="4:113">
      <c r="D99" t="s">
        <v>2953</v>
      </c>
      <c r="E99">
        <f t="shared" si="26"/>
        <v>0</v>
      </c>
      <c r="F99">
        <f t="shared" si="26"/>
        <v>0</v>
      </c>
      <c r="G99">
        <f t="shared" si="26"/>
        <v>0</v>
      </c>
      <c r="H99">
        <f t="shared" si="26"/>
        <v>0</v>
      </c>
      <c r="I99">
        <f t="shared" si="26"/>
        <v>0</v>
      </c>
      <c r="J99">
        <f t="shared" si="26"/>
        <v>0</v>
      </c>
      <c r="K99">
        <f t="shared" si="26"/>
        <v>0</v>
      </c>
      <c r="L99">
        <f t="shared" si="26"/>
        <v>0</v>
      </c>
      <c r="M99">
        <f t="shared" si="26"/>
        <v>0</v>
      </c>
      <c r="N99">
        <f t="shared" si="26"/>
        <v>0</v>
      </c>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0</v>
      </c>
      <c r="AD99">
        <f t="shared" si="26"/>
        <v>0</v>
      </c>
      <c r="AE99">
        <f t="shared" si="26"/>
        <v>0</v>
      </c>
      <c r="AF99">
        <f t="shared" si="26"/>
        <v>0</v>
      </c>
      <c r="AG99">
        <f t="shared" si="26"/>
        <v>0</v>
      </c>
      <c r="AH99">
        <f t="shared" si="26"/>
        <v>0</v>
      </c>
      <c r="AI99">
        <f t="shared" si="26"/>
        <v>0</v>
      </c>
      <c r="AJ99">
        <f t="shared" si="26"/>
        <v>0</v>
      </c>
      <c r="AK99">
        <f t="shared" si="26"/>
        <v>0</v>
      </c>
      <c r="AL99">
        <f t="shared" si="26"/>
        <v>0</v>
      </c>
      <c r="AM99">
        <f t="shared" si="26"/>
        <v>0</v>
      </c>
      <c r="AN99">
        <f t="shared" si="26"/>
        <v>0</v>
      </c>
      <c r="AO99">
        <f t="shared" si="26"/>
        <v>0</v>
      </c>
      <c r="AP99">
        <f t="shared" si="26"/>
        <v>0</v>
      </c>
      <c r="AQ99">
        <f t="shared" si="26"/>
        <v>0</v>
      </c>
      <c r="AR99">
        <f t="shared" si="26"/>
        <v>0</v>
      </c>
      <c r="AS99">
        <f t="shared" si="26"/>
        <v>0</v>
      </c>
      <c r="AT99">
        <f t="shared" si="26"/>
        <v>0</v>
      </c>
      <c r="AU99">
        <f t="shared" si="26"/>
        <v>0</v>
      </c>
      <c r="AV99">
        <f t="shared" si="26"/>
        <v>0</v>
      </c>
      <c r="AW99">
        <f t="shared" si="26"/>
        <v>0</v>
      </c>
      <c r="AX99">
        <f t="shared" si="26"/>
        <v>0</v>
      </c>
      <c r="AY99">
        <f t="shared" si="26"/>
        <v>0</v>
      </c>
      <c r="AZ99">
        <f t="shared" si="26"/>
        <v>0</v>
      </c>
      <c r="BA99">
        <f t="shared" si="26"/>
        <v>0</v>
      </c>
      <c r="BB99">
        <f t="shared" si="26"/>
        <v>0</v>
      </c>
      <c r="BC99">
        <f t="shared" si="26"/>
        <v>0</v>
      </c>
      <c r="BD99">
        <f t="shared" si="26"/>
        <v>0</v>
      </c>
      <c r="BE99">
        <f t="shared" si="26"/>
        <v>0</v>
      </c>
      <c r="BF99">
        <f t="shared" si="26"/>
        <v>0</v>
      </c>
      <c r="BG99">
        <f t="shared" si="26"/>
        <v>0</v>
      </c>
      <c r="BH99">
        <f t="shared" si="26"/>
        <v>0</v>
      </c>
      <c r="BI99">
        <f t="shared" si="26"/>
        <v>0</v>
      </c>
      <c r="BJ99">
        <f t="shared" si="26"/>
        <v>0</v>
      </c>
      <c r="BK99">
        <f t="shared" si="26"/>
        <v>0</v>
      </c>
      <c r="BL99">
        <f t="shared" si="26"/>
        <v>0</v>
      </c>
      <c r="BM99">
        <f t="shared" si="26"/>
        <v>0</v>
      </c>
      <c r="BN99">
        <f t="shared" si="26"/>
        <v>0</v>
      </c>
      <c r="BO99">
        <f t="shared" si="26"/>
        <v>0</v>
      </c>
      <c r="BP99">
        <f t="shared" ref="BP99:DA111" si="27">IF(AND($B30&lt;&gt;"",$C30&lt;&gt;""),IF(BP30&lt;&gt;"",IF(VALUE(LEFT(BP30))=$B30,1,0)+IF(VALUE(RIGHT(BP30))=$C30,1,0)+IF(AND(VALUE(LEFT(BP30,1))&gt;VALUE(RIGHT(BP30,1)),$B30&gt;$C30),3,0)+IF(AND(VALUE(LEFT(BP30,1))&lt;VALUE(RIGHT(BP30,1)),$B30&lt;$C30),3,0)+IF(AND(VALUE(LEFT(BP30,1))=VALUE(RIGHT(BP30,1)),$B30=$C30),3,0),0),0)</f>
        <v>0</v>
      </c>
      <c r="BQ99">
        <f t="shared" si="27"/>
        <v>0</v>
      </c>
      <c r="BR99">
        <f t="shared" si="27"/>
        <v>0</v>
      </c>
      <c r="BS99">
        <f t="shared" si="27"/>
        <v>0</v>
      </c>
      <c r="BT99">
        <f t="shared" si="27"/>
        <v>0</v>
      </c>
      <c r="BU99">
        <f t="shared" si="27"/>
        <v>0</v>
      </c>
      <c r="BV99">
        <f t="shared" si="27"/>
        <v>0</v>
      </c>
      <c r="BW99">
        <f t="shared" si="27"/>
        <v>0</v>
      </c>
      <c r="BX99">
        <f t="shared" si="27"/>
        <v>0</v>
      </c>
      <c r="BY99">
        <f t="shared" si="27"/>
        <v>0</v>
      </c>
      <c r="BZ99">
        <f t="shared" si="27"/>
        <v>0</v>
      </c>
      <c r="CA99">
        <f t="shared" si="27"/>
        <v>0</v>
      </c>
      <c r="CB99">
        <f t="shared" si="27"/>
        <v>0</v>
      </c>
      <c r="CC99">
        <f t="shared" si="27"/>
        <v>0</v>
      </c>
      <c r="CD99">
        <f t="shared" si="27"/>
        <v>0</v>
      </c>
      <c r="CE99">
        <f t="shared" si="27"/>
        <v>0</v>
      </c>
      <c r="CF99">
        <f t="shared" si="27"/>
        <v>0</v>
      </c>
      <c r="CG99">
        <f t="shared" si="22"/>
        <v>0</v>
      </c>
      <c r="CH99">
        <f t="shared" si="22"/>
        <v>0</v>
      </c>
      <c r="CI99">
        <f t="shared" si="22"/>
        <v>0</v>
      </c>
      <c r="CJ99">
        <f t="shared" si="22"/>
        <v>0</v>
      </c>
      <c r="CK99">
        <f t="shared" si="22"/>
        <v>0</v>
      </c>
      <c r="CL99">
        <f t="shared" si="22"/>
        <v>0</v>
      </c>
      <c r="CM99">
        <f t="shared" si="22"/>
        <v>0</v>
      </c>
      <c r="CN99">
        <f t="shared" si="22"/>
        <v>0</v>
      </c>
      <c r="CO99">
        <f t="shared" si="22"/>
        <v>0</v>
      </c>
      <c r="CP99">
        <f t="shared" si="22"/>
        <v>0</v>
      </c>
      <c r="CQ99">
        <f t="shared" si="22"/>
        <v>0</v>
      </c>
      <c r="CR99">
        <f t="shared" si="22"/>
        <v>0</v>
      </c>
      <c r="CS99">
        <f t="shared" si="22"/>
        <v>0</v>
      </c>
      <c r="CT99">
        <f t="shared" si="22"/>
        <v>0</v>
      </c>
      <c r="CU99">
        <f t="shared" si="22"/>
        <v>0</v>
      </c>
      <c r="CV99">
        <f t="shared" si="22"/>
        <v>0</v>
      </c>
      <c r="CW99">
        <f t="shared" si="22"/>
        <v>0</v>
      </c>
      <c r="CX99">
        <f t="shared" si="22"/>
        <v>0</v>
      </c>
      <c r="CY99">
        <f t="shared" si="22"/>
        <v>0</v>
      </c>
      <c r="CZ99">
        <f t="shared" si="22"/>
        <v>0</v>
      </c>
      <c r="DA99">
        <f t="shared" si="22"/>
        <v>0</v>
      </c>
      <c r="DB99">
        <f t="shared" si="23"/>
        <v>0</v>
      </c>
      <c r="DC99">
        <f t="shared" si="23"/>
        <v>0</v>
      </c>
      <c r="DD99">
        <f t="shared" si="23"/>
        <v>0</v>
      </c>
      <c r="DE99">
        <f t="shared" si="23"/>
        <v>0</v>
      </c>
      <c r="DF99">
        <f t="shared" si="23"/>
        <v>0</v>
      </c>
      <c r="DG99">
        <f t="shared" si="23"/>
        <v>0</v>
      </c>
      <c r="DH99">
        <f t="shared" si="23"/>
        <v>0</v>
      </c>
      <c r="DI99">
        <f t="shared" si="23"/>
        <v>0</v>
      </c>
    </row>
    <row r="100" spans="4:113">
      <c r="D100" t="s">
        <v>2954</v>
      </c>
      <c r="E100">
        <f t="shared" ref="E100:BP103" si="28">IF(AND($B31&lt;&gt;"",$C31&lt;&gt;""),IF(E31&lt;&gt;"",IF(VALUE(LEFT(E31))=$B31,1,0)+IF(VALUE(RIGHT(E31))=$C31,1,0)+IF(AND(VALUE(LEFT(E31,1))&gt;VALUE(RIGHT(E31,1)),$B31&gt;$C31),3,0)+IF(AND(VALUE(LEFT(E31,1))&lt;VALUE(RIGHT(E31,1)),$B31&lt;$C31),3,0)+IF(AND(VALUE(LEFT(E31,1))=VALUE(RIGHT(E31,1)),$B31=$C31),3,0),0),0)</f>
        <v>0</v>
      </c>
      <c r="F100">
        <f t="shared" si="28"/>
        <v>0</v>
      </c>
      <c r="G100">
        <f t="shared" si="28"/>
        <v>0</v>
      </c>
      <c r="H100">
        <f t="shared" si="28"/>
        <v>0</v>
      </c>
      <c r="I100">
        <f t="shared" si="28"/>
        <v>0</v>
      </c>
      <c r="J100">
        <f t="shared" si="28"/>
        <v>0</v>
      </c>
      <c r="K100">
        <f t="shared" si="28"/>
        <v>0</v>
      </c>
      <c r="L100">
        <f t="shared" si="28"/>
        <v>0</v>
      </c>
      <c r="M100">
        <f t="shared" si="28"/>
        <v>0</v>
      </c>
      <c r="N100">
        <f t="shared" si="28"/>
        <v>0</v>
      </c>
      <c r="O100">
        <f t="shared" si="28"/>
        <v>0</v>
      </c>
      <c r="P100">
        <f t="shared" si="28"/>
        <v>0</v>
      </c>
      <c r="Q100">
        <f t="shared" si="28"/>
        <v>0</v>
      </c>
      <c r="R100">
        <f t="shared" si="28"/>
        <v>0</v>
      </c>
      <c r="S100">
        <f t="shared" si="28"/>
        <v>0</v>
      </c>
      <c r="T100">
        <f t="shared" si="28"/>
        <v>0</v>
      </c>
      <c r="U100">
        <f t="shared" si="28"/>
        <v>0</v>
      </c>
      <c r="V100">
        <f t="shared" si="28"/>
        <v>0</v>
      </c>
      <c r="W100">
        <f t="shared" si="28"/>
        <v>0</v>
      </c>
      <c r="X100">
        <f t="shared" si="28"/>
        <v>0</v>
      </c>
      <c r="Y100">
        <f t="shared" si="28"/>
        <v>0</v>
      </c>
      <c r="Z100">
        <f t="shared" si="28"/>
        <v>0</v>
      </c>
      <c r="AA100">
        <f t="shared" si="28"/>
        <v>0</v>
      </c>
      <c r="AB100">
        <f t="shared" si="28"/>
        <v>0</v>
      </c>
      <c r="AC100">
        <f t="shared" si="28"/>
        <v>0</v>
      </c>
      <c r="AD100">
        <f t="shared" si="28"/>
        <v>0</v>
      </c>
      <c r="AE100">
        <f t="shared" si="28"/>
        <v>0</v>
      </c>
      <c r="AF100">
        <f t="shared" si="28"/>
        <v>0</v>
      </c>
      <c r="AG100">
        <f t="shared" si="28"/>
        <v>0</v>
      </c>
      <c r="AH100">
        <f t="shared" si="28"/>
        <v>0</v>
      </c>
      <c r="AI100">
        <f t="shared" si="28"/>
        <v>0</v>
      </c>
      <c r="AJ100">
        <f t="shared" si="28"/>
        <v>0</v>
      </c>
      <c r="AK100">
        <f t="shared" si="28"/>
        <v>0</v>
      </c>
      <c r="AL100">
        <f t="shared" si="28"/>
        <v>0</v>
      </c>
      <c r="AM100">
        <f t="shared" si="28"/>
        <v>0</v>
      </c>
      <c r="AN100">
        <f t="shared" si="28"/>
        <v>0</v>
      </c>
      <c r="AO100">
        <f t="shared" si="28"/>
        <v>0</v>
      </c>
      <c r="AP100">
        <f t="shared" si="28"/>
        <v>0</v>
      </c>
      <c r="AQ100">
        <f t="shared" si="28"/>
        <v>0</v>
      </c>
      <c r="AR100">
        <f t="shared" si="28"/>
        <v>0</v>
      </c>
      <c r="AS100">
        <f t="shared" si="28"/>
        <v>0</v>
      </c>
      <c r="AT100">
        <f t="shared" si="28"/>
        <v>0</v>
      </c>
      <c r="AU100">
        <f t="shared" si="28"/>
        <v>0</v>
      </c>
      <c r="AV100">
        <f t="shared" si="28"/>
        <v>0</v>
      </c>
      <c r="AW100">
        <f t="shared" si="28"/>
        <v>0</v>
      </c>
      <c r="AX100">
        <f t="shared" si="28"/>
        <v>0</v>
      </c>
      <c r="AY100">
        <f t="shared" si="28"/>
        <v>0</v>
      </c>
      <c r="AZ100">
        <f t="shared" si="28"/>
        <v>0</v>
      </c>
      <c r="BA100">
        <f t="shared" si="28"/>
        <v>0</v>
      </c>
      <c r="BB100">
        <f t="shared" si="28"/>
        <v>0</v>
      </c>
      <c r="BC100">
        <f t="shared" si="28"/>
        <v>0</v>
      </c>
      <c r="BD100">
        <f t="shared" si="28"/>
        <v>0</v>
      </c>
      <c r="BE100">
        <f t="shared" si="28"/>
        <v>0</v>
      </c>
      <c r="BF100">
        <f t="shared" si="28"/>
        <v>0</v>
      </c>
      <c r="BG100">
        <f t="shared" si="28"/>
        <v>0</v>
      </c>
      <c r="BH100">
        <f t="shared" si="28"/>
        <v>0</v>
      </c>
      <c r="BI100">
        <f t="shared" si="28"/>
        <v>0</v>
      </c>
      <c r="BJ100">
        <f t="shared" si="28"/>
        <v>0</v>
      </c>
      <c r="BK100">
        <f t="shared" si="28"/>
        <v>0</v>
      </c>
      <c r="BL100">
        <f t="shared" si="28"/>
        <v>0</v>
      </c>
      <c r="BM100">
        <f t="shared" si="28"/>
        <v>0</v>
      </c>
      <c r="BN100">
        <f t="shared" si="28"/>
        <v>0</v>
      </c>
      <c r="BO100">
        <f t="shared" si="28"/>
        <v>0</v>
      </c>
      <c r="BP100">
        <f t="shared" si="28"/>
        <v>0</v>
      </c>
      <c r="BQ100">
        <f t="shared" si="27"/>
        <v>0</v>
      </c>
      <c r="BR100">
        <f t="shared" si="27"/>
        <v>0</v>
      </c>
      <c r="BS100">
        <f t="shared" si="27"/>
        <v>0</v>
      </c>
      <c r="BT100">
        <f t="shared" si="27"/>
        <v>0</v>
      </c>
      <c r="BU100">
        <f t="shared" si="27"/>
        <v>0</v>
      </c>
      <c r="BV100">
        <f t="shared" si="27"/>
        <v>0</v>
      </c>
      <c r="BW100">
        <f t="shared" si="27"/>
        <v>0</v>
      </c>
      <c r="BX100">
        <f t="shared" si="27"/>
        <v>0</v>
      </c>
      <c r="BY100">
        <f t="shared" si="27"/>
        <v>0</v>
      </c>
      <c r="BZ100">
        <f t="shared" si="27"/>
        <v>0</v>
      </c>
      <c r="CA100">
        <f t="shared" si="27"/>
        <v>0</v>
      </c>
      <c r="CB100">
        <f t="shared" si="27"/>
        <v>0</v>
      </c>
      <c r="CC100">
        <f t="shared" si="27"/>
        <v>0</v>
      </c>
      <c r="CD100">
        <f t="shared" si="27"/>
        <v>0</v>
      </c>
      <c r="CE100">
        <f t="shared" si="27"/>
        <v>0</v>
      </c>
      <c r="CF100">
        <f t="shared" si="27"/>
        <v>0</v>
      </c>
      <c r="CG100">
        <f t="shared" si="22"/>
        <v>0</v>
      </c>
      <c r="CH100">
        <f t="shared" si="22"/>
        <v>0</v>
      </c>
      <c r="CI100">
        <f t="shared" si="22"/>
        <v>0</v>
      </c>
      <c r="CJ100">
        <f t="shared" si="22"/>
        <v>0</v>
      </c>
      <c r="CK100">
        <f t="shared" si="22"/>
        <v>0</v>
      </c>
      <c r="CL100">
        <f t="shared" si="22"/>
        <v>0</v>
      </c>
      <c r="CM100">
        <f t="shared" si="22"/>
        <v>0</v>
      </c>
      <c r="CN100">
        <f t="shared" si="22"/>
        <v>0</v>
      </c>
      <c r="CO100">
        <f t="shared" si="22"/>
        <v>0</v>
      </c>
      <c r="CP100">
        <f t="shared" si="22"/>
        <v>0</v>
      </c>
      <c r="CQ100">
        <f t="shared" si="22"/>
        <v>0</v>
      </c>
      <c r="CR100">
        <f t="shared" si="22"/>
        <v>0</v>
      </c>
      <c r="CS100">
        <f t="shared" si="22"/>
        <v>0</v>
      </c>
      <c r="CT100">
        <f t="shared" si="22"/>
        <v>0</v>
      </c>
      <c r="CU100">
        <f t="shared" si="22"/>
        <v>0</v>
      </c>
      <c r="CV100">
        <f t="shared" si="22"/>
        <v>0</v>
      </c>
      <c r="CW100">
        <f t="shared" si="22"/>
        <v>0</v>
      </c>
      <c r="CX100">
        <f t="shared" si="22"/>
        <v>0</v>
      </c>
      <c r="CY100">
        <f t="shared" si="22"/>
        <v>0</v>
      </c>
      <c r="CZ100">
        <f t="shared" si="22"/>
        <v>0</v>
      </c>
      <c r="DA100">
        <f t="shared" si="22"/>
        <v>0</v>
      </c>
      <c r="DB100">
        <f t="shared" si="23"/>
        <v>0</v>
      </c>
      <c r="DC100">
        <f t="shared" si="23"/>
        <v>0</v>
      </c>
      <c r="DD100">
        <f t="shared" si="23"/>
        <v>0</v>
      </c>
      <c r="DE100">
        <f t="shared" si="23"/>
        <v>0</v>
      </c>
      <c r="DF100">
        <f t="shared" si="23"/>
        <v>0</v>
      </c>
      <c r="DG100">
        <f t="shared" si="23"/>
        <v>0</v>
      </c>
      <c r="DH100">
        <f t="shared" si="23"/>
        <v>0</v>
      </c>
      <c r="DI100">
        <f t="shared" si="23"/>
        <v>0</v>
      </c>
    </row>
    <row r="101" spans="4:113">
      <c r="D101" t="s">
        <v>2955</v>
      </c>
      <c r="E101">
        <f t="shared" si="28"/>
        <v>0</v>
      </c>
      <c r="F101">
        <f t="shared" si="28"/>
        <v>0</v>
      </c>
      <c r="G101">
        <f t="shared" si="28"/>
        <v>0</v>
      </c>
      <c r="H101">
        <f t="shared" si="28"/>
        <v>0</v>
      </c>
      <c r="I101">
        <f t="shared" si="28"/>
        <v>0</v>
      </c>
      <c r="J101">
        <f t="shared" si="28"/>
        <v>0</v>
      </c>
      <c r="K101">
        <f t="shared" si="28"/>
        <v>0</v>
      </c>
      <c r="L101">
        <f t="shared" si="28"/>
        <v>0</v>
      </c>
      <c r="M101">
        <f t="shared" si="28"/>
        <v>0</v>
      </c>
      <c r="N101">
        <f t="shared" si="28"/>
        <v>0</v>
      </c>
      <c r="O101">
        <f t="shared" si="28"/>
        <v>0</v>
      </c>
      <c r="P101">
        <f t="shared" si="28"/>
        <v>0</v>
      </c>
      <c r="Q101">
        <f t="shared" si="28"/>
        <v>0</v>
      </c>
      <c r="R101">
        <f t="shared" si="28"/>
        <v>0</v>
      </c>
      <c r="S101">
        <f t="shared" si="28"/>
        <v>0</v>
      </c>
      <c r="T101">
        <f t="shared" si="28"/>
        <v>0</v>
      </c>
      <c r="U101">
        <f t="shared" si="28"/>
        <v>0</v>
      </c>
      <c r="V101">
        <f t="shared" si="28"/>
        <v>0</v>
      </c>
      <c r="W101">
        <f t="shared" si="28"/>
        <v>0</v>
      </c>
      <c r="X101">
        <f t="shared" si="28"/>
        <v>0</v>
      </c>
      <c r="Y101">
        <f t="shared" si="28"/>
        <v>0</v>
      </c>
      <c r="Z101">
        <f t="shared" si="28"/>
        <v>0</v>
      </c>
      <c r="AA101">
        <f t="shared" si="28"/>
        <v>0</v>
      </c>
      <c r="AB101">
        <f t="shared" si="28"/>
        <v>0</v>
      </c>
      <c r="AC101">
        <f t="shared" si="28"/>
        <v>0</v>
      </c>
      <c r="AD101">
        <f t="shared" si="28"/>
        <v>0</v>
      </c>
      <c r="AE101">
        <f t="shared" si="28"/>
        <v>0</v>
      </c>
      <c r="AF101">
        <f t="shared" si="28"/>
        <v>0</v>
      </c>
      <c r="AG101">
        <f t="shared" si="28"/>
        <v>0</v>
      </c>
      <c r="AH101">
        <f t="shared" si="28"/>
        <v>0</v>
      </c>
      <c r="AI101">
        <f t="shared" si="28"/>
        <v>0</v>
      </c>
      <c r="AJ101">
        <f t="shared" si="28"/>
        <v>0</v>
      </c>
      <c r="AK101">
        <f t="shared" si="28"/>
        <v>0</v>
      </c>
      <c r="AL101">
        <f t="shared" si="28"/>
        <v>0</v>
      </c>
      <c r="AM101">
        <f t="shared" si="28"/>
        <v>0</v>
      </c>
      <c r="AN101">
        <f t="shared" si="28"/>
        <v>0</v>
      </c>
      <c r="AO101">
        <f t="shared" si="28"/>
        <v>0</v>
      </c>
      <c r="AP101">
        <f t="shared" si="28"/>
        <v>0</v>
      </c>
      <c r="AQ101">
        <f t="shared" si="28"/>
        <v>0</v>
      </c>
      <c r="AR101">
        <f t="shared" si="28"/>
        <v>0</v>
      </c>
      <c r="AS101">
        <f t="shared" si="28"/>
        <v>0</v>
      </c>
      <c r="AT101">
        <f t="shared" si="28"/>
        <v>0</v>
      </c>
      <c r="AU101">
        <f t="shared" si="28"/>
        <v>0</v>
      </c>
      <c r="AV101">
        <f t="shared" si="28"/>
        <v>0</v>
      </c>
      <c r="AW101">
        <f t="shared" si="28"/>
        <v>0</v>
      </c>
      <c r="AX101">
        <f t="shared" si="28"/>
        <v>0</v>
      </c>
      <c r="AY101">
        <f t="shared" si="28"/>
        <v>0</v>
      </c>
      <c r="AZ101">
        <f t="shared" si="28"/>
        <v>0</v>
      </c>
      <c r="BA101">
        <f t="shared" si="28"/>
        <v>0</v>
      </c>
      <c r="BB101">
        <f t="shared" si="28"/>
        <v>0</v>
      </c>
      <c r="BC101">
        <f t="shared" si="28"/>
        <v>0</v>
      </c>
      <c r="BD101">
        <f t="shared" si="28"/>
        <v>0</v>
      </c>
      <c r="BE101">
        <f t="shared" si="28"/>
        <v>0</v>
      </c>
      <c r="BF101">
        <f t="shared" si="28"/>
        <v>0</v>
      </c>
      <c r="BG101">
        <f t="shared" si="28"/>
        <v>0</v>
      </c>
      <c r="BH101">
        <f t="shared" si="28"/>
        <v>0</v>
      </c>
      <c r="BI101">
        <f t="shared" si="28"/>
        <v>0</v>
      </c>
      <c r="BJ101">
        <f t="shared" si="28"/>
        <v>0</v>
      </c>
      <c r="BK101">
        <f t="shared" si="28"/>
        <v>0</v>
      </c>
      <c r="BL101">
        <f t="shared" si="28"/>
        <v>0</v>
      </c>
      <c r="BM101">
        <f t="shared" si="28"/>
        <v>0</v>
      </c>
      <c r="BN101">
        <f t="shared" si="28"/>
        <v>0</v>
      </c>
      <c r="BO101">
        <f t="shared" si="28"/>
        <v>0</v>
      </c>
      <c r="BP101">
        <f t="shared" si="28"/>
        <v>0</v>
      </c>
      <c r="BQ101">
        <f t="shared" si="27"/>
        <v>0</v>
      </c>
      <c r="BR101">
        <f t="shared" si="27"/>
        <v>0</v>
      </c>
      <c r="BS101">
        <f t="shared" si="27"/>
        <v>0</v>
      </c>
      <c r="BT101">
        <f t="shared" si="27"/>
        <v>0</v>
      </c>
      <c r="BU101">
        <f t="shared" si="27"/>
        <v>0</v>
      </c>
      <c r="BV101">
        <f t="shared" si="27"/>
        <v>0</v>
      </c>
      <c r="BW101">
        <f t="shared" si="27"/>
        <v>0</v>
      </c>
      <c r="BX101">
        <f t="shared" si="27"/>
        <v>0</v>
      </c>
      <c r="BY101">
        <f t="shared" si="27"/>
        <v>0</v>
      </c>
      <c r="BZ101">
        <f t="shared" si="27"/>
        <v>0</v>
      </c>
      <c r="CA101">
        <f t="shared" si="27"/>
        <v>0</v>
      </c>
      <c r="CB101">
        <f t="shared" si="27"/>
        <v>0</v>
      </c>
      <c r="CC101">
        <f t="shared" si="27"/>
        <v>0</v>
      </c>
      <c r="CD101">
        <f t="shared" si="27"/>
        <v>0</v>
      </c>
      <c r="CE101">
        <f t="shared" si="27"/>
        <v>0</v>
      </c>
      <c r="CF101">
        <f t="shared" si="27"/>
        <v>0</v>
      </c>
      <c r="CG101">
        <f t="shared" si="22"/>
        <v>0</v>
      </c>
      <c r="CH101">
        <f t="shared" ref="CH101:DI110" si="29">IF(AND($B32&lt;&gt;"",$C32&lt;&gt;""),IF(CH32&lt;&gt;"",IF(VALUE(LEFT(CH32))=$B32,1,0)+IF(VALUE(RIGHT(CH32))=$C32,1,0)+IF(AND(VALUE(LEFT(CH32,1))&gt;VALUE(RIGHT(CH32,1)),$B32&gt;$C32),3,0)+IF(AND(VALUE(LEFT(CH32,1))&lt;VALUE(RIGHT(CH32,1)),$B32&lt;$C32),3,0)+IF(AND(VALUE(LEFT(CH32,1))=VALUE(RIGHT(CH32,1)),$B32=$C32),3,0),0),0)</f>
        <v>0</v>
      </c>
      <c r="CI101">
        <f t="shared" si="29"/>
        <v>0</v>
      </c>
      <c r="CJ101">
        <f t="shared" si="29"/>
        <v>0</v>
      </c>
      <c r="CK101">
        <f t="shared" si="29"/>
        <v>0</v>
      </c>
      <c r="CL101">
        <f t="shared" si="29"/>
        <v>0</v>
      </c>
      <c r="CM101">
        <f t="shared" si="29"/>
        <v>0</v>
      </c>
      <c r="CN101">
        <f t="shared" si="29"/>
        <v>0</v>
      </c>
      <c r="CO101">
        <f t="shared" si="29"/>
        <v>0</v>
      </c>
      <c r="CP101">
        <f t="shared" si="29"/>
        <v>0</v>
      </c>
      <c r="CQ101">
        <f t="shared" si="29"/>
        <v>0</v>
      </c>
      <c r="CR101">
        <f t="shared" si="29"/>
        <v>0</v>
      </c>
      <c r="CS101">
        <f t="shared" si="29"/>
        <v>0</v>
      </c>
      <c r="CT101">
        <f t="shared" si="29"/>
        <v>0</v>
      </c>
      <c r="CU101">
        <f t="shared" si="29"/>
        <v>0</v>
      </c>
      <c r="CV101">
        <f t="shared" si="29"/>
        <v>0</v>
      </c>
      <c r="CW101">
        <f t="shared" si="29"/>
        <v>0</v>
      </c>
      <c r="CX101">
        <f t="shared" si="29"/>
        <v>0</v>
      </c>
      <c r="CY101">
        <f t="shared" si="29"/>
        <v>0</v>
      </c>
      <c r="CZ101">
        <f t="shared" si="29"/>
        <v>0</v>
      </c>
      <c r="DA101">
        <f t="shared" si="29"/>
        <v>0</v>
      </c>
      <c r="DB101">
        <f t="shared" si="29"/>
        <v>0</v>
      </c>
      <c r="DC101">
        <f t="shared" si="29"/>
        <v>0</v>
      </c>
      <c r="DD101">
        <f t="shared" si="29"/>
        <v>0</v>
      </c>
      <c r="DE101">
        <f t="shared" si="29"/>
        <v>0</v>
      </c>
      <c r="DF101">
        <f t="shared" si="29"/>
        <v>0</v>
      </c>
      <c r="DG101">
        <f t="shared" si="29"/>
        <v>0</v>
      </c>
      <c r="DH101">
        <f t="shared" si="29"/>
        <v>0</v>
      </c>
      <c r="DI101">
        <f t="shared" si="29"/>
        <v>0</v>
      </c>
    </row>
    <row r="102" spans="4:113">
      <c r="D102" t="s">
        <v>2015</v>
      </c>
      <c r="E102">
        <f t="shared" si="28"/>
        <v>0</v>
      </c>
      <c r="F102">
        <f t="shared" si="28"/>
        <v>0</v>
      </c>
      <c r="G102">
        <f t="shared" si="28"/>
        <v>0</v>
      </c>
      <c r="H102">
        <f t="shared" si="28"/>
        <v>0</v>
      </c>
      <c r="I102">
        <f t="shared" si="28"/>
        <v>0</v>
      </c>
      <c r="J102">
        <f t="shared" si="28"/>
        <v>0</v>
      </c>
      <c r="K102">
        <f t="shared" si="28"/>
        <v>0</v>
      </c>
      <c r="L102">
        <f t="shared" si="28"/>
        <v>0</v>
      </c>
      <c r="M102">
        <f t="shared" si="28"/>
        <v>0</v>
      </c>
      <c r="N102">
        <f t="shared" si="28"/>
        <v>0</v>
      </c>
      <c r="O102">
        <f t="shared" si="28"/>
        <v>0</v>
      </c>
      <c r="P102">
        <f t="shared" si="28"/>
        <v>0</v>
      </c>
      <c r="Q102">
        <f t="shared" si="28"/>
        <v>0</v>
      </c>
      <c r="R102">
        <f t="shared" si="28"/>
        <v>0</v>
      </c>
      <c r="S102">
        <f t="shared" si="28"/>
        <v>0</v>
      </c>
      <c r="T102">
        <f t="shared" si="28"/>
        <v>0</v>
      </c>
      <c r="U102">
        <f t="shared" si="28"/>
        <v>0</v>
      </c>
      <c r="V102">
        <f t="shared" si="28"/>
        <v>0</v>
      </c>
      <c r="W102">
        <f t="shared" si="28"/>
        <v>0</v>
      </c>
      <c r="X102">
        <f t="shared" si="28"/>
        <v>0</v>
      </c>
      <c r="Y102">
        <f t="shared" si="28"/>
        <v>0</v>
      </c>
      <c r="Z102">
        <f t="shared" si="28"/>
        <v>0</v>
      </c>
      <c r="AA102">
        <f t="shared" si="28"/>
        <v>0</v>
      </c>
      <c r="AB102">
        <f t="shared" si="28"/>
        <v>0</v>
      </c>
      <c r="AC102">
        <f t="shared" si="28"/>
        <v>0</v>
      </c>
      <c r="AD102">
        <f t="shared" si="28"/>
        <v>0</v>
      </c>
      <c r="AE102">
        <f t="shared" si="28"/>
        <v>0</v>
      </c>
      <c r="AF102">
        <f t="shared" si="28"/>
        <v>0</v>
      </c>
      <c r="AG102">
        <f t="shared" si="28"/>
        <v>0</v>
      </c>
      <c r="AH102">
        <f t="shared" si="28"/>
        <v>0</v>
      </c>
      <c r="AI102">
        <f t="shared" si="28"/>
        <v>0</v>
      </c>
      <c r="AJ102">
        <f t="shared" si="28"/>
        <v>0</v>
      </c>
      <c r="AK102">
        <f t="shared" si="28"/>
        <v>0</v>
      </c>
      <c r="AL102">
        <f t="shared" si="28"/>
        <v>0</v>
      </c>
      <c r="AM102">
        <f t="shared" si="28"/>
        <v>0</v>
      </c>
      <c r="AN102">
        <f t="shared" si="28"/>
        <v>0</v>
      </c>
      <c r="AO102">
        <f t="shared" si="28"/>
        <v>0</v>
      </c>
      <c r="AP102">
        <f t="shared" si="28"/>
        <v>0</v>
      </c>
      <c r="AQ102">
        <f t="shared" si="28"/>
        <v>0</v>
      </c>
      <c r="AR102">
        <f t="shared" si="28"/>
        <v>0</v>
      </c>
      <c r="AS102">
        <f t="shared" si="28"/>
        <v>0</v>
      </c>
      <c r="AT102">
        <f t="shared" si="28"/>
        <v>0</v>
      </c>
      <c r="AU102">
        <f t="shared" si="28"/>
        <v>0</v>
      </c>
      <c r="AV102">
        <f t="shared" si="28"/>
        <v>0</v>
      </c>
      <c r="AW102">
        <f t="shared" si="28"/>
        <v>0</v>
      </c>
      <c r="AX102">
        <f t="shared" si="28"/>
        <v>0</v>
      </c>
      <c r="AY102">
        <f t="shared" si="28"/>
        <v>0</v>
      </c>
      <c r="AZ102">
        <f t="shared" si="28"/>
        <v>0</v>
      </c>
      <c r="BA102">
        <f t="shared" si="28"/>
        <v>0</v>
      </c>
      <c r="BB102">
        <f t="shared" si="28"/>
        <v>0</v>
      </c>
      <c r="BC102">
        <f t="shared" si="28"/>
        <v>0</v>
      </c>
      <c r="BD102">
        <f t="shared" si="28"/>
        <v>0</v>
      </c>
      <c r="BE102">
        <f t="shared" si="28"/>
        <v>0</v>
      </c>
      <c r="BF102">
        <f t="shared" si="28"/>
        <v>0</v>
      </c>
      <c r="BG102">
        <f t="shared" si="28"/>
        <v>0</v>
      </c>
      <c r="BH102">
        <f t="shared" si="28"/>
        <v>0</v>
      </c>
      <c r="BI102">
        <f t="shared" si="28"/>
        <v>0</v>
      </c>
      <c r="BJ102">
        <f t="shared" si="28"/>
        <v>0</v>
      </c>
      <c r="BK102">
        <f t="shared" si="28"/>
        <v>0</v>
      </c>
      <c r="BL102">
        <f t="shared" si="28"/>
        <v>0</v>
      </c>
      <c r="BM102">
        <f t="shared" si="28"/>
        <v>0</v>
      </c>
      <c r="BN102">
        <f t="shared" si="28"/>
        <v>0</v>
      </c>
      <c r="BO102">
        <f t="shared" si="28"/>
        <v>0</v>
      </c>
      <c r="BP102">
        <f t="shared" si="28"/>
        <v>0</v>
      </c>
      <c r="BQ102">
        <f t="shared" si="27"/>
        <v>0</v>
      </c>
      <c r="BR102">
        <f t="shared" si="27"/>
        <v>0</v>
      </c>
      <c r="BS102">
        <f t="shared" si="27"/>
        <v>0</v>
      </c>
      <c r="BT102">
        <f t="shared" si="27"/>
        <v>0</v>
      </c>
      <c r="BU102">
        <f t="shared" si="27"/>
        <v>0</v>
      </c>
      <c r="BV102">
        <f t="shared" si="27"/>
        <v>0</v>
      </c>
      <c r="BW102">
        <f t="shared" si="27"/>
        <v>0</v>
      </c>
      <c r="BX102">
        <f t="shared" si="27"/>
        <v>0</v>
      </c>
      <c r="BY102">
        <f t="shared" si="27"/>
        <v>0</v>
      </c>
      <c r="BZ102">
        <f t="shared" si="27"/>
        <v>0</v>
      </c>
      <c r="CA102">
        <f t="shared" si="27"/>
        <v>0</v>
      </c>
      <c r="CB102">
        <f t="shared" si="27"/>
        <v>0</v>
      </c>
      <c r="CC102">
        <f t="shared" si="27"/>
        <v>0</v>
      </c>
      <c r="CD102">
        <f t="shared" si="27"/>
        <v>0</v>
      </c>
      <c r="CE102">
        <f t="shared" si="27"/>
        <v>0</v>
      </c>
      <c r="CF102">
        <f t="shared" si="27"/>
        <v>0</v>
      </c>
      <c r="CG102">
        <f t="shared" si="27"/>
        <v>0</v>
      </c>
      <c r="CH102">
        <f t="shared" si="27"/>
        <v>0</v>
      </c>
      <c r="CI102">
        <f t="shared" si="27"/>
        <v>0</v>
      </c>
      <c r="CJ102">
        <f t="shared" si="27"/>
        <v>0</v>
      </c>
      <c r="CK102">
        <f t="shared" si="27"/>
        <v>0</v>
      </c>
      <c r="CL102">
        <f t="shared" si="27"/>
        <v>0</v>
      </c>
      <c r="CM102">
        <f t="shared" si="27"/>
        <v>0</v>
      </c>
      <c r="CN102">
        <f t="shared" si="27"/>
        <v>0</v>
      </c>
      <c r="CO102">
        <f t="shared" si="27"/>
        <v>0</v>
      </c>
      <c r="CP102">
        <f t="shared" si="27"/>
        <v>0</v>
      </c>
      <c r="CQ102">
        <f t="shared" si="27"/>
        <v>0</v>
      </c>
      <c r="CR102">
        <f t="shared" si="27"/>
        <v>0</v>
      </c>
      <c r="CS102">
        <f t="shared" si="27"/>
        <v>0</v>
      </c>
      <c r="CT102">
        <f t="shared" si="27"/>
        <v>0</v>
      </c>
      <c r="CU102">
        <f t="shared" si="27"/>
        <v>0</v>
      </c>
      <c r="CV102">
        <f t="shared" si="27"/>
        <v>0</v>
      </c>
      <c r="CW102">
        <f t="shared" si="27"/>
        <v>0</v>
      </c>
      <c r="CX102">
        <f t="shared" si="27"/>
        <v>0</v>
      </c>
      <c r="CY102">
        <f t="shared" si="27"/>
        <v>0</v>
      </c>
      <c r="CZ102">
        <f t="shared" si="27"/>
        <v>0</v>
      </c>
      <c r="DA102">
        <f t="shared" si="27"/>
        <v>0</v>
      </c>
      <c r="DB102">
        <f t="shared" si="29"/>
        <v>0</v>
      </c>
      <c r="DC102">
        <f t="shared" si="29"/>
        <v>0</v>
      </c>
      <c r="DD102">
        <f t="shared" si="29"/>
        <v>0</v>
      </c>
      <c r="DE102">
        <f t="shared" si="29"/>
        <v>0</v>
      </c>
      <c r="DF102">
        <f t="shared" si="29"/>
        <v>0</v>
      </c>
      <c r="DG102">
        <f t="shared" si="29"/>
        <v>0</v>
      </c>
      <c r="DH102">
        <f t="shared" si="29"/>
        <v>0</v>
      </c>
      <c r="DI102">
        <f t="shared" si="29"/>
        <v>0</v>
      </c>
    </row>
    <row r="103" spans="4:113">
      <c r="D103" t="s">
        <v>2022</v>
      </c>
      <c r="E103">
        <f t="shared" si="28"/>
        <v>0</v>
      </c>
      <c r="F103">
        <f t="shared" si="28"/>
        <v>0</v>
      </c>
      <c r="G103">
        <f t="shared" si="28"/>
        <v>0</v>
      </c>
      <c r="H103">
        <f t="shared" si="28"/>
        <v>0</v>
      </c>
      <c r="I103">
        <f t="shared" si="28"/>
        <v>0</v>
      </c>
      <c r="J103">
        <f t="shared" si="28"/>
        <v>0</v>
      </c>
      <c r="K103">
        <f t="shared" si="28"/>
        <v>0</v>
      </c>
      <c r="L103">
        <f t="shared" si="28"/>
        <v>0</v>
      </c>
      <c r="M103">
        <f t="shared" si="28"/>
        <v>0</v>
      </c>
      <c r="N103">
        <f t="shared" si="28"/>
        <v>0</v>
      </c>
      <c r="O103">
        <f t="shared" si="28"/>
        <v>0</v>
      </c>
      <c r="P103">
        <f t="shared" si="28"/>
        <v>0</v>
      </c>
      <c r="Q103">
        <f t="shared" si="28"/>
        <v>0</v>
      </c>
      <c r="R103">
        <f t="shared" si="28"/>
        <v>0</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D103">
        <f t="shared" si="28"/>
        <v>0</v>
      </c>
      <c r="AE103">
        <f t="shared" si="28"/>
        <v>0</v>
      </c>
      <c r="AF103">
        <f t="shared" si="28"/>
        <v>0</v>
      </c>
      <c r="AG103">
        <f t="shared" si="28"/>
        <v>0</v>
      </c>
      <c r="AH103">
        <f t="shared" si="28"/>
        <v>0</v>
      </c>
      <c r="AI103">
        <f t="shared" si="28"/>
        <v>0</v>
      </c>
      <c r="AJ103">
        <f t="shared" si="28"/>
        <v>0</v>
      </c>
      <c r="AK103">
        <f t="shared" si="28"/>
        <v>0</v>
      </c>
      <c r="AL103">
        <f t="shared" si="28"/>
        <v>0</v>
      </c>
      <c r="AM103">
        <f t="shared" si="28"/>
        <v>0</v>
      </c>
      <c r="AN103">
        <f t="shared" si="28"/>
        <v>0</v>
      </c>
      <c r="AO103">
        <f t="shared" si="28"/>
        <v>0</v>
      </c>
      <c r="AP103">
        <f t="shared" si="28"/>
        <v>0</v>
      </c>
      <c r="AQ103">
        <f t="shared" si="28"/>
        <v>0</v>
      </c>
      <c r="AR103">
        <f t="shared" si="28"/>
        <v>0</v>
      </c>
      <c r="AS103">
        <f t="shared" si="28"/>
        <v>0</v>
      </c>
      <c r="AT103">
        <f t="shared" si="28"/>
        <v>0</v>
      </c>
      <c r="AU103">
        <f t="shared" si="28"/>
        <v>0</v>
      </c>
      <c r="AV103">
        <f t="shared" si="28"/>
        <v>0</v>
      </c>
      <c r="AW103">
        <f t="shared" si="28"/>
        <v>0</v>
      </c>
      <c r="AX103">
        <f t="shared" si="28"/>
        <v>0</v>
      </c>
      <c r="AY103">
        <f t="shared" si="28"/>
        <v>0</v>
      </c>
      <c r="AZ103">
        <f t="shared" si="28"/>
        <v>0</v>
      </c>
      <c r="BA103">
        <f t="shared" si="28"/>
        <v>0</v>
      </c>
      <c r="BB103">
        <f t="shared" si="28"/>
        <v>0</v>
      </c>
      <c r="BC103">
        <f t="shared" si="28"/>
        <v>0</v>
      </c>
      <c r="BD103">
        <f t="shared" si="28"/>
        <v>0</v>
      </c>
      <c r="BE103">
        <f t="shared" si="28"/>
        <v>0</v>
      </c>
      <c r="BF103">
        <f t="shared" si="28"/>
        <v>0</v>
      </c>
      <c r="BG103">
        <f t="shared" si="28"/>
        <v>0</v>
      </c>
      <c r="BH103">
        <f t="shared" si="28"/>
        <v>0</v>
      </c>
      <c r="BI103">
        <f t="shared" si="28"/>
        <v>0</v>
      </c>
      <c r="BJ103">
        <f t="shared" si="28"/>
        <v>0</v>
      </c>
      <c r="BK103">
        <f t="shared" si="28"/>
        <v>0</v>
      </c>
      <c r="BL103">
        <f t="shared" si="28"/>
        <v>0</v>
      </c>
      <c r="BM103">
        <f t="shared" si="28"/>
        <v>0</v>
      </c>
      <c r="BN103">
        <f t="shared" si="28"/>
        <v>0</v>
      </c>
      <c r="BO103">
        <f t="shared" si="28"/>
        <v>0</v>
      </c>
      <c r="BP103">
        <f t="shared" ref="BP103:CF106" si="30">IF(AND($B34&lt;&gt;"",$C34&lt;&gt;""),IF(BP34&lt;&gt;"",IF(VALUE(LEFT(BP34))=$B34,1,0)+IF(VALUE(RIGHT(BP34))=$C34,1,0)+IF(AND(VALUE(LEFT(BP34,1))&gt;VALUE(RIGHT(BP34,1)),$B34&gt;$C34),3,0)+IF(AND(VALUE(LEFT(BP34,1))&lt;VALUE(RIGHT(BP34,1)),$B34&lt;$C34),3,0)+IF(AND(VALUE(LEFT(BP34,1))=VALUE(RIGHT(BP34,1)),$B34=$C34),3,0),0),0)</f>
        <v>0</v>
      </c>
      <c r="BQ103">
        <f t="shared" si="30"/>
        <v>0</v>
      </c>
      <c r="BR103">
        <f t="shared" si="30"/>
        <v>0</v>
      </c>
      <c r="BS103">
        <f t="shared" si="30"/>
        <v>0</v>
      </c>
      <c r="BT103">
        <f t="shared" si="30"/>
        <v>0</v>
      </c>
      <c r="BU103">
        <f t="shared" si="30"/>
        <v>0</v>
      </c>
      <c r="BV103">
        <f t="shared" si="30"/>
        <v>0</v>
      </c>
      <c r="BW103">
        <f t="shared" si="30"/>
        <v>0</v>
      </c>
      <c r="BX103">
        <f t="shared" si="30"/>
        <v>0</v>
      </c>
      <c r="BY103">
        <f t="shared" si="30"/>
        <v>0</v>
      </c>
      <c r="BZ103">
        <f t="shared" si="30"/>
        <v>0</v>
      </c>
      <c r="CA103">
        <f t="shared" si="30"/>
        <v>0</v>
      </c>
      <c r="CB103">
        <f t="shared" si="30"/>
        <v>0</v>
      </c>
      <c r="CC103">
        <f t="shared" si="30"/>
        <v>0</v>
      </c>
      <c r="CD103">
        <f t="shared" si="30"/>
        <v>0</v>
      </c>
      <c r="CE103">
        <f t="shared" si="30"/>
        <v>0</v>
      </c>
      <c r="CF103">
        <f t="shared" si="30"/>
        <v>0</v>
      </c>
      <c r="CG103">
        <f t="shared" si="27"/>
        <v>0</v>
      </c>
      <c r="CH103">
        <f t="shared" si="27"/>
        <v>0</v>
      </c>
      <c r="CI103">
        <f t="shared" si="27"/>
        <v>0</v>
      </c>
      <c r="CJ103">
        <f t="shared" si="27"/>
        <v>0</v>
      </c>
      <c r="CK103">
        <f t="shared" si="27"/>
        <v>0</v>
      </c>
      <c r="CL103">
        <f t="shared" si="27"/>
        <v>0</v>
      </c>
      <c r="CM103">
        <f t="shared" si="27"/>
        <v>0</v>
      </c>
      <c r="CN103">
        <f t="shared" si="27"/>
        <v>0</v>
      </c>
      <c r="CO103">
        <f t="shared" si="27"/>
        <v>0</v>
      </c>
      <c r="CP103">
        <f t="shared" si="27"/>
        <v>0</v>
      </c>
      <c r="CQ103">
        <f t="shared" si="27"/>
        <v>0</v>
      </c>
      <c r="CR103">
        <f t="shared" si="27"/>
        <v>0</v>
      </c>
      <c r="CS103">
        <f t="shared" si="27"/>
        <v>0</v>
      </c>
      <c r="CT103">
        <f t="shared" si="27"/>
        <v>0</v>
      </c>
      <c r="CU103">
        <f t="shared" si="27"/>
        <v>0</v>
      </c>
      <c r="CV103">
        <f t="shared" si="27"/>
        <v>0</v>
      </c>
      <c r="CW103">
        <f t="shared" si="27"/>
        <v>0</v>
      </c>
      <c r="CX103">
        <f t="shared" si="27"/>
        <v>0</v>
      </c>
      <c r="CY103">
        <f t="shared" si="27"/>
        <v>0</v>
      </c>
      <c r="CZ103">
        <f t="shared" si="27"/>
        <v>0</v>
      </c>
      <c r="DA103">
        <f t="shared" si="27"/>
        <v>0</v>
      </c>
      <c r="DB103">
        <f t="shared" si="29"/>
        <v>0</v>
      </c>
      <c r="DC103">
        <f t="shared" si="29"/>
        <v>0</v>
      </c>
      <c r="DD103">
        <f t="shared" si="29"/>
        <v>0</v>
      </c>
      <c r="DE103">
        <f t="shared" si="29"/>
        <v>0</v>
      </c>
      <c r="DF103">
        <f t="shared" si="29"/>
        <v>0</v>
      </c>
      <c r="DG103">
        <f t="shared" si="29"/>
        <v>0</v>
      </c>
      <c r="DH103">
        <f t="shared" si="29"/>
        <v>0</v>
      </c>
      <c r="DI103">
        <f t="shared" si="29"/>
        <v>0</v>
      </c>
    </row>
    <row r="104" spans="4:113">
      <c r="D104" t="s">
        <v>2956</v>
      </c>
      <c r="E104">
        <f t="shared" ref="E104:BP107" si="31">IF(AND($B35&lt;&gt;"",$C35&lt;&gt;""),IF(E35&lt;&gt;"",IF(VALUE(LEFT(E35))=$B35,1,0)+IF(VALUE(RIGHT(E35))=$C35,1,0)+IF(AND(VALUE(LEFT(E35,1))&gt;VALUE(RIGHT(E35,1)),$B35&gt;$C35),3,0)+IF(AND(VALUE(LEFT(E35,1))&lt;VALUE(RIGHT(E35,1)),$B35&lt;$C35),3,0)+IF(AND(VALUE(LEFT(E35,1))=VALUE(RIGHT(E35,1)),$B35=$C35),3,0),0),0)</f>
        <v>0</v>
      </c>
      <c r="F104">
        <f t="shared" si="31"/>
        <v>0</v>
      </c>
      <c r="G104">
        <f t="shared" si="31"/>
        <v>0</v>
      </c>
      <c r="H104">
        <f t="shared" si="31"/>
        <v>0</v>
      </c>
      <c r="I104">
        <f t="shared" si="31"/>
        <v>0</v>
      </c>
      <c r="J104">
        <f t="shared" si="31"/>
        <v>0</v>
      </c>
      <c r="K104">
        <f t="shared" si="31"/>
        <v>0</v>
      </c>
      <c r="L104">
        <f t="shared" si="31"/>
        <v>0</v>
      </c>
      <c r="M104">
        <f t="shared" si="31"/>
        <v>0</v>
      </c>
      <c r="N104">
        <f t="shared" si="31"/>
        <v>0</v>
      </c>
      <c r="O104">
        <f t="shared" si="31"/>
        <v>0</v>
      </c>
      <c r="P104">
        <f t="shared" si="31"/>
        <v>0</v>
      </c>
      <c r="Q104">
        <f t="shared" si="31"/>
        <v>0</v>
      </c>
      <c r="R104">
        <f t="shared" si="31"/>
        <v>0</v>
      </c>
      <c r="S104">
        <f t="shared" si="31"/>
        <v>0</v>
      </c>
      <c r="T104">
        <f t="shared" si="31"/>
        <v>0</v>
      </c>
      <c r="U104">
        <f t="shared" si="31"/>
        <v>0</v>
      </c>
      <c r="V104">
        <f t="shared" si="31"/>
        <v>0</v>
      </c>
      <c r="W104">
        <f t="shared" si="31"/>
        <v>0</v>
      </c>
      <c r="X104">
        <f t="shared" si="31"/>
        <v>0</v>
      </c>
      <c r="Y104">
        <f t="shared" si="31"/>
        <v>0</v>
      </c>
      <c r="Z104">
        <f t="shared" si="31"/>
        <v>0</v>
      </c>
      <c r="AA104">
        <f t="shared" si="31"/>
        <v>0</v>
      </c>
      <c r="AB104">
        <f t="shared" si="31"/>
        <v>0</v>
      </c>
      <c r="AC104">
        <f t="shared" si="31"/>
        <v>0</v>
      </c>
      <c r="AD104">
        <f t="shared" si="31"/>
        <v>0</v>
      </c>
      <c r="AE104">
        <f t="shared" si="31"/>
        <v>0</v>
      </c>
      <c r="AF104">
        <f t="shared" si="31"/>
        <v>0</v>
      </c>
      <c r="AG104">
        <f t="shared" si="31"/>
        <v>0</v>
      </c>
      <c r="AH104">
        <f t="shared" si="31"/>
        <v>0</v>
      </c>
      <c r="AI104">
        <f t="shared" si="31"/>
        <v>0</v>
      </c>
      <c r="AJ104">
        <f t="shared" si="31"/>
        <v>0</v>
      </c>
      <c r="AK104">
        <f t="shared" si="31"/>
        <v>0</v>
      </c>
      <c r="AL104">
        <f t="shared" si="31"/>
        <v>0</v>
      </c>
      <c r="AM104">
        <f t="shared" si="31"/>
        <v>0</v>
      </c>
      <c r="AN104">
        <f t="shared" si="31"/>
        <v>0</v>
      </c>
      <c r="AO104">
        <f t="shared" si="31"/>
        <v>0</v>
      </c>
      <c r="AP104">
        <f t="shared" si="31"/>
        <v>0</v>
      </c>
      <c r="AQ104">
        <f t="shared" si="31"/>
        <v>0</v>
      </c>
      <c r="AR104">
        <f t="shared" si="31"/>
        <v>0</v>
      </c>
      <c r="AS104">
        <f t="shared" si="31"/>
        <v>0</v>
      </c>
      <c r="AT104">
        <f t="shared" si="31"/>
        <v>0</v>
      </c>
      <c r="AU104">
        <f t="shared" si="31"/>
        <v>0</v>
      </c>
      <c r="AV104">
        <f t="shared" si="31"/>
        <v>0</v>
      </c>
      <c r="AW104">
        <f t="shared" si="31"/>
        <v>0</v>
      </c>
      <c r="AX104">
        <f t="shared" si="31"/>
        <v>0</v>
      </c>
      <c r="AY104">
        <f t="shared" si="31"/>
        <v>0</v>
      </c>
      <c r="AZ104">
        <f t="shared" si="31"/>
        <v>0</v>
      </c>
      <c r="BA104">
        <f t="shared" si="31"/>
        <v>0</v>
      </c>
      <c r="BB104">
        <f t="shared" si="31"/>
        <v>0</v>
      </c>
      <c r="BC104">
        <f t="shared" si="31"/>
        <v>0</v>
      </c>
      <c r="BD104">
        <f t="shared" si="31"/>
        <v>0</v>
      </c>
      <c r="BE104">
        <f t="shared" si="31"/>
        <v>0</v>
      </c>
      <c r="BF104">
        <f t="shared" si="31"/>
        <v>0</v>
      </c>
      <c r="BG104">
        <f t="shared" si="31"/>
        <v>0</v>
      </c>
      <c r="BH104">
        <f t="shared" si="31"/>
        <v>0</v>
      </c>
      <c r="BI104">
        <f t="shared" si="31"/>
        <v>0</v>
      </c>
      <c r="BJ104">
        <f t="shared" si="31"/>
        <v>0</v>
      </c>
      <c r="BK104">
        <f t="shared" si="31"/>
        <v>0</v>
      </c>
      <c r="BL104">
        <f t="shared" si="31"/>
        <v>0</v>
      </c>
      <c r="BM104">
        <f t="shared" si="31"/>
        <v>0</v>
      </c>
      <c r="BN104">
        <f t="shared" si="31"/>
        <v>0</v>
      </c>
      <c r="BO104">
        <f t="shared" si="31"/>
        <v>0</v>
      </c>
      <c r="BP104">
        <f t="shared" si="31"/>
        <v>0</v>
      </c>
      <c r="BQ104">
        <f t="shared" si="30"/>
        <v>0</v>
      </c>
      <c r="BR104">
        <f t="shared" si="30"/>
        <v>0</v>
      </c>
      <c r="BS104">
        <f t="shared" si="30"/>
        <v>0</v>
      </c>
      <c r="BT104">
        <f t="shared" si="30"/>
        <v>0</v>
      </c>
      <c r="BU104">
        <f t="shared" si="30"/>
        <v>0</v>
      </c>
      <c r="BV104">
        <f t="shared" si="30"/>
        <v>0</v>
      </c>
      <c r="BW104">
        <f t="shared" si="30"/>
        <v>0</v>
      </c>
      <c r="BX104">
        <f t="shared" si="30"/>
        <v>0</v>
      </c>
      <c r="BY104">
        <f t="shared" si="30"/>
        <v>0</v>
      </c>
      <c r="BZ104">
        <f t="shared" si="30"/>
        <v>0</v>
      </c>
      <c r="CA104">
        <f t="shared" si="30"/>
        <v>0</v>
      </c>
      <c r="CB104">
        <f t="shared" si="30"/>
        <v>0</v>
      </c>
      <c r="CC104">
        <f t="shared" si="30"/>
        <v>0</v>
      </c>
      <c r="CD104">
        <f t="shared" si="30"/>
        <v>0</v>
      </c>
      <c r="CE104">
        <f t="shared" si="30"/>
        <v>0</v>
      </c>
      <c r="CF104">
        <f t="shared" si="30"/>
        <v>0</v>
      </c>
      <c r="CG104">
        <f t="shared" si="27"/>
        <v>0</v>
      </c>
      <c r="CH104">
        <f t="shared" si="27"/>
        <v>0</v>
      </c>
      <c r="CI104">
        <f t="shared" si="27"/>
        <v>0</v>
      </c>
      <c r="CJ104">
        <f t="shared" si="27"/>
        <v>0</v>
      </c>
      <c r="CK104">
        <f t="shared" si="27"/>
        <v>0</v>
      </c>
      <c r="CL104">
        <f t="shared" si="27"/>
        <v>0</v>
      </c>
      <c r="CM104">
        <f t="shared" si="27"/>
        <v>0</v>
      </c>
      <c r="CN104">
        <f t="shared" si="27"/>
        <v>0</v>
      </c>
      <c r="CO104">
        <f t="shared" si="27"/>
        <v>0</v>
      </c>
      <c r="CP104">
        <f t="shared" si="27"/>
        <v>0</v>
      </c>
      <c r="CQ104">
        <f t="shared" si="27"/>
        <v>0</v>
      </c>
      <c r="CR104">
        <f t="shared" si="27"/>
        <v>0</v>
      </c>
      <c r="CS104">
        <f t="shared" si="27"/>
        <v>0</v>
      </c>
      <c r="CT104">
        <f t="shared" si="27"/>
        <v>0</v>
      </c>
      <c r="CU104">
        <f t="shared" si="27"/>
        <v>0</v>
      </c>
      <c r="CV104">
        <f t="shared" si="27"/>
        <v>0</v>
      </c>
      <c r="CW104">
        <f t="shared" si="27"/>
        <v>0</v>
      </c>
      <c r="CX104">
        <f t="shared" si="27"/>
        <v>0</v>
      </c>
      <c r="CY104">
        <f t="shared" si="27"/>
        <v>0</v>
      </c>
      <c r="CZ104">
        <f t="shared" si="27"/>
        <v>0</v>
      </c>
      <c r="DA104">
        <f t="shared" si="27"/>
        <v>0</v>
      </c>
      <c r="DB104">
        <f t="shared" si="29"/>
        <v>0</v>
      </c>
      <c r="DC104">
        <f t="shared" si="29"/>
        <v>0</v>
      </c>
      <c r="DD104">
        <f t="shared" si="29"/>
        <v>0</v>
      </c>
      <c r="DE104">
        <f t="shared" si="29"/>
        <v>0</v>
      </c>
      <c r="DF104">
        <f t="shared" si="29"/>
        <v>0</v>
      </c>
      <c r="DG104">
        <f t="shared" si="29"/>
        <v>0</v>
      </c>
      <c r="DH104">
        <f t="shared" si="29"/>
        <v>0</v>
      </c>
      <c r="DI104">
        <f t="shared" si="29"/>
        <v>0</v>
      </c>
    </row>
    <row r="105" spans="4:113">
      <c r="D105" t="s">
        <v>2957</v>
      </c>
      <c r="E105">
        <f t="shared" si="31"/>
        <v>0</v>
      </c>
      <c r="F105">
        <f t="shared" si="31"/>
        <v>0</v>
      </c>
      <c r="G105">
        <f t="shared" si="31"/>
        <v>0</v>
      </c>
      <c r="H105">
        <f t="shared" si="31"/>
        <v>0</v>
      </c>
      <c r="I105">
        <f t="shared" si="31"/>
        <v>0</v>
      </c>
      <c r="J105">
        <f t="shared" si="31"/>
        <v>0</v>
      </c>
      <c r="K105">
        <f t="shared" si="31"/>
        <v>0</v>
      </c>
      <c r="L105">
        <f t="shared" si="31"/>
        <v>0</v>
      </c>
      <c r="M105">
        <f t="shared" si="31"/>
        <v>0</v>
      </c>
      <c r="N105">
        <f t="shared" si="31"/>
        <v>0</v>
      </c>
      <c r="O105">
        <f t="shared" si="31"/>
        <v>0</v>
      </c>
      <c r="P105">
        <f t="shared" si="31"/>
        <v>0</v>
      </c>
      <c r="Q105">
        <f t="shared" si="31"/>
        <v>0</v>
      </c>
      <c r="R105">
        <f t="shared" si="31"/>
        <v>0</v>
      </c>
      <c r="S105">
        <f t="shared" si="31"/>
        <v>0</v>
      </c>
      <c r="T105">
        <f t="shared" si="31"/>
        <v>0</v>
      </c>
      <c r="U105">
        <f t="shared" si="31"/>
        <v>0</v>
      </c>
      <c r="V105">
        <f t="shared" si="31"/>
        <v>0</v>
      </c>
      <c r="W105">
        <f t="shared" si="31"/>
        <v>0</v>
      </c>
      <c r="X105">
        <f t="shared" si="31"/>
        <v>0</v>
      </c>
      <c r="Y105">
        <f t="shared" si="31"/>
        <v>0</v>
      </c>
      <c r="Z105">
        <f t="shared" si="31"/>
        <v>0</v>
      </c>
      <c r="AA105">
        <f t="shared" si="31"/>
        <v>0</v>
      </c>
      <c r="AB105">
        <f t="shared" si="31"/>
        <v>0</v>
      </c>
      <c r="AC105">
        <f t="shared" si="31"/>
        <v>0</v>
      </c>
      <c r="AD105">
        <f t="shared" si="31"/>
        <v>0</v>
      </c>
      <c r="AE105">
        <f t="shared" si="31"/>
        <v>0</v>
      </c>
      <c r="AF105">
        <f t="shared" si="31"/>
        <v>0</v>
      </c>
      <c r="AG105">
        <f t="shared" si="31"/>
        <v>0</v>
      </c>
      <c r="AH105">
        <f t="shared" si="31"/>
        <v>0</v>
      </c>
      <c r="AI105">
        <f t="shared" si="31"/>
        <v>0</v>
      </c>
      <c r="AJ105">
        <f t="shared" si="31"/>
        <v>0</v>
      </c>
      <c r="AK105">
        <f t="shared" si="31"/>
        <v>0</v>
      </c>
      <c r="AL105">
        <f t="shared" si="31"/>
        <v>0</v>
      </c>
      <c r="AM105">
        <f t="shared" si="31"/>
        <v>0</v>
      </c>
      <c r="AN105">
        <f t="shared" si="31"/>
        <v>0</v>
      </c>
      <c r="AO105">
        <f t="shared" si="31"/>
        <v>0</v>
      </c>
      <c r="AP105">
        <f t="shared" si="31"/>
        <v>0</v>
      </c>
      <c r="AQ105">
        <f t="shared" si="31"/>
        <v>0</v>
      </c>
      <c r="AR105">
        <f t="shared" si="31"/>
        <v>0</v>
      </c>
      <c r="AS105">
        <f t="shared" si="31"/>
        <v>0</v>
      </c>
      <c r="AT105">
        <f t="shared" si="31"/>
        <v>0</v>
      </c>
      <c r="AU105">
        <f t="shared" si="31"/>
        <v>0</v>
      </c>
      <c r="AV105">
        <f t="shared" si="31"/>
        <v>0</v>
      </c>
      <c r="AW105">
        <f t="shared" si="31"/>
        <v>0</v>
      </c>
      <c r="AX105">
        <f t="shared" si="31"/>
        <v>0</v>
      </c>
      <c r="AY105">
        <f t="shared" si="31"/>
        <v>0</v>
      </c>
      <c r="AZ105">
        <f t="shared" si="31"/>
        <v>0</v>
      </c>
      <c r="BA105">
        <f t="shared" si="31"/>
        <v>0</v>
      </c>
      <c r="BB105">
        <f t="shared" si="31"/>
        <v>0</v>
      </c>
      <c r="BC105">
        <f t="shared" si="31"/>
        <v>0</v>
      </c>
      <c r="BD105">
        <f t="shared" si="31"/>
        <v>0</v>
      </c>
      <c r="BE105">
        <f t="shared" si="31"/>
        <v>0</v>
      </c>
      <c r="BF105">
        <f t="shared" si="31"/>
        <v>0</v>
      </c>
      <c r="BG105">
        <f t="shared" si="31"/>
        <v>0</v>
      </c>
      <c r="BH105">
        <f t="shared" si="31"/>
        <v>0</v>
      </c>
      <c r="BI105">
        <f t="shared" si="31"/>
        <v>0</v>
      </c>
      <c r="BJ105">
        <f t="shared" si="31"/>
        <v>0</v>
      </c>
      <c r="BK105">
        <f t="shared" si="31"/>
        <v>0</v>
      </c>
      <c r="BL105">
        <f t="shared" si="31"/>
        <v>0</v>
      </c>
      <c r="BM105">
        <f t="shared" si="31"/>
        <v>0</v>
      </c>
      <c r="BN105">
        <f t="shared" si="31"/>
        <v>0</v>
      </c>
      <c r="BO105">
        <f t="shared" si="31"/>
        <v>0</v>
      </c>
      <c r="BP105">
        <f t="shared" si="31"/>
        <v>0</v>
      </c>
      <c r="BQ105">
        <f t="shared" si="30"/>
        <v>0</v>
      </c>
      <c r="BR105">
        <f t="shared" si="30"/>
        <v>0</v>
      </c>
      <c r="BS105">
        <f t="shared" si="30"/>
        <v>0</v>
      </c>
      <c r="BT105">
        <f t="shared" si="30"/>
        <v>0</v>
      </c>
      <c r="BU105">
        <f t="shared" si="30"/>
        <v>0</v>
      </c>
      <c r="BV105">
        <f t="shared" si="30"/>
        <v>0</v>
      </c>
      <c r="BW105">
        <f t="shared" si="30"/>
        <v>0</v>
      </c>
      <c r="BX105">
        <f t="shared" si="30"/>
        <v>0</v>
      </c>
      <c r="BY105">
        <f t="shared" si="30"/>
        <v>0</v>
      </c>
      <c r="BZ105">
        <f t="shared" si="30"/>
        <v>0</v>
      </c>
      <c r="CA105">
        <f t="shared" si="30"/>
        <v>0</v>
      </c>
      <c r="CB105">
        <f t="shared" si="30"/>
        <v>0</v>
      </c>
      <c r="CC105">
        <f t="shared" si="30"/>
        <v>0</v>
      </c>
      <c r="CD105">
        <f t="shared" si="30"/>
        <v>0</v>
      </c>
      <c r="CE105">
        <f t="shared" si="30"/>
        <v>0</v>
      </c>
      <c r="CF105">
        <f t="shared" si="30"/>
        <v>0</v>
      </c>
      <c r="CG105">
        <f t="shared" si="27"/>
        <v>0</v>
      </c>
      <c r="CH105">
        <f t="shared" si="27"/>
        <v>0</v>
      </c>
      <c r="CI105">
        <f t="shared" si="27"/>
        <v>0</v>
      </c>
      <c r="CJ105">
        <f t="shared" si="27"/>
        <v>0</v>
      </c>
      <c r="CK105">
        <f t="shared" si="27"/>
        <v>0</v>
      </c>
      <c r="CL105">
        <f t="shared" si="27"/>
        <v>0</v>
      </c>
      <c r="CM105">
        <f t="shared" si="27"/>
        <v>0</v>
      </c>
      <c r="CN105">
        <f t="shared" si="27"/>
        <v>0</v>
      </c>
      <c r="CO105">
        <f t="shared" si="27"/>
        <v>0</v>
      </c>
      <c r="CP105">
        <f t="shared" si="27"/>
        <v>0</v>
      </c>
      <c r="CQ105">
        <f t="shared" si="27"/>
        <v>0</v>
      </c>
      <c r="CR105">
        <f t="shared" si="27"/>
        <v>0</v>
      </c>
      <c r="CS105">
        <f t="shared" si="27"/>
        <v>0</v>
      </c>
      <c r="CT105">
        <f t="shared" si="27"/>
        <v>0</v>
      </c>
      <c r="CU105">
        <f t="shared" si="27"/>
        <v>0</v>
      </c>
      <c r="CV105">
        <f t="shared" si="27"/>
        <v>0</v>
      </c>
      <c r="CW105">
        <f t="shared" si="27"/>
        <v>0</v>
      </c>
      <c r="CX105">
        <f t="shared" si="27"/>
        <v>0</v>
      </c>
      <c r="CY105">
        <f t="shared" si="27"/>
        <v>0</v>
      </c>
      <c r="CZ105">
        <f t="shared" si="27"/>
        <v>0</v>
      </c>
      <c r="DA105">
        <f t="shared" si="27"/>
        <v>0</v>
      </c>
      <c r="DB105">
        <f t="shared" si="29"/>
        <v>0</v>
      </c>
      <c r="DC105">
        <f t="shared" si="29"/>
        <v>0</v>
      </c>
      <c r="DD105">
        <f t="shared" si="29"/>
        <v>0</v>
      </c>
      <c r="DE105">
        <f t="shared" si="29"/>
        <v>0</v>
      </c>
      <c r="DF105">
        <f t="shared" si="29"/>
        <v>0</v>
      </c>
      <c r="DG105">
        <f t="shared" si="29"/>
        <v>0</v>
      </c>
      <c r="DH105">
        <f t="shared" si="29"/>
        <v>0</v>
      </c>
      <c r="DI105">
        <f t="shared" si="29"/>
        <v>0</v>
      </c>
    </row>
    <row r="106" spans="4:113">
      <c r="D106" t="s">
        <v>2958</v>
      </c>
      <c r="E106">
        <f t="shared" si="31"/>
        <v>0</v>
      </c>
      <c r="F106">
        <f t="shared" si="31"/>
        <v>0</v>
      </c>
      <c r="G106">
        <f t="shared" si="31"/>
        <v>0</v>
      </c>
      <c r="H106">
        <f t="shared" si="31"/>
        <v>0</v>
      </c>
      <c r="I106">
        <f t="shared" si="31"/>
        <v>0</v>
      </c>
      <c r="J106">
        <f t="shared" si="31"/>
        <v>0</v>
      </c>
      <c r="K106">
        <f t="shared" si="31"/>
        <v>0</v>
      </c>
      <c r="L106">
        <f t="shared" si="31"/>
        <v>0</v>
      </c>
      <c r="M106">
        <f t="shared" si="31"/>
        <v>0</v>
      </c>
      <c r="N106">
        <f t="shared" si="31"/>
        <v>0</v>
      </c>
      <c r="O106">
        <f t="shared" si="31"/>
        <v>0</v>
      </c>
      <c r="P106">
        <f t="shared" si="31"/>
        <v>0</v>
      </c>
      <c r="Q106">
        <f t="shared" si="31"/>
        <v>0</v>
      </c>
      <c r="R106">
        <f t="shared" si="31"/>
        <v>0</v>
      </c>
      <c r="S106">
        <f t="shared" si="31"/>
        <v>0</v>
      </c>
      <c r="T106">
        <f t="shared" si="31"/>
        <v>0</v>
      </c>
      <c r="U106">
        <f t="shared" si="31"/>
        <v>0</v>
      </c>
      <c r="V106">
        <f t="shared" si="31"/>
        <v>0</v>
      </c>
      <c r="W106">
        <f t="shared" si="31"/>
        <v>0</v>
      </c>
      <c r="X106">
        <f t="shared" si="31"/>
        <v>0</v>
      </c>
      <c r="Y106">
        <f t="shared" si="31"/>
        <v>0</v>
      </c>
      <c r="Z106">
        <f t="shared" si="31"/>
        <v>0</v>
      </c>
      <c r="AA106">
        <f t="shared" si="31"/>
        <v>0</v>
      </c>
      <c r="AB106">
        <f t="shared" si="31"/>
        <v>0</v>
      </c>
      <c r="AC106">
        <f t="shared" si="31"/>
        <v>0</v>
      </c>
      <c r="AD106">
        <f t="shared" si="31"/>
        <v>0</v>
      </c>
      <c r="AE106">
        <f t="shared" si="31"/>
        <v>0</v>
      </c>
      <c r="AF106">
        <f t="shared" si="31"/>
        <v>0</v>
      </c>
      <c r="AG106">
        <f t="shared" si="31"/>
        <v>0</v>
      </c>
      <c r="AH106">
        <f t="shared" si="31"/>
        <v>0</v>
      </c>
      <c r="AI106">
        <f t="shared" si="31"/>
        <v>0</v>
      </c>
      <c r="AJ106">
        <f t="shared" si="31"/>
        <v>0</v>
      </c>
      <c r="AK106">
        <f t="shared" si="31"/>
        <v>0</v>
      </c>
      <c r="AL106">
        <f t="shared" si="31"/>
        <v>0</v>
      </c>
      <c r="AM106">
        <f t="shared" si="31"/>
        <v>0</v>
      </c>
      <c r="AN106">
        <f t="shared" si="31"/>
        <v>0</v>
      </c>
      <c r="AO106">
        <f t="shared" si="31"/>
        <v>0</v>
      </c>
      <c r="AP106">
        <f t="shared" si="31"/>
        <v>0</v>
      </c>
      <c r="AQ106">
        <f t="shared" si="31"/>
        <v>0</v>
      </c>
      <c r="AR106">
        <f t="shared" si="31"/>
        <v>0</v>
      </c>
      <c r="AS106">
        <f t="shared" si="31"/>
        <v>0</v>
      </c>
      <c r="AT106">
        <f t="shared" si="31"/>
        <v>0</v>
      </c>
      <c r="AU106">
        <f t="shared" si="31"/>
        <v>0</v>
      </c>
      <c r="AV106">
        <f t="shared" si="31"/>
        <v>0</v>
      </c>
      <c r="AW106">
        <f t="shared" si="31"/>
        <v>0</v>
      </c>
      <c r="AX106">
        <f t="shared" si="31"/>
        <v>0</v>
      </c>
      <c r="AY106">
        <f t="shared" si="31"/>
        <v>0</v>
      </c>
      <c r="AZ106">
        <f t="shared" si="31"/>
        <v>0</v>
      </c>
      <c r="BA106">
        <f t="shared" si="31"/>
        <v>0</v>
      </c>
      <c r="BB106">
        <f t="shared" si="31"/>
        <v>0</v>
      </c>
      <c r="BC106">
        <f t="shared" si="31"/>
        <v>0</v>
      </c>
      <c r="BD106">
        <f t="shared" si="31"/>
        <v>0</v>
      </c>
      <c r="BE106">
        <f t="shared" si="31"/>
        <v>0</v>
      </c>
      <c r="BF106">
        <f t="shared" si="31"/>
        <v>0</v>
      </c>
      <c r="BG106">
        <f t="shared" si="31"/>
        <v>0</v>
      </c>
      <c r="BH106">
        <f t="shared" si="31"/>
        <v>0</v>
      </c>
      <c r="BI106">
        <f t="shared" si="31"/>
        <v>0</v>
      </c>
      <c r="BJ106">
        <f t="shared" si="31"/>
        <v>0</v>
      </c>
      <c r="BK106">
        <f t="shared" si="31"/>
        <v>0</v>
      </c>
      <c r="BL106">
        <f t="shared" si="31"/>
        <v>0</v>
      </c>
      <c r="BM106">
        <f t="shared" si="31"/>
        <v>0</v>
      </c>
      <c r="BN106">
        <f t="shared" si="31"/>
        <v>0</v>
      </c>
      <c r="BO106">
        <f t="shared" si="31"/>
        <v>0</v>
      </c>
      <c r="BP106">
        <f t="shared" si="31"/>
        <v>0</v>
      </c>
      <c r="BQ106">
        <f t="shared" si="30"/>
        <v>0</v>
      </c>
      <c r="BR106">
        <f t="shared" si="30"/>
        <v>0</v>
      </c>
      <c r="BS106">
        <f t="shared" si="30"/>
        <v>0</v>
      </c>
      <c r="BT106">
        <f t="shared" si="30"/>
        <v>0</v>
      </c>
      <c r="BU106">
        <f t="shared" si="30"/>
        <v>0</v>
      </c>
      <c r="BV106">
        <f t="shared" si="30"/>
        <v>0</v>
      </c>
      <c r="BW106">
        <f t="shared" si="30"/>
        <v>0</v>
      </c>
      <c r="BX106">
        <f t="shared" si="30"/>
        <v>0</v>
      </c>
      <c r="BY106">
        <f t="shared" si="30"/>
        <v>0</v>
      </c>
      <c r="BZ106">
        <f t="shared" si="30"/>
        <v>0</v>
      </c>
      <c r="CA106">
        <f t="shared" si="30"/>
        <v>0</v>
      </c>
      <c r="CB106">
        <f t="shared" si="30"/>
        <v>0</v>
      </c>
      <c r="CC106">
        <f t="shared" si="30"/>
        <v>0</v>
      </c>
      <c r="CD106">
        <f t="shared" si="30"/>
        <v>0</v>
      </c>
      <c r="CE106">
        <f t="shared" si="30"/>
        <v>0</v>
      </c>
      <c r="CF106">
        <f t="shared" si="30"/>
        <v>0</v>
      </c>
      <c r="CG106">
        <f t="shared" si="27"/>
        <v>0</v>
      </c>
      <c r="CH106">
        <f t="shared" si="27"/>
        <v>0</v>
      </c>
      <c r="CI106">
        <f t="shared" si="27"/>
        <v>0</v>
      </c>
      <c r="CJ106">
        <f t="shared" si="27"/>
        <v>0</v>
      </c>
      <c r="CK106">
        <f t="shared" si="27"/>
        <v>0</v>
      </c>
      <c r="CL106">
        <f t="shared" si="27"/>
        <v>0</v>
      </c>
      <c r="CM106">
        <f t="shared" si="27"/>
        <v>0</v>
      </c>
      <c r="CN106">
        <f t="shared" si="27"/>
        <v>0</v>
      </c>
      <c r="CO106">
        <f t="shared" si="27"/>
        <v>0</v>
      </c>
      <c r="CP106">
        <f t="shared" si="27"/>
        <v>0</v>
      </c>
      <c r="CQ106">
        <f t="shared" si="27"/>
        <v>0</v>
      </c>
      <c r="CR106">
        <f t="shared" si="27"/>
        <v>0</v>
      </c>
      <c r="CS106">
        <f t="shared" si="27"/>
        <v>0</v>
      </c>
      <c r="CT106">
        <f t="shared" si="27"/>
        <v>0</v>
      </c>
      <c r="CU106">
        <f t="shared" si="27"/>
        <v>0</v>
      </c>
      <c r="CV106">
        <f t="shared" si="27"/>
        <v>0</v>
      </c>
      <c r="CW106">
        <f t="shared" si="27"/>
        <v>0</v>
      </c>
      <c r="CX106">
        <f t="shared" si="27"/>
        <v>0</v>
      </c>
      <c r="CY106">
        <f t="shared" si="27"/>
        <v>0</v>
      </c>
      <c r="CZ106">
        <f t="shared" si="27"/>
        <v>0</v>
      </c>
      <c r="DA106">
        <f t="shared" si="27"/>
        <v>0</v>
      </c>
      <c r="DB106">
        <f t="shared" si="29"/>
        <v>0</v>
      </c>
      <c r="DC106">
        <f t="shared" si="29"/>
        <v>0</v>
      </c>
      <c r="DD106">
        <f t="shared" si="29"/>
        <v>0</v>
      </c>
      <c r="DE106">
        <f t="shared" si="29"/>
        <v>0</v>
      </c>
      <c r="DF106">
        <f t="shared" si="29"/>
        <v>0</v>
      </c>
      <c r="DG106">
        <f t="shared" si="29"/>
        <v>0</v>
      </c>
      <c r="DH106">
        <f t="shared" si="29"/>
        <v>0</v>
      </c>
      <c r="DI106">
        <f t="shared" si="29"/>
        <v>0</v>
      </c>
    </row>
    <row r="107" spans="4:113">
      <c r="D107" t="s">
        <v>2959</v>
      </c>
      <c r="E107">
        <f t="shared" si="31"/>
        <v>0</v>
      </c>
      <c r="F107">
        <f t="shared" si="31"/>
        <v>0</v>
      </c>
      <c r="G107">
        <f t="shared" si="31"/>
        <v>0</v>
      </c>
      <c r="H107">
        <f t="shared" si="31"/>
        <v>0</v>
      </c>
      <c r="I107">
        <f t="shared" si="31"/>
        <v>0</v>
      </c>
      <c r="J107">
        <f t="shared" si="31"/>
        <v>0</v>
      </c>
      <c r="K107">
        <f t="shared" si="31"/>
        <v>0</v>
      </c>
      <c r="L107">
        <f t="shared" si="31"/>
        <v>0</v>
      </c>
      <c r="M107">
        <f t="shared" si="31"/>
        <v>0</v>
      </c>
      <c r="N107">
        <f t="shared" si="31"/>
        <v>0</v>
      </c>
      <c r="O107">
        <f t="shared" si="31"/>
        <v>0</v>
      </c>
      <c r="P107">
        <f t="shared" si="31"/>
        <v>0</v>
      </c>
      <c r="Q107">
        <f t="shared" si="31"/>
        <v>0</v>
      </c>
      <c r="R107">
        <f t="shared" si="31"/>
        <v>0</v>
      </c>
      <c r="S107">
        <f t="shared" si="31"/>
        <v>0</v>
      </c>
      <c r="T107">
        <f t="shared" si="31"/>
        <v>0</v>
      </c>
      <c r="U107">
        <f t="shared" si="31"/>
        <v>0</v>
      </c>
      <c r="V107">
        <f t="shared" si="31"/>
        <v>0</v>
      </c>
      <c r="W107">
        <f t="shared" si="31"/>
        <v>0</v>
      </c>
      <c r="X107">
        <f t="shared" si="31"/>
        <v>0</v>
      </c>
      <c r="Y107">
        <f t="shared" si="31"/>
        <v>0</v>
      </c>
      <c r="Z107">
        <f t="shared" si="31"/>
        <v>0</v>
      </c>
      <c r="AA107">
        <f t="shared" si="31"/>
        <v>0</v>
      </c>
      <c r="AB107">
        <f t="shared" si="31"/>
        <v>0</v>
      </c>
      <c r="AC107">
        <f t="shared" si="31"/>
        <v>0</v>
      </c>
      <c r="AD107">
        <f t="shared" si="31"/>
        <v>0</v>
      </c>
      <c r="AE107">
        <f t="shared" si="31"/>
        <v>0</v>
      </c>
      <c r="AF107">
        <f t="shared" si="31"/>
        <v>0</v>
      </c>
      <c r="AG107">
        <f t="shared" si="31"/>
        <v>0</v>
      </c>
      <c r="AH107">
        <f t="shared" si="31"/>
        <v>0</v>
      </c>
      <c r="AI107">
        <f t="shared" si="31"/>
        <v>0</v>
      </c>
      <c r="AJ107">
        <f t="shared" si="31"/>
        <v>0</v>
      </c>
      <c r="AK107">
        <f t="shared" si="31"/>
        <v>0</v>
      </c>
      <c r="AL107">
        <f t="shared" si="31"/>
        <v>0</v>
      </c>
      <c r="AM107">
        <f t="shared" si="31"/>
        <v>0</v>
      </c>
      <c r="AN107">
        <f t="shared" si="31"/>
        <v>0</v>
      </c>
      <c r="AO107">
        <f t="shared" si="31"/>
        <v>0</v>
      </c>
      <c r="AP107">
        <f t="shared" si="31"/>
        <v>0</v>
      </c>
      <c r="AQ107">
        <f t="shared" si="31"/>
        <v>0</v>
      </c>
      <c r="AR107">
        <f t="shared" si="31"/>
        <v>0</v>
      </c>
      <c r="AS107">
        <f t="shared" si="31"/>
        <v>0</v>
      </c>
      <c r="AT107">
        <f t="shared" si="31"/>
        <v>0</v>
      </c>
      <c r="AU107">
        <f t="shared" si="31"/>
        <v>0</v>
      </c>
      <c r="AV107">
        <f t="shared" si="31"/>
        <v>0</v>
      </c>
      <c r="AW107">
        <f t="shared" si="31"/>
        <v>0</v>
      </c>
      <c r="AX107">
        <f t="shared" si="31"/>
        <v>0</v>
      </c>
      <c r="AY107">
        <f t="shared" si="31"/>
        <v>0</v>
      </c>
      <c r="AZ107">
        <f t="shared" si="31"/>
        <v>0</v>
      </c>
      <c r="BA107">
        <f t="shared" si="31"/>
        <v>0</v>
      </c>
      <c r="BB107">
        <f t="shared" si="31"/>
        <v>0</v>
      </c>
      <c r="BC107">
        <f t="shared" si="31"/>
        <v>0</v>
      </c>
      <c r="BD107">
        <f t="shared" si="31"/>
        <v>0</v>
      </c>
      <c r="BE107">
        <f t="shared" si="31"/>
        <v>0</v>
      </c>
      <c r="BF107">
        <f t="shared" si="31"/>
        <v>0</v>
      </c>
      <c r="BG107">
        <f t="shared" si="31"/>
        <v>0</v>
      </c>
      <c r="BH107">
        <f t="shared" si="31"/>
        <v>0</v>
      </c>
      <c r="BI107">
        <f t="shared" si="31"/>
        <v>0</v>
      </c>
      <c r="BJ107">
        <f t="shared" si="31"/>
        <v>0</v>
      </c>
      <c r="BK107">
        <f t="shared" si="31"/>
        <v>0</v>
      </c>
      <c r="BL107">
        <f t="shared" si="31"/>
        <v>0</v>
      </c>
      <c r="BM107">
        <f t="shared" si="31"/>
        <v>0</v>
      </c>
      <c r="BN107">
        <f t="shared" si="31"/>
        <v>0</v>
      </c>
      <c r="BO107">
        <f t="shared" si="31"/>
        <v>0</v>
      </c>
      <c r="BP107">
        <f t="shared" ref="BP107:CF110" si="32">IF(AND($B38&lt;&gt;"",$C38&lt;&gt;""),IF(BP38&lt;&gt;"",IF(VALUE(LEFT(BP38))=$B38,1,0)+IF(VALUE(RIGHT(BP38))=$C38,1,0)+IF(AND(VALUE(LEFT(BP38,1))&gt;VALUE(RIGHT(BP38,1)),$B38&gt;$C38),3,0)+IF(AND(VALUE(LEFT(BP38,1))&lt;VALUE(RIGHT(BP38,1)),$B38&lt;$C38),3,0)+IF(AND(VALUE(LEFT(BP38,1))=VALUE(RIGHT(BP38,1)),$B38=$C38),3,0),0),0)</f>
        <v>0</v>
      </c>
      <c r="BQ107">
        <f t="shared" si="32"/>
        <v>0</v>
      </c>
      <c r="BR107">
        <f t="shared" si="32"/>
        <v>0</v>
      </c>
      <c r="BS107">
        <f t="shared" si="32"/>
        <v>0</v>
      </c>
      <c r="BT107">
        <f t="shared" si="32"/>
        <v>0</v>
      </c>
      <c r="BU107">
        <f t="shared" si="32"/>
        <v>0</v>
      </c>
      <c r="BV107">
        <f t="shared" si="32"/>
        <v>0</v>
      </c>
      <c r="BW107">
        <f t="shared" si="32"/>
        <v>0</v>
      </c>
      <c r="BX107">
        <f t="shared" si="32"/>
        <v>0</v>
      </c>
      <c r="BY107">
        <f t="shared" si="32"/>
        <v>0</v>
      </c>
      <c r="BZ107">
        <f t="shared" si="32"/>
        <v>0</v>
      </c>
      <c r="CA107">
        <f t="shared" si="32"/>
        <v>0</v>
      </c>
      <c r="CB107">
        <f t="shared" si="32"/>
        <v>0</v>
      </c>
      <c r="CC107">
        <f t="shared" si="32"/>
        <v>0</v>
      </c>
      <c r="CD107">
        <f t="shared" si="32"/>
        <v>0</v>
      </c>
      <c r="CE107">
        <f t="shared" si="32"/>
        <v>0</v>
      </c>
      <c r="CF107">
        <f t="shared" si="32"/>
        <v>0</v>
      </c>
      <c r="CG107">
        <f t="shared" si="27"/>
        <v>0</v>
      </c>
      <c r="CH107">
        <f t="shared" si="27"/>
        <v>0</v>
      </c>
      <c r="CI107">
        <f t="shared" si="27"/>
        <v>0</v>
      </c>
      <c r="CJ107">
        <f t="shared" si="27"/>
        <v>0</v>
      </c>
      <c r="CK107">
        <f t="shared" si="27"/>
        <v>0</v>
      </c>
      <c r="CL107">
        <f t="shared" si="27"/>
        <v>0</v>
      </c>
      <c r="CM107">
        <f t="shared" si="27"/>
        <v>0</v>
      </c>
      <c r="CN107">
        <f t="shared" si="27"/>
        <v>0</v>
      </c>
      <c r="CO107">
        <f t="shared" si="27"/>
        <v>0</v>
      </c>
      <c r="CP107">
        <f t="shared" si="27"/>
        <v>0</v>
      </c>
      <c r="CQ107">
        <f t="shared" si="27"/>
        <v>0</v>
      </c>
      <c r="CR107">
        <f t="shared" si="27"/>
        <v>0</v>
      </c>
      <c r="CS107">
        <f t="shared" si="27"/>
        <v>0</v>
      </c>
      <c r="CT107">
        <f t="shared" si="27"/>
        <v>0</v>
      </c>
      <c r="CU107">
        <f t="shared" si="27"/>
        <v>0</v>
      </c>
      <c r="CV107">
        <f t="shared" si="27"/>
        <v>0</v>
      </c>
      <c r="CW107">
        <f t="shared" si="27"/>
        <v>0</v>
      </c>
      <c r="CX107">
        <f t="shared" si="27"/>
        <v>0</v>
      </c>
      <c r="CY107">
        <f t="shared" si="27"/>
        <v>0</v>
      </c>
      <c r="CZ107">
        <f t="shared" si="27"/>
        <v>0</v>
      </c>
      <c r="DA107">
        <f t="shared" si="27"/>
        <v>0</v>
      </c>
      <c r="DB107">
        <f t="shared" si="29"/>
        <v>0</v>
      </c>
      <c r="DC107">
        <f t="shared" si="29"/>
        <v>0</v>
      </c>
      <c r="DD107">
        <f t="shared" si="29"/>
        <v>0</v>
      </c>
      <c r="DE107">
        <f t="shared" si="29"/>
        <v>0</v>
      </c>
      <c r="DF107">
        <f t="shared" si="29"/>
        <v>0</v>
      </c>
      <c r="DG107">
        <f t="shared" si="29"/>
        <v>0</v>
      </c>
      <c r="DH107">
        <f t="shared" si="29"/>
        <v>0</v>
      </c>
      <c r="DI107">
        <f t="shared" si="29"/>
        <v>0</v>
      </c>
    </row>
    <row r="108" spans="4:113">
      <c r="D108" t="s">
        <v>2029</v>
      </c>
      <c r="E108">
        <f t="shared" ref="E108:BP111" si="33">IF(AND($B39&lt;&gt;"",$C39&lt;&gt;""),IF(E39&lt;&gt;"",IF(VALUE(LEFT(E39))=$B39,1,0)+IF(VALUE(RIGHT(E39))=$C39,1,0)+IF(AND(VALUE(LEFT(E39,1))&gt;VALUE(RIGHT(E39,1)),$B39&gt;$C39),3,0)+IF(AND(VALUE(LEFT(E39,1))&lt;VALUE(RIGHT(E39,1)),$B39&lt;$C39),3,0)+IF(AND(VALUE(LEFT(E39,1))=VALUE(RIGHT(E39,1)),$B39=$C39),3,0),0),0)</f>
        <v>0</v>
      </c>
      <c r="F108">
        <f t="shared" si="33"/>
        <v>0</v>
      </c>
      <c r="G108">
        <f t="shared" si="33"/>
        <v>0</v>
      </c>
      <c r="H108">
        <f t="shared" si="33"/>
        <v>0</v>
      </c>
      <c r="I108">
        <f t="shared" si="33"/>
        <v>0</v>
      </c>
      <c r="J108">
        <f t="shared" si="33"/>
        <v>0</v>
      </c>
      <c r="K108">
        <f t="shared" si="33"/>
        <v>0</v>
      </c>
      <c r="L108">
        <f t="shared" si="33"/>
        <v>0</v>
      </c>
      <c r="M108">
        <f t="shared" si="33"/>
        <v>0</v>
      </c>
      <c r="N108">
        <f t="shared" si="33"/>
        <v>0</v>
      </c>
      <c r="O108">
        <f t="shared" si="33"/>
        <v>0</v>
      </c>
      <c r="P108">
        <f t="shared" si="33"/>
        <v>0</v>
      </c>
      <c r="Q108">
        <f t="shared" si="33"/>
        <v>0</v>
      </c>
      <c r="R108">
        <f t="shared" si="33"/>
        <v>0</v>
      </c>
      <c r="S108">
        <f t="shared" si="33"/>
        <v>0</v>
      </c>
      <c r="T108">
        <f t="shared" si="33"/>
        <v>0</v>
      </c>
      <c r="U108">
        <f t="shared" si="33"/>
        <v>0</v>
      </c>
      <c r="V108">
        <f t="shared" si="33"/>
        <v>0</v>
      </c>
      <c r="W108">
        <f t="shared" si="33"/>
        <v>0</v>
      </c>
      <c r="X108">
        <f t="shared" si="33"/>
        <v>0</v>
      </c>
      <c r="Y108">
        <f t="shared" si="33"/>
        <v>0</v>
      </c>
      <c r="Z108">
        <f t="shared" si="33"/>
        <v>0</v>
      </c>
      <c r="AA108">
        <f t="shared" si="33"/>
        <v>0</v>
      </c>
      <c r="AB108">
        <f t="shared" si="33"/>
        <v>0</v>
      </c>
      <c r="AC108">
        <f t="shared" si="33"/>
        <v>0</v>
      </c>
      <c r="AD108">
        <f t="shared" si="33"/>
        <v>0</v>
      </c>
      <c r="AE108">
        <f t="shared" si="33"/>
        <v>0</v>
      </c>
      <c r="AF108">
        <f t="shared" si="33"/>
        <v>0</v>
      </c>
      <c r="AG108">
        <f t="shared" si="33"/>
        <v>0</v>
      </c>
      <c r="AH108">
        <f t="shared" si="33"/>
        <v>0</v>
      </c>
      <c r="AI108">
        <f t="shared" si="33"/>
        <v>0</v>
      </c>
      <c r="AJ108">
        <f t="shared" si="33"/>
        <v>0</v>
      </c>
      <c r="AK108">
        <f t="shared" si="33"/>
        <v>0</v>
      </c>
      <c r="AL108">
        <f t="shared" si="33"/>
        <v>0</v>
      </c>
      <c r="AM108">
        <f t="shared" si="33"/>
        <v>0</v>
      </c>
      <c r="AN108">
        <f t="shared" si="33"/>
        <v>0</v>
      </c>
      <c r="AO108">
        <f t="shared" si="33"/>
        <v>0</v>
      </c>
      <c r="AP108">
        <f t="shared" si="33"/>
        <v>0</v>
      </c>
      <c r="AQ108">
        <f t="shared" si="33"/>
        <v>0</v>
      </c>
      <c r="AR108">
        <f t="shared" si="33"/>
        <v>0</v>
      </c>
      <c r="AS108">
        <f t="shared" si="33"/>
        <v>0</v>
      </c>
      <c r="AT108">
        <f t="shared" si="33"/>
        <v>0</v>
      </c>
      <c r="AU108">
        <f t="shared" si="33"/>
        <v>0</v>
      </c>
      <c r="AV108">
        <f t="shared" si="33"/>
        <v>0</v>
      </c>
      <c r="AW108">
        <f t="shared" si="33"/>
        <v>0</v>
      </c>
      <c r="AX108">
        <f t="shared" si="33"/>
        <v>0</v>
      </c>
      <c r="AY108">
        <f t="shared" si="33"/>
        <v>0</v>
      </c>
      <c r="AZ108">
        <f t="shared" si="33"/>
        <v>0</v>
      </c>
      <c r="BA108">
        <f t="shared" si="33"/>
        <v>0</v>
      </c>
      <c r="BB108">
        <f t="shared" si="33"/>
        <v>0</v>
      </c>
      <c r="BC108">
        <f t="shared" si="33"/>
        <v>0</v>
      </c>
      <c r="BD108">
        <f t="shared" si="33"/>
        <v>0</v>
      </c>
      <c r="BE108">
        <f t="shared" si="33"/>
        <v>0</v>
      </c>
      <c r="BF108">
        <f t="shared" si="33"/>
        <v>0</v>
      </c>
      <c r="BG108">
        <f t="shared" si="33"/>
        <v>0</v>
      </c>
      <c r="BH108">
        <f t="shared" si="33"/>
        <v>0</v>
      </c>
      <c r="BI108">
        <f t="shared" si="33"/>
        <v>0</v>
      </c>
      <c r="BJ108">
        <f t="shared" si="33"/>
        <v>0</v>
      </c>
      <c r="BK108">
        <f t="shared" si="33"/>
        <v>0</v>
      </c>
      <c r="BL108">
        <f t="shared" si="33"/>
        <v>0</v>
      </c>
      <c r="BM108">
        <f t="shared" si="33"/>
        <v>0</v>
      </c>
      <c r="BN108">
        <f t="shared" si="33"/>
        <v>0</v>
      </c>
      <c r="BO108">
        <f t="shared" si="33"/>
        <v>0</v>
      </c>
      <c r="BP108">
        <f t="shared" si="33"/>
        <v>0</v>
      </c>
      <c r="BQ108">
        <f t="shared" si="32"/>
        <v>0</v>
      </c>
      <c r="BR108">
        <f t="shared" si="32"/>
        <v>0</v>
      </c>
      <c r="BS108">
        <f t="shared" si="32"/>
        <v>0</v>
      </c>
      <c r="BT108">
        <f t="shared" si="32"/>
        <v>0</v>
      </c>
      <c r="BU108">
        <f t="shared" si="32"/>
        <v>0</v>
      </c>
      <c r="BV108">
        <f t="shared" si="32"/>
        <v>0</v>
      </c>
      <c r="BW108">
        <f t="shared" si="32"/>
        <v>0</v>
      </c>
      <c r="BX108">
        <f t="shared" si="32"/>
        <v>0</v>
      </c>
      <c r="BY108">
        <f t="shared" si="32"/>
        <v>0</v>
      </c>
      <c r="BZ108">
        <f t="shared" si="32"/>
        <v>0</v>
      </c>
      <c r="CA108">
        <f t="shared" si="32"/>
        <v>0</v>
      </c>
      <c r="CB108">
        <f t="shared" si="32"/>
        <v>0</v>
      </c>
      <c r="CC108">
        <f t="shared" si="32"/>
        <v>0</v>
      </c>
      <c r="CD108">
        <f t="shared" si="32"/>
        <v>0</v>
      </c>
      <c r="CE108">
        <f t="shared" si="32"/>
        <v>0</v>
      </c>
      <c r="CF108">
        <f t="shared" si="32"/>
        <v>0</v>
      </c>
      <c r="CG108">
        <f t="shared" si="27"/>
        <v>0</v>
      </c>
      <c r="CH108">
        <f t="shared" si="27"/>
        <v>0</v>
      </c>
      <c r="CI108">
        <f t="shared" si="27"/>
        <v>0</v>
      </c>
      <c r="CJ108">
        <f t="shared" si="27"/>
        <v>0</v>
      </c>
      <c r="CK108">
        <f t="shared" si="27"/>
        <v>0</v>
      </c>
      <c r="CL108">
        <f t="shared" si="27"/>
        <v>0</v>
      </c>
      <c r="CM108">
        <f t="shared" si="27"/>
        <v>0</v>
      </c>
      <c r="CN108">
        <f t="shared" si="27"/>
        <v>0</v>
      </c>
      <c r="CO108">
        <f t="shared" si="27"/>
        <v>0</v>
      </c>
      <c r="CP108">
        <f t="shared" si="27"/>
        <v>0</v>
      </c>
      <c r="CQ108">
        <f t="shared" si="27"/>
        <v>0</v>
      </c>
      <c r="CR108">
        <f t="shared" si="27"/>
        <v>0</v>
      </c>
      <c r="CS108">
        <f t="shared" si="27"/>
        <v>0</v>
      </c>
      <c r="CT108">
        <f t="shared" si="27"/>
        <v>0</v>
      </c>
      <c r="CU108">
        <f t="shared" si="27"/>
        <v>0</v>
      </c>
      <c r="CV108">
        <f t="shared" si="27"/>
        <v>0</v>
      </c>
      <c r="CW108">
        <f t="shared" si="27"/>
        <v>0</v>
      </c>
      <c r="CX108">
        <f t="shared" si="27"/>
        <v>0</v>
      </c>
      <c r="CY108">
        <f t="shared" si="27"/>
        <v>0</v>
      </c>
      <c r="CZ108">
        <f t="shared" si="27"/>
        <v>0</v>
      </c>
      <c r="DA108">
        <f t="shared" si="27"/>
        <v>0</v>
      </c>
      <c r="DB108">
        <f t="shared" si="29"/>
        <v>0</v>
      </c>
      <c r="DC108">
        <f t="shared" si="29"/>
        <v>0</v>
      </c>
      <c r="DD108">
        <f t="shared" si="29"/>
        <v>0</v>
      </c>
      <c r="DE108">
        <f t="shared" si="29"/>
        <v>0</v>
      </c>
      <c r="DF108">
        <f t="shared" si="29"/>
        <v>0</v>
      </c>
      <c r="DG108">
        <f t="shared" si="29"/>
        <v>0</v>
      </c>
      <c r="DH108">
        <f t="shared" si="29"/>
        <v>0</v>
      </c>
      <c r="DI108">
        <f t="shared" si="29"/>
        <v>0</v>
      </c>
    </row>
    <row r="109" spans="4:113">
      <c r="D109" t="s">
        <v>2036</v>
      </c>
      <c r="E109">
        <f t="shared" si="33"/>
        <v>0</v>
      </c>
      <c r="F109">
        <f t="shared" si="33"/>
        <v>0</v>
      </c>
      <c r="G109">
        <f t="shared" si="33"/>
        <v>0</v>
      </c>
      <c r="H109">
        <f t="shared" si="33"/>
        <v>0</v>
      </c>
      <c r="I109">
        <f t="shared" si="33"/>
        <v>0</v>
      </c>
      <c r="J109">
        <f t="shared" si="33"/>
        <v>0</v>
      </c>
      <c r="K109">
        <f t="shared" si="33"/>
        <v>0</v>
      </c>
      <c r="L109">
        <f t="shared" si="33"/>
        <v>0</v>
      </c>
      <c r="M109">
        <f t="shared" si="33"/>
        <v>0</v>
      </c>
      <c r="N109">
        <f t="shared" si="33"/>
        <v>0</v>
      </c>
      <c r="O109">
        <f t="shared" si="33"/>
        <v>0</v>
      </c>
      <c r="P109">
        <f t="shared" si="33"/>
        <v>0</v>
      </c>
      <c r="Q109">
        <f t="shared" si="33"/>
        <v>0</v>
      </c>
      <c r="R109">
        <f t="shared" si="33"/>
        <v>0</v>
      </c>
      <c r="S109">
        <f t="shared" si="33"/>
        <v>0</v>
      </c>
      <c r="T109">
        <f t="shared" si="33"/>
        <v>0</v>
      </c>
      <c r="U109">
        <f t="shared" si="33"/>
        <v>0</v>
      </c>
      <c r="V109">
        <f t="shared" si="33"/>
        <v>0</v>
      </c>
      <c r="W109">
        <f t="shared" si="33"/>
        <v>0</v>
      </c>
      <c r="X109">
        <f t="shared" si="33"/>
        <v>0</v>
      </c>
      <c r="Y109">
        <f t="shared" si="33"/>
        <v>0</v>
      </c>
      <c r="Z109">
        <f t="shared" si="33"/>
        <v>0</v>
      </c>
      <c r="AA109">
        <f t="shared" si="33"/>
        <v>0</v>
      </c>
      <c r="AB109">
        <f t="shared" si="33"/>
        <v>0</v>
      </c>
      <c r="AC109">
        <f t="shared" si="33"/>
        <v>0</v>
      </c>
      <c r="AD109">
        <f t="shared" si="33"/>
        <v>0</v>
      </c>
      <c r="AE109">
        <f t="shared" si="33"/>
        <v>0</v>
      </c>
      <c r="AF109">
        <f t="shared" si="33"/>
        <v>0</v>
      </c>
      <c r="AG109">
        <f t="shared" si="33"/>
        <v>0</v>
      </c>
      <c r="AH109">
        <f t="shared" si="33"/>
        <v>0</v>
      </c>
      <c r="AI109">
        <f t="shared" si="33"/>
        <v>0</v>
      </c>
      <c r="AJ109">
        <f t="shared" si="33"/>
        <v>0</v>
      </c>
      <c r="AK109">
        <f t="shared" si="33"/>
        <v>0</v>
      </c>
      <c r="AL109">
        <f t="shared" si="33"/>
        <v>0</v>
      </c>
      <c r="AM109">
        <f t="shared" si="33"/>
        <v>0</v>
      </c>
      <c r="AN109">
        <f t="shared" si="33"/>
        <v>0</v>
      </c>
      <c r="AO109">
        <f t="shared" si="33"/>
        <v>0</v>
      </c>
      <c r="AP109">
        <f t="shared" si="33"/>
        <v>0</v>
      </c>
      <c r="AQ109">
        <f t="shared" si="33"/>
        <v>0</v>
      </c>
      <c r="AR109">
        <f t="shared" si="33"/>
        <v>0</v>
      </c>
      <c r="AS109">
        <f t="shared" si="33"/>
        <v>0</v>
      </c>
      <c r="AT109">
        <f t="shared" si="33"/>
        <v>0</v>
      </c>
      <c r="AU109">
        <f t="shared" si="33"/>
        <v>0</v>
      </c>
      <c r="AV109">
        <f t="shared" si="33"/>
        <v>0</v>
      </c>
      <c r="AW109">
        <f t="shared" si="33"/>
        <v>0</v>
      </c>
      <c r="AX109">
        <f t="shared" si="33"/>
        <v>0</v>
      </c>
      <c r="AY109">
        <f t="shared" si="33"/>
        <v>0</v>
      </c>
      <c r="AZ109">
        <f t="shared" si="33"/>
        <v>0</v>
      </c>
      <c r="BA109">
        <f t="shared" si="33"/>
        <v>0</v>
      </c>
      <c r="BB109">
        <f t="shared" si="33"/>
        <v>0</v>
      </c>
      <c r="BC109">
        <f t="shared" si="33"/>
        <v>0</v>
      </c>
      <c r="BD109">
        <f t="shared" si="33"/>
        <v>0</v>
      </c>
      <c r="BE109">
        <f t="shared" si="33"/>
        <v>0</v>
      </c>
      <c r="BF109">
        <f t="shared" si="33"/>
        <v>0</v>
      </c>
      <c r="BG109">
        <f t="shared" si="33"/>
        <v>0</v>
      </c>
      <c r="BH109">
        <f t="shared" si="33"/>
        <v>0</v>
      </c>
      <c r="BI109">
        <f t="shared" si="33"/>
        <v>0</v>
      </c>
      <c r="BJ109">
        <f t="shared" si="33"/>
        <v>0</v>
      </c>
      <c r="BK109">
        <f t="shared" si="33"/>
        <v>0</v>
      </c>
      <c r="BL109">
        <f t="shared" si="33"/>
        <v>0</v>
      </c>
      <c r="BM109">
        <f t="shared" si="33"/>
        <v>0</v>
      </c>
      <c r="BN109">
        <f t="shared" si="33"/>
        <v>0</v>
      </c>
      <c r="BO109">
        <f t="shared" si="33"/>
        <v>0</v>
      </c>
      <c r="BP109">
        <f t="shared" si="33"/>
        <v>0</v>
      </c>
      <c r="BQ109">
        <f t="shared" si="32"/>
        <v>0</v>
      </c>
      <c r="BR109">
        <f t="shared" si="32"/>
        <v>0</v>
      </c>
      <c r="BS109">
        <f t="shared" si="32"/>
        <v>0</v>
      </c>
      <c r="BT109">
        <f t="shared" si="32"/>
        <v>0</v>
      </c>
      <c r="BU109">
        <f t="shared" si="32"/>
        <v>0</v>
      </c>
      <c r="BV109">
        <f t="shared" si="32"/>
        <v>0</v>
      </c>
      <c r="BW109">
        <f t="shared" si="32"/>
        <v>0</v>
      </c>
      <c r="BX109">
        <f t="shared" si="32"/>
        <v>0</v>
      </c>
      <c r="BY109">
        <f t="shared" si="32"/>
        <v>0</v>
      </c>
      <c r="BZ109">
        <f t="shared" si="32"/>
        <v>0</v>
      </c>
      <c r="CA109">
        <f t="shared" si="32"/>
        <v>0</v>
      </c>
      <c r="CB109">
        <f t="shared" si="32"/>
        <v>0</v>
      </c>
      <c r="CC109">
        <f t="shared" si="32"/>
        <v>0</v>
      </c>
      <c r="CD109">
        <f t="shared" si="32"/>
        <v>0</v>
      </c>
      <c r="CE109">
        <f t="shared" si="32"/>
        <v>0</v>
      </c>
      <c r="CF109">
        <f t="shared" si="32"/>
        <v>0</v>
      </c>
      <c r="CG109">
        <f t="shared" si="27"/>
        <v>0</v>
      </c>
      <c r="CH109">
        <f t="shared" si="27"/>
        <v>0</v>
      </c>
      <c r="CI109">
        <f t="shared" si="27"/>
        <v>0</v>
      </c>
      <c r="CJ109">
        <f t="shared" si="27"/>
        <v>0</v>
      </c>
      <c r="CK109">
        <f t="shared" si="27"/>
        <v>0</v>
      </c>
      <c r="CL109">
        <f t="shared" si="27"/>
        <v>0</v>
      </c>
      <c r="CM109">
        <f t="shared" si="27"/>
        <v>0</v>
      </c>
      <c r="CN109">
        <f t="shared" si="27"/>
        <v>0</v>
      </c>
      <c r="CO109">
        <f t="shared" si="27"/>
        <v>0</v>
      </c>
      <c r="CP109">
        <f t="shared" si="27"/>
        <v>0</v>
      </c>
      <c r="CQ109">
        <f t="shared" si="27"/>
        <v>0</v>
      </c>
      <c r="CR109">
        <f t="shared" si="27"/>
        <v>0</v>
      </c>
      <c r="CS109">
        <f t="shared" si="27"/>
        <v>0</v>
      </c>
      <c r="CT109">
        <f t="shared" si="27"/>
        <v>0</v>
      </c>
      <c r="CU109">
        <f t="shared" si="27"/>
        <v>0</v>
      </c>
      <c r="CV109">
        <f t="shared" si="27"/>
        <v>0</v>
      </c>
      <c r="CW109">
        <f t="shared" si="27"/>
        <v>0</v>
      </c>
      <c r="CX109">
        <f t="shared" si="27"/>
        <v>0</v>
      </c>
      <c r="CY109">
        <f t="shared" si="27"/>
        <v>0</v>
      </c>
      <c r="CZ109">
        <f t="shared" si="27"/>
        <v>0</v>
      </c>
      <c r="DA109">
        <f t="shared" si="27"/>
        <v>0</v>
      </c>
      <c r="DB109">
        <f t="shared" si="29"/>
        <v>0</v>
      </c>
      <c r="DC109">
        <f t="shared" si="29"/>
        <v>0</v>
      </c>
      <c r="DD109">
        <f t="shared" si="29"/>
        <v>0</v>
      </c>
      <c r="DE109">
        <f t="shared" si="29"/>
        <v>0</v>
      </c>
      <c r="DF109">
        <f t="shared" si="29"/>
        <v>0</v>
      </c>
      <c r="DG109">
        <f t="shared" si="29"/>
        <v>0</v>
      </c>
      <c r="DH109">
        <f t="shared" si="29"/>
        <v>0</v>
      </c>
      <c r="DI109">
        <f t="shared" si="29"/>
        <v>0</v>
      </c>
    </row>
    <row r="110" spans="4:113">
      <c r="D110" t="s">
        <v>2960</v>
      </c>
      <c r="E110">
        <f t="shared" si="33"/>
        <v>0</v>
      </c>
      <c r="F110">
        <f t="shared" si="33"/>
        <v>0</v>
      </c>
      <c r="G110">
        <f t="shared" si="33"/>
        <v>0</v>
      </c>
      <c r="H110">
        <f t="shared" si="33"/>
        <v>0</v>
      </c>
      <c r="I110">
        <f t="shared" si="33"/>
        <v>0</v>
      </c>
      <c r="J110">
        <f t="shared" si="33"/>
        <v>0</v>
      </c>
      <c r="K110">
        <f t="shared" si="33"/>
        <v>0</v>
      </c>
      <c r="L110">
        <f t="shared" si="33"/>
        <v>0</v>
      </c>
      <c r="M110">
        <f t="shared" si="33"/>
        <v>0</v>
      </c>
      <c r="N110">
        <f t="shared" si="33"/>
        <v>0</v>
      </c>
      <c r="O110">
        <f t="shared" si="33"/>
        <v>0</v>
      </c>
      <c r="P110">
        <f t="shared" si="33"/>
        <v>0</v>
      </c>
      <c r="Q110">
        <f t="shared" si="33"/>
        <v>0</v>
      </c>
      <c r="R110">
        <f t="shared" si="33"/>
        <v>0</v>
      </c>
      <c r="S110">
        <f t="shared" si="33"/>
        <v>0</v>
      </c>
      <c r="T110">
        <f t="shared" si="33"/>
        <v>0</v>
      </c>
      <c r="U110">
        <f t="shared" si="33"/>
        <v>0</v>
      </c>
      <c r="V110">
        <f t="shared" si="33"/>
        <v>0</v>
      </c>
      <c r="W110">
        <f t="shared" si="33"/>
        <v>0</v>
      </c>
      <c r="X110">
        <f t="shared" si="33"/>
        <v>0</v>
      </c>
      <c r="Y110">
        <f t="shared" si="33"/>
        <v>0</v>
      </c>
      <c r="Z110">
        <f t="shared" si="33"/>
        <v>0</v>
      </c>
      <c r="AA110">
        <f t="shared" si="33"/>
        <v>0</v>
      </c>
      <c r="AB110">
        <f t="shared" si="33"/>
        <v>0</v>
      </c>
      <c r="AC110">
        <f t="shared" si="33"/>
        <v>0</v>
      </c>
      <c r="AD110">
        <f t="shared" si="33"/>
        <v>0</v>
      </c>
      <c r="AE110">
        <f t="shared" si="33"/>
        <v>0</v>
      </c>
      <c r="AF110">
        <f t="shared" si="33"/>
        <v>0</v>
      </c>
      <c r="AG110">
        <f t="shared" si="33"/>
        <v>0</v>
      </c>
      <c r="AH110">
        <f t="shared" si="33"/>
        <v>0</v>
      </c>
      <c r="AI110">
        <f t="shared" si="33"/>
        <v>0</v>
      </c>
      <c r="AJ110">
        <f t="shared" si="33"/>
        <v>0</v>
      </c>
      <c r="AK110">
        <f t="shared" si="33"/>
        <v>0</v>
      </c>
      <c r="AL110">
        <f t="shared" si="33"/>
        <v>0</v>
      </c>
      <c r="AM110">
        <f t="shared" si="33"/>
        <v>0</v>
      </c>
      <c r="AN110">
        <f t="shared" si="33"/>
        <v>0</v>
      </c>
      <c r="AO110">
        <f t="shared" si="33"/>
        <v>0</v>
      </c>
      <c r="AP110">
        <f t="shared" si="33"/>
        <v>0</v>
      </c>
      <c r="AQ110">
        <f t="shared" si="33"/>
        <v>0</v>
      </c>
      <c r="AR110">
        <f t="shared" si="33"/>
        <v>0</v>
      </c>
      <c r="AS110">
        <f t="shared" si="33"/>
        <v>0</v>
      </c>
      <c r="AT110">
        <f t="shared" si="33"/>
        <v>0</v>
      </c>
      <c r="AU110">
        <f t="shared" si="33"/>
        <v>0</v>
      </c>
      <c r="AV110">
        <f t="shared" si="33"/>
        <v>0</v>
      </c>
      <c r="AW110">
        <f t="shared" si="33"/>
        <v>0</v>
      </c>
      <c r="AX110">
        <f t="shared" si="33"/>
        <v>0</v>
      </c>
      <c r="AY110">
        <f t="shared" si="33"/>
        <v>0</v>
      </c>
      <c r="AZ110">
        <f t="shared" si="33"/>
        <v>0</v>
      </c>
      <c r="BA110">
        <f t="shared" si="33"/>
        <v>0</v>
      </c>
      <c r="BB110">
        <f t="shared" si="33"/>
        <v>0</v>
      </c>
      <c r="BC110">
        <f t="shared" si="33"/>
        <v>0</v>
      </c>
      <c r="BD110">
        <f t="shared" si="33"/>
        <v>0</v>
      </c>
      <c r="BE110">
        <f t="shared" si="33"/>
        <v>0</v>
      </c>
      <c r="BF110">
        <f t="shared" si="33"/>
        <v>0</v>
      </c>
      <c r="BG110">
        <f t="shared" si="33"/>
        <v>0</v>
      </c>
      <c r="BH110">
        <f t="shared" si="33"/>
        <v>0</v>
      </c>
      <c r="BI110">
        <f t="shared" si="33"/>
        <v>0</v>
      </c>
      <c r="BJ110">
        <f t="shared" si="33"/>
        <v>0</v>
      </c>
      <c r="BK110">
        <f t="shared" si="33"/>
        <v>0</v>
      </c>
      <c r="BL110">
        <f t="shared" si="33"/>
        <v>0</v>
      </c>
      <c r="BM110">
        <f t="shared" si="33"/>
        <v>0</v>
      </c>
      <c r="BN110">
        <f t="shared" si="33"/>
        <v>0</v>
      </c>
      <c r="BO110">
        <f t="shared" si="33"/>
        <v>0</v>
      </c>
      <c r="BP110">
        <f t="shared" si="33"/>
        <v>0</v>
      </c>
      <c r="BQ110">
        <f t="shared" si="32"/>
        <v>0</v>
      </c>
      <c r="BR110">
        <f t="shared" si="32"/>
        <v>0</v>
      </c>
      <c r="BS110">
        <f t="shared" si="32"/>
        <v>0</v>
      </c>
      <c r="BT110">
        <f t="shared" si="32"/>
        <v>0</v>
      </c>
      <c r="BU110">
        <f t="shared" si="32"/>
        <v>0</v>
      </c>
      <c r="BV110">
        <f t="shared" si="32"/>
        <v>0</v>
      </c>
      <c r="BW110">
        <f t="shared" si="32"/>
        <v>0</v>
      </c>
      <c r="BX110">
        <f t="shared" si="32"/>
        <v>0</v>
      </c>
      <c r="BY110">
        <f t="shared" si="32"/>
        <v>0</v>
      </c>
      <c r="BZ110">
        <f t="shared" si="32"/>
        <v>0</v>
      </c>
      <c r="CA110">
        <f t="shared" si="32"/>
        <v>0</v>
      </c>
      <c r="CB110">
        <f t="shared" si="32"/>
        <v>0</v>
      </c>
      <c r="CC110">
        <f t="shared" si="32"/>
        <v>0</v>
      </c>
      <c r="CD110">
        <f t="shared" si="32"/>
        <v>0</v>
      </c>
      <c r="CE110">
        <f t="shared" si="32"/>
        <v>0</v>
      </c>
      <c r="CF110">
        <f t="shared" si="32"/>
        <v>0</v>
      </c>
      <c r="CG110">
        <f t="shared" si="27"/>
        <v>0</v>
      </c>
      <c r="CH110">
        <f t="shared" si="27"/>
        <v>0</v>
      </c>
      <c r="CI110">
        <f t="shared" si="27"/>
        <v>0</v>
      </c>
      <c r="CJ110">
        <f t="shared" si="27"/>
        <v>0</v>
      </c>
      <c r="CK110">
        <f t="shared" si="27"/>
        <v>0</v>
      </c>
      <c r="CL110">
        <f t="shared" si="27"/>
        <v>0</v>
      </c>
      <c r="CM110">
        <f t="shared" si="27"/>
        <v>0</v>
      </c>
      <c r="CN110">
        <f t="shared" si="27"/>
        <v>0</v>
      </c>
      <c r="CO110">
        <f t="shared" si="27"/>
        <v>0</v>
      </c>
      <c r="CP110">
        <f t="shared" si="27"/>
        <v>0</v>
      </c>
      <c r="CQ110">
        <f t="shared" si="27"/>
        <v>0</v>
      </c>
      <c r="CR110">
        <f t="shared" si="27"/>
        <v>0</v>
      </c>
      <c r="CS110">
        <f t="shared" si="27"/>
        <v>0</v>
      </c>
      <c r="CT110">
        <f t="shared" si="27"/>
        <v>0</v>
      </c>
      <c r="CU110">
        <f t="shared" si="27"/>
        <v>0</v>
      </c>
      <c r="CV110">
        <f t="shared" si="27"/>
        <v>0</v>
      </c>
      <c r="CW110">
        <f t="shared" si="27"/>
        <v>0</v>
      </c>
      <c r="CX110">
        <f t="shared" si="27"/>
        <v>0</v>
      </c>
      <c r="CY110">
        <f t="shared" si="27"/>
        <v>0</v>
      </c>
      <c r="CZ110">
        <f t="shared" si="27"/>
        <v>0</v>
      </c>
      <c r="DA110">
        <f t="shared" si="27"/>
        <v>0</v>
      </c>
      <c r="DB110">
        <f t="shared" si="29"/>
        <v>0</v>
      </c>
      <c r="DC110">
        <f t="shared" si="29"/>
        <v>0</v>
      </c>
      <c r="DD110">
        <f t="shared" si="29"/>
        <v>0</v>
      </c>
      <c r="DE110">
        <f t="shared" si="29"/>
        <v>0</v>
      </c>
      <c r="DF110">
        <f t="shared" si="29"/>
        <v>0</v>
      </c>
      <c r="DG110">
        <f t="shared" si="29"/>
        <v>0</v>
      </c>
      <c r="DH110">
        <f t="shared" si="29"/>
        <v>0</v>
      </c>
      <c r="DI110">
        <f t="shared" si="29"/>
        <v>0</v>
      </c>
    </row>
    <row r="111" spans="4:113">
      <c r="D111" t="s">
        <v>2961</v>
      </c>
      <c r="E111">
        <f t="shared" si="33"/>
        <v>0</v>
      </c>
      <c r="F111">
        <f t="shared" si="33"/>
        <v>0</v>
      </c>
      <c r="G111">
        <f t="shared" si="33"/>
        <v>0</v>
      </c>
      <c r="H111">
        <f t="shared" si="33"/>
        <v>0</v>
      </c>
      <c r="I111">
        <f t="shared" si="33"/>
        <v>0</v>
      </c>
      <c r="J111">
        <f t="shared" si="33"/>
        <v>0</v>
      </c>
      <c r="K111">
        <f t="shared" si="33"/>
        <v>0</v>
      </c>
      <c r="L111">
        <f t="shared" si="33"/>
        <v>0</v>
      </c>
      <c r="M111">
        <f t="shared" si="33"/>
        <v>0</v>
      </c>
      <c r="N111">
        <f t="shared" si="33"/>
        <v>0</v>
      </c>
      <c r="O111">
        <f t="shared" si="33"/>
        <v>0</v>
      </c>
      <c r="P111">
        <f t="shared" si="33"/>
        <v>0</v>
      </c>
      <c r="Q111">
        <f t="shared" si="33"/>
        <v>0</v>
      </c>
      <c r="R111">
        <f t="shared" si="33"/>
        <v>0</v>
      </c>
      <c r="S111">
        <f t="shared" si="33"/>
        <v>0</v>
      </c>
      <c r="T111">
        <f t="shared" si="33"/>
        <v>0</v>
      </c>
      <c r="U111">
        <f t="shared" si="33"/>
        <v>0</v>
      </c>
      <c r="V111">
        <f t="shared" si="33"/>
        <v>0</v>
      </c>
      <c r="W111">
        <f t="shared" si="33"/>
        <v>0</v>
      </c>
      <c r="X111">
        <f t="shared" si="33"/>
        <v>0</v>
      </c>
      <c r="Y111">
        <f t="shared" si="33"/>
        <v>0</v>
      </c>
      <c r="Z111">
        <f t="shared" si="33"/>
        <v>0</v>
      </c>
      <c r="AA111">
        <f t="shared" si="33"/>
        <v>0</v>
      </c>
      <c r="AB111">
        <f t="shared" si="33"/>
        <v>0</v>
      </c>
      <c r="AC111">
        <f t="shared" si="33"/>
        <v>0</v>
      </c>
      <c r="AD111">
        <f t="shared" si="33"/>
        <v>0</v>
      </c>
      <c r="AE111">
        <f t="shared" si="33"/>
        <v>0</v>
      </c>
      <c r="AF111">
        <f t="shared" si="33"/>
        <v>0</v>
      </c>
      <c r="AG111">
        <f t="shared" si="33"/>
        <v>0</v>
      </c>
      <c r="AH111">
        <f t="shared" si="33"/>
        <v>0</v>
      </c>
      <c r="AI111">
        <f t="shared" si="33"/>
        <v>0</v>
      </c>
      <c r="AJ111">
        <f t="shared" si="33"/>
        <v>0</v>
      </c>
      <c r="AK111">
        <f t="shared" si="33"/>
        <v>0</v>
      </c>
      <c r="AL111">
        <f t="shared" si="33"/>
        <v>0</v>
      </c>
      <c r="AM111">
        <f t="shared" si="33"/>
        <v>0</v>
      </c>
      <c r="AN111">
        <f t="shared" si="33"/>
        <v>0</v>
      </c>
      <c r="AO111">
        <f t="shared" si="33"/>
        <v>0</v>
      </c>
      <c r="AP111">
        <f t="shared" si="33"/>
        <v>0</v>
      </c>
      <c r="AQ111">
        <f t="shared" si="33"/>
        <v>0</v>
      </c>
      <c r="AR111">
        <f t="shared" si="33"/>
        <v>0</v>
      </c>
      <c r="AS111">
        <f t="shared" si="33"/>
        <v>0</v>
      </c>
      <c r="AT111">
        <f t="shared" si="33"/>
        <v>0</v>
      </c>
      <c r="AU111">
        <f t="shared" si="33"/>
        <v>0</v>
      </c>
      <c r="AV111">
        <f t="shared" si="33"/>
        <v>0</v>
      </c>
      <c r="AW111">
        <f t="shared" si="33"/>
        <v>0</v>
      </c>
      <c r="AX111">
        <f t="shared" si="33"/>
        <v>0</v>
      </c>
      <c r="AY111">
        <f t="shared" si="33"/>
        <v>0</v>
      </c>
      <c r="AZ111">
        <f t="shared" si="33"/>
        <v>0</v>
      </c>
      <c r="BA111">
        <f t="shared" si="33"/>
        <v>0</v>
      </c>
      <c r="BB111">
        <f t="shared" si="33"/>
        <v>0</v>
      </c>
      <c r="BC111">
        <f t="shared" si="33"/>
        <v>0</v>
      </c>
      <c r="BD111">
        <f t="shared" si="33"/>
        <v>0</v>
      </c>
      <c r="BE111">
        <f t="shared" si="33"/>
        <v>0</v>
      </c>
      <c r="BF111">
        <f t="shared" si="33"/>
        <v>0</v>
      </c>
      <c r="BG111">
        <f t="shared" si="33"/>
        <v>0</v>
      </c>
      <c r="BH111">
        <f t="shared" si="33"/>
        <v>0</v>
      </c>
      <c r="BI111">
        <f t="shared" si="33"/>
        <v>0</v>
      </c>
      <c r="BJ111">
        <f t="shared" si="33"/>
        <v>0</v>
      </c>
      <c r="BK111">
        <f t="shared" si="33"/>
        <v>0</v>
      </c>
      <c r="BL111">
        <f t="shared" si="33"/>
        <v>0</v>
      </c>
      <c r="BM111">
        <f t="shared" si="33"/>
        <v>0</v>
      </c>
      <c r="BN111">
        <f t="shared" si="33"/>
        <v>0</v>
      </c>
      <c r="BO111">
        <f t="shared" si="33"/>
        <v>0</v>
      </c>
      <c r="BP111">
        <f t="shared" ref="BP111:DA119" si="34">IF(AND($B42&lt;&gt;"",$C42&lt;&gt;""),IF(BP42&lt;&gt;"",IF(VALUE(LEFT(BP42))=$B42,1,0)+IF(VALUE(RIGHT(BP42))=$C42,1,0)+IF(AND(VALUE(LEFT(BP42,1))&gt;VALUE(RIGHT(BP42,1)),$B42&gt;$C42),3,0)+IF(AND(VALUE(LEFT(BP42,1))&lt;VALUE(RIGHT(BP42,1)),$B42&lt;$C42),3,0)+IF(AND(VALUE(LEFT(BP42,1))=VALUE(RIGHT(BP42,1)),$B42=$C42),3,0),0),0)</f>
        <v>0</v>
      </c>
      <c r="BQ111">
        <f t="shared" si="34"/>
        <v>0</v>
      </c>
      <c r="BR111">
        <f t="shared" si="34"/>
        <v>0</v>
      </c>
      <c r="BS111">
        <f t="shared" si="34"/>
        <v>0</v>
      </c>
      <c r="BT111">
        <f t="shared" si="34"/>
        <v>0</v>
      </c>
      <c r="BU111">
        <f t="shared" si="34"/>
        <v>0</v>
      </c>
      <c r="BV111">
        <f t="shared" si="34"/>
        <v>0</v>
      </c>
      <c r="BW111">
        <f t="shared" si="34"/>
        <v>0</v>
      </c>
      <c r="BX111">
        <f t="shared" si="34"/>
        <v>0</v>
      </c>
      <c r="BY111">
        <f t="shared" si="34"/>
        <v>0</v>
      </c>
      <c r="BZ111">
        <f t="shared" si="34"/>
        <v>0</v>
      </c>
      <c r="CA111">
        <f t="shared" si="34"/>
        <v>0</v>
      </c>
      <c r="CB111">
        <f t="shared" si="34"/>
        <v>0</v>
      </c>
      <c r="CC111">
        <f t="shared" si="34"/>
        <v>0</v>
      </c>
      <c r="CD111">
        <f t="shared" si="34"/>
        <v>0</v>
      </c>
      <c r="CE111">
        <f t="shared" si="34"/>
        <v>0</v>
      </c>
      <c r="CF111">
        <f t="shared" si="34"/>
        <v>0</v>
      </c>
      <c r="CG111">
        <f t="shared" si="27"/>
        <v>0</v>
      </c>
      <c r="CH111">
        <f t="shared" ref="CH111:DI119" si="35">IF(AND($B42&lt;&gt;"",$C42&lt;&gt;""),IF(CH42&lt;&gt;"",IF(VALUE(LEFT(CH42))=$B42,1,0)+IF(VALUE(RIGHT(CH42))=$C42,1,0)+IF(AND(VALUE(LEFT(CH42,1))&gt;VALUE(RIGHT(CH42,1)),$B42&gt;$C42),3,0)+IF(AND(VALUE(LEFT(CH42,1))&lt;VALUE(RIGHT(CH42,1)),$B42&lt;$C42),3,0)+IF(AND(VALUE(LEFT(CH42,1))=VALUE(RIGHT(CH42,1)),$B42=$C42),3,0),0),0)</f>
        <v>0</v>
      </c>
      <c r="CI111">
        <f t="shared" si="35"/>
        <v>0</v>
      </c>
      <c r="CJ111">
        <f t="shared" si="35"/>
        <v>0</v>
      </c>
      <c r="CK111">
        <f t="shared" si="35"/>
        <v>0</v>
      </c>
      <c r="CL111">
        <f t="shared" si="35"/>
        <v>0</v>
      </c>
      <c r="CM111">
        <f t="shared" si="35"/>
        <v>0</v>
      </c>
      <c r="CN111">
        <f t="shared" si="35"/>
        <v>0</v>
      </c>
      <c r="CO111">
        <f t="shared" si="35"/>
        <v>0</v>
      </c>
      <c r="CP111">
        <f t="shared" si="35"/>
        <v>0</v>
      </c>
      <c r="CQ111">
        <f t="shared" si="35"/>
        <v>0</v>
      </c>
      <c r="CR111">
        <f t="shared" si="35"/>
        <v>0</v>
      </c>
      <c r="CS111">
        <f t="shared" si="35"/>
        <v>0</v>
      </c>
      <c r="CT111">
        <f t="shared" si="35"/>
        <v>0</v>
      </c>
      <c r="CU111">
        <f t="shared" si="35"/>
        <v>0</v>
      </c>
      <c r="CV111">
        <f t="shared" si="35"/>
        <v>0</v>
      </c>
      <c r="CW111">
        <f t="shared" si="35"/>
        <v>0</v>
      </c>
      <c r="CX111">
        <f t="shared" si="35"/>
        <v>0</v>
      </c>
      <c r="CY111">
        <f t="shared" si="35"/>
        <v>0</v>
      </c>
      <c r="CZ111">
        <f t="shared" si="35"/>
        <v>0</v>
      </c>
      <c r="DA111">
        <f t="shared" si="35"/>
        <v>0</v>
      </c>
      <c r="DB111">
        <f t="shared" si="35"/>
        <v>0</v>
      </c>
      <c r="DC111">
        <f t="shared" si="35"/>
        <v>0</v>
      </c>
      <c r="DD111">
        <f t="shared" si="35"/>
        <v>0</v>
      </c>
      <c r="DE111">
        <f t="shared" si="35"/>
        <v>0</v>
      </c>
      <c r="DF111">
        <f t="shared" si="35"/>
        <v>0</v>
      </c>
      <c r="DG111">
        <f t="shared" si="35"/>
        <v>0</v>
      </c>
      <c r="DH111">
        <f t="shared" si="35"/>
        <v>0</v>
      </c>
      <c r="DI111">
        <f t="shared" si="35"/>
        <v>0</v>
      </c>
    </row>
    <row r="112" spans="4:113">
      <c r="D112" t="s">
        <v>2962</v>
      </c>
      <c r="E112">
        <f t="shared" ref="E112:BP115" si="36">IF(AND($B43&lt;&gt;"",$C43&lt;&gt;""),IF(E43&lt;&gt;"",IF(VALUE(LEFT(E43))=$B43,1,0)+IF(VALUE(RIGHT(E43))=$C43,1,0)+IF(AND(VALUE(LEFT(E43,1))&gt;VALUE(RIGHT(E43,1)),$B43&gt;$C43),3,0)+IF(AND(VALUE(LEFT(E43,1))&lt;VALUE(RIGHT(E43,1)),$B43&lt;$C43),3,0)+IF(AND(VALUE(LEFT(E43,1))=VALUE(RIGHT(E43,1)),$B43=$C43),3,0),0),0)</f>
        <v>0</v>
      </c>
      <c r="F112">
        <f t="shared" si="36"/>
        <v>0</v>
      </c>
      <c r="G112">
        <f t="shared" si="36"/>
        <v>0</v>
      </c>
      <c r="H112">
        <f t="shared" si="36"/>
        <v>0</v>
      </c>
      <c r="I112">
        <f t="shared" si="36"/>
        <v>0</v>
      </c>
      <c r="J112">
        <f t="shared" si="36"/>
        <v>0</v>
      </c>
      <c r="K112">
        <f t="shared" si="36"/>
        <v>0</v>
      </c>
      <c r="L112">
        <f t="shared" si="36"/>
        <v>0</v>
      </c>
      <c r="M112">
        <f t="shared" si="36"/>
        <v>0</v>
      </c>
      <c r="N112">
        <f t="shared" si="36"/>
        <v>0</v>
      </c>
      <c r="O112">
        <f t="shared" si="36"/>
        <v>0</v>
      </c>
      <c r="P112">
        <f t="shared" si="36"/>
        <v>0</v>
      </c>
      <c r="Q112">
        <f t="shared" si="36"/>
        <v>0</v>
      </c>
      <c r="R112">
        <f t="shared" si="36"/>
        <v>0</v>
      </c>
      <c r="S112">
        <f t="shared" si="36"/>
        <v>0</v>
      </c>
      <c r="T112">
        <f t="shared" si="36"/>
        <v>0</v>
      </c>
      <c r="U112">
        <f t="shared" si="36"/>
        <v>0</v>
      </c>
      <c r="V112">
        <f t="shared" si="36"/>
        <v>0</v>
      </c>
      <c r="W112">
        <f t="shared" si="36"/>
        <v>0</v>
      </c>
      <c r="X112">
        <f t="shared" si="36"/>
        <v>0</v>
      </c>
      <c r="Y112">
        <f t="shared" si="36"/>
        <v>0</v>
      </c>
      <c r="Z112">
        <f t="shared" si="36"/>
        <v>0</v>
      </c>
      <c r="AA112">
        <f t="shared" si="36"/>
        <v>0</v>
      </c>
      <c r="AB112">
        <f t="shared" si="36"/>
        <v>0</v>
      </c>
      <c r="AC112">
        <f t="shared" si="36"/>
        <v>0</v>
      </c>
      <c r="AD112">
        <f t="shared" si="36"/>
        <v>0</v>
      </c>
      <c r="AE112">
        <f t="shared" si="36"/>
        <v>0</v>
      </c>
      <c r="AF112">
        <f t="shared" si="36"/>
        <v>0</v>
      </c>
      <c r="AG112">
        <f t="shared" si="36"/>
        <v>0</v>
      </c>
      <c r="AH112">
        <f t="shared" si="36"/>
        <v>0</v>
      </c>
      <c r="AI112">
        <f t="shared" si="36"/>
        <v>0</v>
      </c>
      <c r="AJ112">
        <f t="shared" si="36"/>
        <v>0</v>
      </c>
      <c r="AK112">
        <f t="shared" si="36"/>
        <v>0</v>
      </c>
      <c r="AL112">
        <f t="shared" si="36"/>
        <v>0</v>
      </c>
      <c r="AM112">
        <f t="shared" si="36"/>
        <v>0</v>
      </c>
      <c r="AN112">
        <f t="shared" si="36"/>
        <v>0</v>
      </c>
      <c r="AO112">
        <f t="shared" si="36"/>
        <v>0</v>
      </c>
      <c r="AP112">
        <f t="shared" si="36"/>
        <v>0</v>
      </c>
      <c r="AQ112">
        <f t="shared" si="36"/>
        <v>0</v>
      </c>
      <c r="AR112">
        <f t="shared" si="36"/>
        <v>0</v>
      </c>
      <c r="AS112">
        <f t="shared" si="36"/>
        <v>0</v>
      </c>
      <c r="AT112">
        <f t="shared" si="36"/>
        <v>0</v>
      </c>
      <c r="AU112">
        <f t="shared" si="36"/>
        <v>0</v>
      </c>
      <c r="AV112">
        <f t="shared" si="36"/>
        <v>0</v>
      </c>
      <c r="AW112">
        <f t="shared" si="36"/>
        <v>0</v>
      </c>
      <c r="AX112">
        <f t="shared" si="36"/>
        <v>0</v>
      </c>
      <c r="AY112">
        <f t="shared" si="36"/>
        <v>0</v>
      </c>
      <c r="AZ112">
        <f t="shared" si="36"/>
        <v>0</v>
      </c>
      <c r="BA112">
        <f t="shared" si="36"/>
        <v>0</v>
      </c>
      <c r="BB112">
        <f t="shared" si="36"/>
        <v>0</v>
      </c>
      <c r="BC112">
        <f t="shared" si="36"/>
        <v>0</v>
      </c>
      <c r="BD112">
        <f t="shared" si="36"/>
        <v>0</v>
      </c>
      <c r="BE112">
        <f t="shared" si="36"/>
        <v>0</v>
      </c>
      <c r="BF112">
        <f t="shared" si="36"/>
        <v>0</v>
      </c>
      <c r="BG112">
        <f t="shared" si="36"/>
        <v>0</v>
      </c>
      <c r="BH112">
        <f t="shared" si="36"/>
        <v>0</v>
      </c>
      <c r="BI112">
        <f t="shared" si="36"/>
        <v>0</v>
      </c>
      <c r="BJ112">
        <f t="shared" si="36"/>
        <v>0</v>
      </c>
      <c r="BK112">
        <f t="shared" si="36"/>
        <v>0</v>
      </c>
      <c r="BL112">
        <f t="shared" si="36"/>
        <v>0</v>
      </c>
      <c r="BM112">
        <f t="shared" si="36"/>
        <v>0</v>
      </c>
      <c r="BN112">
        <f t="shared" si="36"/>
        <v>0</v>
      </c>
      <c r="BO112">
        <f t="shared" si="36"/>
        <v>0</v>
      </c>
      <c r="BP112">
        <f t="shared" si="36"/>
        <v>0</v>
      </c>
      <c r="BQ112">
        <f t="shared" si="34"/>
        <v>0</v>
      </c>
      <c r="BR112">
        <f t="shared" si="34"/>
        <v>0</v>
      </c>
      <c r="BS112">
        <f t="shared" si="34"/>
        <v>0</v>
      </c>
      <c r="BT112">
        <f t="shared" si="34"/>
        <v>0</v>
      </c>
      <c r="BU112">
        <f t="shared" si="34"/>
        <v>0</v>
      </c>
      <c r="BV112">
        <f t="shared" si="34"/>
        <v>0</v>
      </c>
      <c r="BW112">
        <f t="shared" si="34"/>
        <v>0</v>
      </c>
      <c r="BX112">
        <f t="shared" si="34"/>
        <v>0</v>
      </c>
      <c r="BY112">
        <f t="shared" si="34"/>
        <v>0</v>
      </c>
      <c r="BZ112">
        <f t="shared" si="34"/>
        <v>0</v>
      </c>
      <c r="CA112">
        <f t="shared" si="34"/>
        <v>0</v>
      </c>
      <c r="CB112">
        <f t="shared" si="34"/>
        <v>0</v>
      </c>
      <c r="CC112">
        <f t="shared" si="34"/>
        <v>0</v>
      </c>
      <c r="CD112">
        <f t="shared" si="34"/>
        <v>0</v>
      </c>
      <c r="CE112">
        <f t="shared" si="34"/>
        <v>0</v>
      </c>
      <c r="CF112">
        <f t="shared" si="34"/>
        <v>0</v>
      </c>
      <c r="CG112">
        <f t="shared" si="34"/>
        <v>0</v>
      </c>
      <c r="CH112">
        <f t="shared" si="34"/>
        <v>0</v>
      </c>
      <c r="CI112">
        <f t="shared" si="34"/>
        <v>0</v>
      </c>
      <c r="CJ112">
        <f t="shared" si="34"/>
        <v>0</v>
      </c>
      <c r="CK112">
        <f t="shared" si="34"/>
        <v>0</v>
      </c>
      <c r="CL112">
        <f t="shared" si="34"/>
        <v>0</v>
      </c>
      <c r="CM112">
        <f t="shared" si="34"/>
        <v>0</v>
      </c>
      <c r="CN112">
        <f t="shared" si="34"/>
        <v>0</v>
      </c>
      <c r="CO112">
        <f t="shared" si="34"/>
        <v>0</v>
      </c>
      <c r="CP112">
        <f t="shared" si="34"/>
        <v>0</v>
      </c>
      <c r="CQ112">
        <f t="shared" si="34"/>
        <v>0</v>
      </c>
      <c r="CR112">
        <f t="shared" si="34"/>
        <v>0</v>
      </c>
      <c r="CS112">
        <f t="shared" si="34"/>
        <v>0</v>
      </c>
      <c r="CT112">
        <f t="shared" si="34"/>
        <v>0</v>
      </c>
      <c r="CU112">
        <f t="shared" si="34"/>
        <v>0</v>
      </c>
      <c r="CV112">
        <f t="shared" si="34"/>
        <v>0</v>
      </c>
      <c r="CW112">
        <f t="shared" si="34"/>
        <v>0</v>
      </c>
      <c r="CX112">
        <f t="shared" si="34"/>
        <v>0</v>
      </c>
      <c r="CY112">
        <f t="shared" si="34"/>
        <v>0</v>
      </c>
      <c r="CZ112">
        <f t="shared" si="34"/>
        <v>0</v>
      </c>
      <c r="DA112">
        <f t="shared" si="34"/>
        <v>0</v>
      </c>
      <c r="DB112">
        <f t="shared" si="35"/>
        <v>0</v>
      </c>
      <c r="DC112">
        <f t="shared" si="35"/>
        <v>0</v>
      </c>
      <c r="DD112">
        <f t="shared" si="35"/>
        <v>0</v>
      </c>
      <c r="DE112">
        <f t="shared" si="35"/>
        <v>0</v>
      </c>
      <c r="DF112">
        <f t="shared" si="35"/>
        <v>0</v>
      </c>
      <c r="DG112">
        <f t="shared" si="35"/>
        <v>0</v>
      </c>
      <c r="DH112">
        <f t="shared" si="35"/>
        <v>0</v>
      </c>
      <c r="DI112">
        <f t="shared" si="35"/>
        <v>0</v>
      </c>
    </row>
    <row r="113" spans="2:113">
      <c r="D113" t="s">
        <v>2963</v>
      </c>
      <c r="E113">
        <f t="shared" si="36"/>
        <v>0</v>
      </c>
      <c r="F113">
        <f t="shared" si="36"/>
        <v>0</v>
      </c>
      <c r="G113">
        <f t="shared" si="36"/>
        <v>0</v>
      </c>
      <c r="H113">
        <f t="shared" si="36"/>
        <v>0</v>
      </c>
      <c r="I113">
        <f t="shared" si="36"/>
        <v>0</v>
      </c>
      <c r="J113">
        <f t="shared" si="36"/>
        <v>0</v>
      </c>
      <c r="K113">
        <f t="shared" si="36"/>
        <v>0</v>
      </c>
      <c r="L113">
        <f t="shared" si="36"/>
        <v>0</v>
      </c>
      <c r="M113">
        <f t="shared" si="36"/>
        <v>0</v>
      </c>
      <c r="N113">
        <f t="shared" si="36"/>
        <v>0</v>
      </c>
      <c r="O113">
        <f t="shared" si="36"/>
        <v>0</v>
      </c>
      <c r="P113">
        <f t="shared" si="36"/>
        <v>0</v>
      </c>
      <c r="Q113">
        <f t="shared" si="36"/>
        <v>0</v>
      </c>
      <c r="R113">
        <f t="shared" si="36"/>
        <v>0</v>
      </c>
      <c r="S113">
        <f t="shared" si="36"/>
        <v>0</v>
      </c>
      <c r="T113">
        <f t="shared" si="36"/>
        <v>0</v>
      </c>
      <c r="U113">
        <f t="shared" si="36"/>
        <v>0</v>
      </c>
      <c r="V113">
        <f t="shared" si="36"/>
        <v>0</v>
      </c>
      <c r="W113">
        <f t="shared" si="36"/>
        <v>0</v>
      </c>
      <c r="X113">
        <f t="shared" si="36"/>
        <v>0</v>
      </c>
      <c r="Y113">
        <f t="shared" si="36"/>
        <v>0</v>
      </c>
      <c r="Z113">
        <f t="shared" si="36"/>
        <v>0</v>
      </c>
      <c r="AA113">
        <f t="shared" si="36"/>
        <v>0</v>
      </c>
      <c r="AB113">
        <f t="shared" si="36"/>
        <v>0</v>
      </c>
      <c r="AC113">
        <f t="shared" si="36"/>
        <v>0</v>
      </c>
      <c r="AD113">
        <f t="shared" si="36"/>
        <v>0</v>
      </c>
      <c r="AE113">
        <f t="shared" si="36"/>
        <v>0</v>
      </c>
      <c r="AF113">
        <f t="shared" si="36"/>
        <v>0</v>
      </c>
      <c r="AG113">
        <f t="shared" si="36"/>
        <v>0</v>
      </c>
      <c r="AH113">
        <f t="shared" si="36"/>
        <v>0</v>
      </c>
      <c r="AI113">
        <f t="shared" si="36"/>
        <v>0</v>
      </c>
      <c r="AJ113">
        <f t="shared" si="36"/>
        <v>0</v>
      </c>
      <c r="AK113">
        <f t="shared" si="36"/>
        <v>0</v>
      </c>
      <c r="AL113">
        <f t="shared" si="36"/>
        <v>0</v>
      </c>
      <c r="AM113">
        <f t="shared" si="36"/>
        <v>0</v>
      </c>
      <c r="AN113">
        <f t="shared" si="36"/>
        <v>0</v>
      </c>
      <c r="AO113">
        <f t="shared" si="36"/>
        <v>0</v>
      </c>
      <c r="AP113">
        <f t="shared" si="36"/>
        <v>0</v>
      </c>
      <c r="AQ113">
        <f t="shared" si="36"/>
        <v>0</v>
      </c>
      <c r="AR113">
        <f t="shared" si="36"/>
        <v>0</v>
      </c>
      <c r="AS113">
        <f t="shared" si="36"/>
        <v>0</v>
      </c>
      <c r="AT113">
        <f t="shared" si="36"/>
        <v>0</v>
      </c>
      <c r="AU113">
        <f t="shared" si="36"/>
        <v>0</v>
      </c>
      <c r="AV113">
        <f t="shared" si="36"/>
        <v>0</v>
      </c>
      <c r="AW113">
        <f t="shared" si="36"/>
        <v>0</v>
      </c>
      <c r="AX113">
        <f t="shared" si="36"/>
        <v>0</v>
      </c>
      <c r="AY113">
        <f t="shared" si="36"/>
        <v>0</v>
      </c>
      <c r="AZ113">
        <f t="shared" si="36"/>
        <v>0</v>
      </c>
      <c r="BA113">
        <f t="shared" si="36"/>
        <v>0</v>
      </c>
      <c r="BB113">
        <f t="shared" si="36"/>
        <v>0</v>
      </c>
      <c r="BC113">
        <f t="shared" si="36"/>
        <v>0</v>
      </c>
      <c r="BD113">
        <f t="shared" si="36"/>
        <v>0</v>
      </c>
      <c r="BE113">
        <f t="shared" si="36"/>
        <v>0</v>
      </c>
      <c r="BF113">
        <f t="shared" si="36"/>
        <v>0</v>
      </c>
      <c r="BG113">
        <f t="shared" si="36"/>
        <v>0</v>
      </c>
      <c r="BH113">
        <f t="shared" si="36"/>
        <v>0</v>
      </c>
      <c r="BI113">
        <f t="shared" si="36"/>
        <v>0</v>
      </c>
      <c r="BJ113">
        <f t="shared" si="36"/>
        <v>0</v>
      </c>
      <c r="BK113">
        <f t="shared" si="36"/>
        <v>0</v>
      </c>
      <c r="BL113">
        <f t="shared" si="36"/>
        <v>0</v>
      </c>
      <c r="BM113">
        <f t="shared" si="36"/>
        <v>0</v>
      </c>
      <c r="BN113">
        <f t="shared" si="36"/>
        <v>0</v>
      </c>
      <c r="BO113">
        <f t="shared" si="36"/>
        <v>0</v>
      </c>
      <c r="BP113">
        <f t="shared" si="36"/>
        <v>0</v>
      </c>
      <c r="BQ113">
        <f t="shared" si="34"/>
        <v>0</v>
      </c>
      <c r="BR113">
        <f t="shared" si="34"/>
        <v>0</v>
      </c>
      <c r="BS113">
        <f t="shared" si="34"/>
        <v>0</v>
      </c>
      <c r="BT113">
        <f t="shared" si="34"/>
        <v>0</v>
      </c>
      <c r="BU113">
        <f t="shared" si="34"/>
        <v>0</v>
      </c>
      <c r="BV113">
        <f t="shared" si="34"/>
        <v>0</v>
      </c>
      <c r="BW113">
        <f t="shared" si="34"/>
        <v>0</v>
      </c>
      <c r="BX113">
        <f t="shared" si="34"/>
        <v>0</v>
      </c>
      <c r="BY113">
        <f t="shared" si="34"/>
        <v>0</v>
      </c>
      <c r="BZ113">
        <f t="shared" si="34"/>
        <v>0</v>
      </c>
      <c r="CA113">
        <f t="shared" si="34"/>
        <v>0</v>
      </c>
      <c r="CB113">
        <f t="shared" si="34"/>
        <v>0</v>
      </c>
      <c r="CC113">
        <f t="shared" si="34"/>
        <v>0</v>
      </c>
      <c r="CD113">
        <f t="shared" si="34"/>
        <v>0</v>
      </c>
      <c r="CE113">
        <f t="shared" si="34"/>
        <v>0</v>
      </c>
      <c r="CF113">
        <f t="shared" si="34"/>
        <v>0</v>
      </c>
      <c r="CG113">
        <f t="shared" si="34"/>
        <v>0</v>
      </c>
      <c r="CH113">
        <f t="shared" si="34"/>
        <v>0</v>
      </c>
      <c r="CI113">
        <f t="shared" si="34"/>
        <v>0</v>
      </c>
      <c r="CJ113">
        <f t="shared" si="34"/>
        <v>0</v>
      </c>
      <c r="CK113">
        <f t="shared" si="34"/>
        <v>0</v>
      </c>
      <c r="CL113">
        <f t="shared" si="34"/>
        <v>0</v>
      </c>
      <c r="CM113">
        <f t="shared" si="34"/>
        <v>0</v>
      </c>
      <c r="CN113">
        <f t="shared" si="34"/>
        <v>0</v>
      </c>
      <c r="CO113">
        <f t="shared" si="34"/>
        <v>0</v>
      </c>
      <c r="CP113">
        <f t="shared" si="34"/>
        <v>0</v>
      </c>
      <c r="CQ113">
        <f t="shared" si="34"/>
        <v>0</v>
      </c>
      <c r="CR113">
        <f t="shared" si="34"/>
        <v>0</v>
      </c>
      <c r="CS113">
        <f t="shared" si="34"/>
        <v>0</v>
      </c>
      <c r="CT113">
        <f t="shared" si="34"/>
        <v>0</v>
      </c>
      <c r="CU113">
        <f t="shared" si="34"/>
        <v>0</v>
      </c>
      <c r="CV113">
        <f t="shared" si="34"/>
        <v>0</v>
      </c>
      <c r="CW113">
        <f t="shared" si="34"/>
        <v>0</v>
      </c>
      <c r="CX113">
        <f t="shared" si="34"/>
        <v>0</v>
      </c>
      <c r="CY113">
        <f t="shared" si="34"/>
        <v>0</v>
      </c>
      <c r="CZ113">
        <f t="shared" si="34"/>
        <v>0</v>
      </c>
      <c r="DA113">
        <f t="shared" si="34"/>
        <v>0</v>
      </c>
      <c r="DB113">
        <f t="shared" si="35"/>
        <v>0</v>
      </c>
      <c r="DC113">
        <f t="shared" si="35"/>
        <v>0</v>
      </c>
      <c r="DD113">
        <f t="shared" si="35"/>
        <v>0</v>
      </c>
      <c r="DE113">
        <f t="shared" si="35"/>
        <v>0</v>
      </c>
      <c r="DF113">
        <f t="shared" si="35"/>
        <v>0</v>
      </c>
      <c r="DG113">
        <f t="shared" si="35"/>
        <v>0</v>
      </c>
      <c r="DH113">
        <f t="shared" si="35"/>
        <v>0</v>
      </c>
      <c r="DI113">
        <f t="shared" si="35"/>
        <v>0</v>
      </c>
    </row>
    <row r="114" spans="2:113">
      <c r="D114" t="s">
        <v>2043</v>
      </c>
      <c r="E114">
        <f t="shared" si="36"/>
        <v>0</v>
      </c>
      <c r="F114">
        <f t="shared" si="36"/>
        <v>0</v>
      </c>
      <c r="G114">
        <f t="shared" si="36"/>
        <v>0</v>
      </c>
      <c r="H114">
        <f t="shared" si="36"/>
        <v>0</v>
      </c>
      <c r="I114">
        <f t="shared" si="36"/>
        <v>0</v>
      </c>
      <c r="J114">
        <f t="shared" si="36"/>
        <v>0</v>
      </c>
      <c r="K114">
        <f t="shared" si="36"/>
        <v>0</v>
      </c>
      <c r="L114">
        <f t="shared" si="36"/>
        <v>0</v>
      </c>
      <c r="M114">
        <f t="shared" si="36"/>
        <v>0</v>
      </c>
      <c r="N114">
        <f t="shared" si="36"/>
        <v>0</v>
      </c>
      <c r="O114">
        <f t="shared" si="36"/>
        <v>0</v>
      </c>
      <c r="P114">
        <f t="shared" si="36"/>
        <v>0</v>
      </c>
      <c r="Q114">
        <f t="shared" si="36"/>
        <v>0</v>
      </c>
      <c r="R114">
        <f t="shared" si="36"/>
        <v>0</v>
      </c>
      <c r="S114">
        <f t="shared" si="36"/>
        <v>0</v>
      </c>
      <c r="T114">
        <f t="shared" si="36"/>
        <v>0</v>
      </c>
      <c r="U114">
        <f t="shared" si="36"/>
        <v>0</v>
      </c>
      <c r="V114">
        <f t="shared" si="36"/>
        <v>0</v>
      </c>
      <c r="W114">
        <f t="shared" si="36"/>
        <v>0</v>
      </c>
      <c r="X114">
        <f t="shared" si="36"/>
        <v>0</v>
      </c>
      <c r="Y114">
        <f t="shared" si="36"/>
        <v>0</v>
      </c>
      <c r="Z114">
        <f t="shared" si="36"/>
        <v>0</v>
      </c>
      <c r="AA114">
        <f t="shared" si="36"/>
        <v>0</v>
      </c>
      <c r="AB114">
        <f t="shared" si="36"/>
        <v>0</v>
      </c>
      <c r="AC114">
        <f t="shared" si="36"/>
        <v>0</v>
      </c>
      <c r="AD114">
        <f t="shared" si="36"/>
        <v>0</v>
      </c>
      <c r="AE114">
        <f t="shared" si="36"/>
        <v>0</v>
      </c>
      <c r="AF114">
        <f t="shared" si="36"/>
        <v>0</v>
      </c>
      <c r="AG114">
        <f t="shared" si="36"/>
        <v>0</v>
      </c>
      <c r="AH114">
        <f t="shared" si="36"/>
        <v>0</v>
      </c>
      <c r="AI114">
        <f t="shared" si="36"/>
        <v>0</v>
      </c>
      <c r="AJ114">
        <f t="shared" si="36"/>
        <v>0</v>
      </c>
      <c r="AK114">
        <f t="shared" si="36"/>
        <v>0</v>
      </c>
      <c r="AL114">
        <f t="shared" si="36"/>
        <v>0</v>
      </c>
      <c r="AM114">
        <f t="shared" si="36"/>
        <v>0</v>
      </c>
      <c r="AN114">
        <f t="shared" si="36"/>
        <v>0</v>
      </c>
      <c r="AO114">
        <f t="shared" si="36"/>
        <v>0</v>
      </c>
      <c r="AP114">
        <f t="shared" si="36"/>
        <v>0</v>
      </c>
      <c r="AQ114">
        <f t="shared" si="36"/>
        <v>0</v>
      </c>
      <c r="AR114">
        <f t="shared" si="36"/>
        <v>0</v>
      </c>
      <c r="AS114">
        <f t="shared" si="36"/>
        <v>0</v>
      </c>
      <c r="AT114">
        <f t="shared" si="36"/>
        <v>0</v>
      </c>
      <c r="AU114">
        <f t="shared" si="36"/>
        <v>0</v>
      </c>
      <c r="AV114">
        <f t="shared" si="36"/>
        <v>0</v>
      </c>
      <c r="AW114">
        <f t="shared" si="36"/>
        <v>0</v>
      </c>
      <c r="AX114">
        <f t="shared" si="36"/>
        <v>0</v>
      </c>
      <c r="AY114">
        <f t="shared" si="36"/>
        <v>0</v>
      </c>
      <c r="AZ114">
        <f t="shared" si="36"/>
        <v>0</v>
      </c>
      <c r="BA114">
        <f t="shared" si="36"/>
        <v>0</v>
      </c>
      <c r="BB114">
        <f t="shared" si="36"/>
        <v>0</v>
      </c>
      <c r="BC114">
        <f t="shared" si="36"/>
        <v>0</v>
      </c>
      <c r="BD114">
        <f t="shared" si="36"/>
        <v>0</v>
      </c>
      <c r="BE114">
        <f t="shared" si="36"/>
        <v>0</v>
      </c>
      <c r="BF114">
        <f t="shared" si="36"/>
        <v>0</v>
      </c>
      <c r="BG114">
        <f t="shared" si="36"/>
        <v>0</v>
      </c>
      <c r="BH114">
        <f t="shared" si="36"/>
        <v>0</v>
      </c>
      <c r="BI114">
        <f t="shared" si="36"/>
        <v>0</v>
      </c>
      <c r="BJ114">
        <f t="shared" si="36"/>
        <v>0</v>
      </c>
      <c r="BK114">
        <f t="shared" si="36"/>
        <v>0</v>
      </c>
      <c r="BL114">
        <f t="shared" si="36"/>
        <v>0</v>
      </c>
      <c r="BM114">
        <f t="shared" si="36"/>
        <v>0</v>
      </c>
      <c r="BN114">
        <f t="shared" si="36"/>
        <v>0</v>
      </c>
      <c r="BO114">
        <f t="shared" si="36"/>
        <v>0</v>
      </c>
      <c r="BP114">
        <f t="shared" si="36"/>
        <v>0</v>
      </c>
      <c r="BQ114">
        <f t="shared" si="34"/>
        <v>0</v>
      </c>
      <c r="BR114">
        <f t="shared" si="34"/>
        <v>0</v>
      </c>
      <c r="BS114">
        <f t="shared" si="34"/>
        <v>0</v>
      </c>
      <c r="BT114">
        <f t="shared" si="34"/>
        <v>0</v>
      </c>
      <c r="BU114">
        <f t="shared" si="34"/>
        <v>0</v>
      </c>
      <c r="BV114">
        <f t="shared" si="34"/>
        <v>0</v>
      </c>
      <c r="BW114">
        <f t="shared" si="34"/>
        <v>0</v>
      </c>
      <c r="BX114">
        <f t="shared" si="34"/>
        <v>0</v>
      </c>
      <c r="BY114">
        <f t="shared" si="34"/>
        <v>0</v>
      </c>
      <c r="BZ114">
        <f t="shared" si="34"/>
        <v>0</v>
      </c>
      <c r="CA114">
        <f t="shared" si="34"/>
        <v>0</v>
      </c>
      <c r="CB114">
        <f t="shared" si="34"/>
        <v>0</v>
      </c>
      <c r="CC114">
        <f t="shared" si="34"/>
        <v>0</v>
      </c>
      <c r="CD114">
        <f t="shared" si="34"/>
        <v>0</v>
      </c>
      <c r="CE114">
        <f t="shared" si="34"/>
        <v>0</v>
      </c>
      <c r="CF114">
        <f t="shared" si="34"/>
        <v>0</v>
      </c>
      <c r="CG114">
        <f t="shared" si="34"/>
        <v>0</v>
      </c>
      <c r="CH114">
        <f t="shared" si="34"/>
        <v>0</v>
      </c>
      <c r="CI114">
        <f t="shared" si="34"/>
        <v>0</v>
      </c>
      <c r="CJ114">
        <f t="shared" si="34"/>
        <v>0</v>
      </c>
      <c r="CK114">
        <f t="shared" si="34"/>
        <v>0</v>
      </c>
      <c r="CL114">
        <f t="shared" si="34"/>
        <v>0</v>
      </c>
      <c r="CM114">
        <f t="shared" si="34"/>
        <v>0</v>
      </c>
      <c r="CN114">
        <f t="shared" si="34"/>
        <v>0</v>
      </c>
      <c r="CO114">
        <f t="shared" si="34"/>
        <v>0</v>
      </c>
      <c r="CP114">
        <f t="shared" si="34"/>
        <v>0</v>
      </c>
      <c r="CQ114">
        <f t="shared" si="34"/>
        <v>0</v>
      </c>
      <c r="CR114">
        <f t="shared" si="34"/>
        <v>0</v>
      </c>
      <c r="CS114">
        <f t="shared" si="34"/>
        <v>0</v>
      </c>
      <c r="CT114">
        <f t="shared" si="34"/>
        <v>0</v>
      </c>
      <c r="CU114">
        <f t="shared" si="34"/>
        <v>0</v>
      </c>
      <c r="CV114">
        <f t="shared" si="34"/>
        <v>0</v>
      </c>
      <c r="CW114">
        <f t="shared" si="34"/>
        <v>0</v>
      </c>
      <c r="CX114">
        <f t="shared" si="34"/>
        <v>0</v>
      </c>
      <c r="CY114">
        <f t="shared" si="34"/>
        <v>0</v>
      </c>
      <c r="CZ114">
        <f t="shared" si="34"/>
        <v>0</v>
      </c>
      <c r="DA114">
        <f t="shared" si="34"/>
        <v>0</v>
      </c>
      <c r="DB114">
        <f t="shared" si="35"/>
        <v>0</v>
      </c>
      <c r="DC114">
        <f t="shared" si="35"/>
        <v>0</v>
      </c>
      <c r="DD114">
        <f t="shared" si="35"/>
        <v>0</v>
      </c>
      <c r="DE114">
        <f t="shared" si="35"/>
        <v>0</v>
      </c>
      <c r="DF114">
        <f t="shared" si="35"/>
        <v>0</v>
      </c>
      <c r="DG114">
        <f t="shared" si="35"/>
        <v>0</v>
      </c>
      <c r="DH114">
        <f t="shared" si="35"/>
        <v>0</v>
      </c>
      <c r="DI114">
        <f t="shared" si="35"/>
        <v>0</v>
      </c>
    </row>
    <row r="115" spans="2:113">
      <c r="D115" t="s">
        <v>2050</v>
      </c>
      <c r="E115">
        <f t="shared" si="36"/>
        <v>0</v>
      </c>
      <c r="F115">
        <f t="shared" si="36"/>
        <v>0</v>
      </c>
      <c r="G115">
        <f t="shared" si="36"/>
        <v>0</v>
      </c>
      <c r="H115">
        <f t="shared" si="36"/>
        <v>0</v>
      </c>
      <c r="I115">
        <f t="shared" si="36"/>
        <v>0</v>
      </c>
      <c r="J115">
        <f t="shared" si="36"/>
        <v>0</v>
      </c>
      <c r="K115">
        <f t="shared" si="36"/>
        <v>0</v>
      </c>
      <c r="L115">
        <f t="shared" si="36"/>
        <v>0</v>
      </c>
      <c r="M115">
        <f t="shared" si="36"/>
        <v>0</v>
      </c>
      <c r="N115">
        <f t="shared" si="36"/>
        <v>0</v>
      </c>
      <c r="O115">
        <f t="shared" si="36"/>
        <v>0</v>
      </c>
      <c r="P115">
        <f t="shared" si="36"/>
        <v>0</v>
      </c>
      <c r="Q115">
        <f t="shared" si="36"/>
        <v>0</v>
      </c>
      <c r="R115">
        <f t="shared" si="36"/>
        <v>0</v>
      </c>
      <c r="S115">
        <f t="shared" si="36"/>
        <v>0</v>
      </c>
      <c r="T115">
        <f t="shared" si="36"/>
        <v>0</v>
      </c>
      <c r="U115">
        <f t="shared" si="36"/>
        <v>0</v>
      </c>
      <c r="V115">
        <f t="shared" si="36"/>
        <v>0</v>
      </c>
      <c r="W115">
        <f t="shared" si="36"/>
        <v>0</v>
      </c>
      <c r="X115">
        <f t="shared" si="36"/>
        <v>0</v>
      </c>
      <c r="Y115">
        <f t="shared" si="36"/>
        <v>0</v>
      </c>
      <c r="Z115">
        <f t="shared" si="36"/>
        <v>0</v>
      </c>
      <c r="AA115">
        <f t="shared" si="36"/>
        <v>0</v>
      </c>
      <c r="AB115">
        <f t="shared" si="36"/>
        <v>0</v>
      </c>
      <c r="AC115">
        <f t="shared" si="36"/>
        <v>0</v>
      </c>
      <c r="AD115">
        <f t="shared" si="36"/>
        <v>0</v>
      </c>
      <c r="AE115">
        <f t="shared" si="36"/>
        <v>0</v>
      </c>
      <c r="AF115">
        <f t="shared" si="36"/>
        <v>0</v>
      </c>
      <c r="AG115">
        <f t="shared" si="36"/>
        <v>0</v>
      </c>
      <c r="AH115">
        <f t="shared" si="36"/>
        <v>0</v>
      </c>
      <c r="AI115">
        <f t="shared" si="36"/>
        <v>0</v>
      </c>
      <c r="AJ115">
        <f t="shared" si="36"/>
        <v>0</v>
      </c>
      <c r="AK115">
        <f t="shared" si="36"/>
        <v>0</v>
      </c>
      <c r="AL115">
        <f t="shared" si="36"/>
        <v>0</v>
      </c>
      <c r="AM115">
        <f t="shared" si="36"/>
        <v>0</v>
      </c>
      <c r="AN115">
        <f t="shared" si="36"/>
        <v>0</v>
      </c>
      <c r="AO115">
        <f t="shared" si="36"/>
        <v>0</v>
      </c>
      <c r="AP115">
        <f t="shared" si="36"/>
        <v>0</v>
      </c>
      <c r="AQ115">
        <f t="shared" si="36"/>
        <v>0</v>
      </c>
      <c r="AR115">
        <f t="shared" si="36"/>
        <v>0</v>
      </c>
      <c r="AS115">
        <f t="shared" si="36"/>
        <v>0</v>
      </c>
      <c r="AT115">
        <f t="shared" si="36"/>
        <v>0</v>
      </c>
      <c r="AU115">
        <f t="shared" si="36"/>
        <v>0</v>
      </c>
      <c r="AV115">
        <f t="shared" si="36"/>
        <v>0</v>
      </c>
      <c r="AW115">
        <f t="shared" si="36"/>
        <v>0</v>
      </c>
      <c r="AX115">
        <f t="shared" si="36"/>
        <v>0</v>
      </c>
      <c r="AY115">
        <f t="shared" si="36"/>
        <v>0</v>
      </c>
      <c r="AZ115">
        <f t="shared" si="36"/>
        <v>0</v>
      </c>
      <c r="BA115">
        <f t="shared" si="36"/>
        <v>0</v>
      </c>
      <c r="BB115">
        <f t="shared" si="36"/>
        <v>0</v>
      </c>
      <c r="BC115">
        <f t="shared" si="36"/>
        <v>0</v>
      </c>
      <c r="BD115">
        <f t="shared" si="36"/>
        <v>0</v>
      </c>
      <c r="BE115">
        <f t="shared" si="36"/>
        <v>0</v>
      </c>
      <c r="BF115">
        <f t="shared" si="36"/>
        <v>0</v>
      </c>
      <c r="BG115">
        <f t="shared" si="36"/>
        <v>0</v>
      </c>
      <c r="BH115">
        <f t="shared" si="36"/>
        <v>0</v>
      </c>
      <c r="BI115">
        <f t="shared" si="36"/>
        <v>0</v>
      </c>
      <c r="BJ115">
        <f t="shared" si="36"/>
        <v>0</v>
      </c>
      <c r="BK115">
        <f t="shared" si="36"/>
        <v>0</v>
      </c>
      <c r="BL115">
        <f t="shared" si="36"/>
        <v>0</v>
      </c>
      <c r="BM115">
        <f t="shared" si="36"/>
        <v>0</v>
      </c>
      <c r="BN115">
        <f t="shared" si="36"/>
        <v>0</v>
      </c>
      <c r="BO115">
        <f t="shared" si="36"/>
        <v>0</v>
      </c>
      <c r="BP115">
        <f t="shared" ref="BP115:CF118" si="37">IF(AND($B46&lt;&gt;"",$C46&lt;&gt;""),IF(BP46&lt;&gt;"",IF(VALUE(LEFT(BP46))=$B46,1,0)+IF(VALUE(RIGHT(BP46))=$C46,1,0)+IF(AND(VALUE(LEFT(BP46,1))&gt;VALUE(RIGHT(BP46,1)),$B46&gt;$C46),3,0)+IF(AND(VALUE(LEFT(BP46,1))&lt;VALUE(RIGHT(BP46,1)),$B46&lt;$C46),3,0)+IF(AND(VALUE(LEFT(BP46,1))=VALUE(RIGHT(BP46,1)),$B46=$C46),3,0),0),0)</f>
        <v>0</v>
      </c>
      <c r="BQ115">
        <f t="shared" si="37"/>
        <v>0</v>
      </c>
      <c r="BR115">
        <f t="shared" si="37"/>
        <v>0</v>
      </c>
      <c r="BS115">
        <f t="shared" si="37"/>
        <v>0</v>
      </c>
      <c r="BT115">
        <f t="shared" si="37"/>
        <v>0</v>
      </c>
      <c r="BU115">
        <f t="shared" si="37"/>
        <v>0</v>
      </c>
      <c r="BV115">
        <f t="shared" si="37"/>
        <v>0</v>
      </c>
      <c r="BW115">
        <f t="shared" si="37"/>
        <v>0</v>
      </c>
      <c r="BX115">
        <f t="shared" si="37"/>
        <v>0</v>
      </c>
      <c r="BY115">
        <f t="shared" si="37"/>
        <v>0</v>
      </c>
      <c r="BZ115">
        <f t="shared" si="37"/>
        <v>0</v>
      </c>
      <c r="CA115">
        <f t="shared" si="37"/>
        <v>0</v>
      </c>
      <c r="CB115">
        <f t="shared" si="37"/>
        <v>0</v>
      </c>
      <c r="CC115">
        <f t="shared" si="37"/>
        <v>0</v>
      </c>
      <c r="CD115">
        <f t="shared" si="37"/>
        <v>0</v>
      </c>
      <c r="CE115">
        <f t="shared" si="37"/>
        <v>0</v>
      </c>
      <c r="CF115">
        <f t="shared" si="37"/>
        <v>0</v>
      </c>
      <c r="CG115">
        <f t="shared" si="34"/>
        <v>0</v>
      </c>
      <c r="CH115">
        <f t="shared" si="34"/>
        <v>0</v>
      </c>
      <c r="CI115">
        <f t="shared" si="34"/>
        <v>0</v>
      </c>
      <c r="CJ115">
        <f t="shared" si="34"/>
        <v>0</v>
      </c>
      <c r="CK115">
        <f t="shared" si="34"/>
        <v>0</v>
      </c>
      <c r="CL115">
        <f t="shared" si="34"/>
        <v>0</v>
      </c>
      <c r="CM115">
        <f t="shared" si="34"/>
        <v>0</v>
      </c>
      <c r="CN115">
        <f t="shared" si="34"/>
        <v>0</v>
      </c>
      <c r="CO115">
        <f t="shared" si="34"/>
        <v>0</v>
      </c>
      <c r="CP115">
        <f t="shared" si="34"/>
        <v>0</v>
      </c>
      <c r="CQ115">
        <f t="shared" si="34"/>
        <v>0</v>
      </c>
      <c r="CR115">
        <f t="shared" si="34"/>
        <v>0</v>
      </c>
      <c r="CS115">
        <f t="shared" si="34"/>
        <v>0</v>
      </c>
      <c r="CT115">
        <f t="shared" si="34"/>
        <v>0</v>
      </c>
      <c r="CU115">
        <f t="shared" si="34"/>
        <v>0</v>
      </c>
      <c r="CV115">
        <f t="shared" si="34"/>
        <v>0</v>
      </c>
      <c r="CW115">
        <f t="shared" si="34"/>
        <v>0</v>
      </c>
      <c r="CX115">
        <f t="shared" si="34"/>
        <v>0</v>
      </c>
      <c r="CY115">
        <f t="shared" si="34"/>
        <v>0</v>
      </c>
      <c r="CZ115">
        <f t="shared" si="34"/>
        <v>0</v>
      </c>
      <c r="DA115">
        <f t="shared" si="34"/>
        <v>0</v>
      </c>
      <c r="DB115">
        <f t="shared" si="35"/>
        <v>0</v>
      </c>
      <c r="DC115">
        <f t="shared" si="35"/>
        <v>0</v>
      </c>
      <c r="DD115">
        <f t="shared" si="35"/>
        <v>0</v>
      </c>
      <c r="DE115">
        <f t="shared" si="35"/>
        <v>0</v>
      </c>
      <c r="DF115">
        <f t="shared" si="35"/>
        <v>0</v>
      </c>
      <c r="DG115">
        <f t="shared" si="35"/>
        <v>0</v>
      </c>
      <c r="DH115">
        <f t="shared" si="35"/>
        <v>0</v>
      </c>
      <c r="DI115">
        <f t="shared" si="35"/>
        <v>0</v>
      </c>
    </row>
    <row r="116" spans="2:113">
      <c r="D116" t="s">
        <v>2964</v>
      </c>
      <c r="E116">
        <f t="shared" ref="E116:BP119" si="38">IF(AND($B47&lt;&gt;"",$C47&lt;&gt;""),IF(E47&lt;&gt;"",IF(VALUE(LEFT(E47))=$B47,1,0)+IF(VALUE(RIGHT(E47))=$C47,1,0)+IF(AND(VALUE(LEFT(E47,1))&gt;VALUE(RIGHT(E47,1)),$B47&gt;$C47),3,0)+IF(AND(VALUE(LEFT(E47,1))&lt;VALUE(RIGHT(E47,1)),$B47&lt;$C47),3,0)+IF(AND(VALUE(LEFT(E47,1))=VALUE(RIGHT(E47,1)),$B47=$C47),3,0),0),0)</f>
        <v>0</v>
      </c>
      <c r="F116">
        <f t="shared" si="38"/>
        <v>0</v>
      </c>
      <c r="G116">
        <f t="shared" si="38"/>
        <v>0</v>
      </c>
      <c r="H116">
        <f t="shared" si="38"/>
        <v>0</v>
      </c>
      <c r="I116">
        <f t="shared" si="38"/>
        <v>0</v>
      </c>
      <c r="J116">
        <f t="shared" si="38"/>
        <v>0</v>
      </c>
      <c r="K116">
        <f t="shared" si="38"/>
        <v>0</v>
      </c>
      <c r="L116">
        <f t="shared" si="38"/>
        <v>0</v>
      </c>
      <c r="M116">
        <f t="shared" si="38"/>
        <v>0</v>
      </c>
      <c r="N116">
        <f t="shared" si="38"/>
        <v>0</v>
      </c>
      <c r="O116">
        <f t="shared" si="38"/>
        <v>0</v>
      </c>
      <c r="P116">
        <f t="shared" si="38"/>
        <v>0</v>
      </c>
      <c r="Q116">
        <f t="shared" si="38"/>
        <v>0</v>
      </c>
      <c r="R116">
        <f t="shared" si="38"/>
        <v>0</v>
      </c>
      <c r="S116">
        <f t="shared" si="38"/>
        <v>0</v>
      </c>
      <c r="T116">
        <f t="shared" si="38"/>
        <v>0</v>
      </c>
      <c r="U116">
        <f t="shared" si="38"/>
        <v>0</v>
      </c>
      <c r="V116">
        <f t="shared" si="38"/>
        <v>0</v>
      </c>
      <c r="W116">
        <f t="shared" si="38"/>
        <v>0</v>
      </c>
      <c r="X116">
        <f t="shared" si="38"/>
        <v>0</v>
      </c>
      <c r="Y116">
        <f t="shared" si="38"/>
        <v>0</v>
      </c>
      <c r="Z116">
        <f t="shared" si="38"/>
        <v>0</v>
      </c>
      <c r="AA116">
        <f t="shared" si="38"/>
        <v>0</v>
      </c>
      <c r="AB116">
        <f t="shared" si="38"/>
        <v>0</v>
      </c>
      <c r="AC116">
        <f t="shared" si="38"/>
        <v>0</v>
      </c>
      <c r="AD116">
        <f t="shared" si="38"/>
        <v>0</v>
      </c>
      <c r="AE116">
        <f t="shared" si="38"/>
        <v>0</v>
      </c>
      <c r="AF116">
        <f t="shared" si="38"/>
        <v>0</v>
      </c>
      <c r="AG116">
        <f t="shared" si="38"/>
        <v>0</v>
      </c>
      <c r="AH116">
        <f t="shared" si="38"/>
        <v>0</v>
      </c>
      <c r="AI116">
        <f t="shared" si="38"/>
        <v>0</v>
      </c>
      <c r="AJ116">
        <f t="shared" si="38"/>
        <v>0</v>
      </c>
      <c r="AK116">
        <f t="shared" si="38"/>
        <v>0</v>
      </c>
      <c r="AL116">
        <f t="shared" si="38"/>
        <v>0</v>
      </c>
      <c r="AM116">
        <f t="shared" si="38"/>
        <v>0</v>
      </c>
      <c r="AN116">
        <f t="shared" si="38"/>
        <v>0</v>
      </c>
      <c r="AO116">
        <f t="shared" si="38"/>
        <v>0</v>
      </c>
      <c r="AP116">
        <f t="shared" si="38"/>
        <v>0</v>
      </c>
      <c r="AQ116">
        <f t="shared" si="38"/>
        <v>0</v>
      </c>
      <c r="AR116">
        <f t="shared" si="38"/>
        <v>0</v>
      </c>
      <c r="AS116">
        <f t="shared" si="38"/>
        <v>0</v>
      </c>
      <c r="AT116">
        <f t="shared" si="38"/>
        <v>0</v>
      </c>
      <c r="AU116">
        <f t="shared" si="38"/>
        <v>0</v>
      </c>
      <c r="AV116">
        <f t="shared" si="38"/>
        <v>0</v>
      </c>
      <c r="AW116">
        <f t="shared" si="38"/>
        <v>0</v>
      </c>
      <c r="AX116">
        <f t="shared" si="38"/>
        <v>0</v>
      </c>
      <c r="AY116">
        <f t="shared" si="38"/>
        <v>0</v>
      </c>
      <c r="AZ116">
        <f t="shared" si="38"/>
        <v>0</v>
      </c>
      <c r="BA116">
        <f t="shared" si="38"/>
        <v>0</v>
      </c>
      <c r="BB116">
        <f t="shared" si="38"/>
        <v>0</v>
      </c>
      <c r="BC116">
        <f t="shared" si="38"/>
        <v>0</v>
      </c>
      <c r="BD116">
        <f t="shared" si="38"/>
        <v>0</v>
      </c>
      <c r="BE116">
        <f t="shared" si="38"/>
        <v>0</v>
      </c>
      <c r="BF116">
        <f t="shared" si="38"/>
        <v>0</v>
      </c>
      <c r="BG116">
        <f t="shared" si="38"/>
        <v>0</v>
      </c>
      <c r="BH116">
        <f t="shared" si="38"/>
        <v>0</v>
      </c>
      <c r="BI116">
        <f t="shared" si="38"/>
        <v>0</v>
      </c>
      <c r="BJ116">
        <f t="shared" si="38"/>
        <v>0</v>
      </c>
      <c r="BK116">
        <f t="shared" si="38"/>
        <v>0</v>
      </c>
      <c r="BL116">
        <f t="shared" si="38"/>
        <v>0</v>
      </c>
      <c r="BM116">
        <f t="shared" si="38"/>
        <v>0</v>
      </c>
      <c r="BN116">
        <f t="shared" si="38"/>
        <v>0</v>
      </c>
      <c r="BO116">
        <f t="shared" si="38"/>
        <v>0</v>
      </c>
      <c r="BP116">
        <f t="shared" si="38"/>
        <v>0</v>
      </c>
      <c r="BQ116">
        <f t="shared" si="37"/>
        <v>0</v>
      </c>
      <c r="BR116">
        <f t="shared" si="37"/>
        <v>0</v>
      </c>
      <c r="BS116">
        <f t="shared" si="37"/>
        <v>0</v>
      </c>
      <c r="BT116">
        <f t="shared" si="37"/>
        <v>0</v>
      </c>
      <c r="BU116">
        <f t="shared" si="37"/>
        <v>0</v>
      </c>
      <c r="BV116">
        <f t="shared" si="37"/>
        <v>0</v>
      </c>
      <c r="BW116">
        <f t="shared" si="37"/>
        <v>0</v>
      </c>
      <c r="BX116">
        <f t="shared" si="37"/>
        <v>0</v>
      </c>
      <c r="BY116">
        <f t="shared" si="37"/>
        <v>0</v>
      </c>
      <c r="BZ116">
        <f t="shared" si="37"/>
        <v>0</v>
      </c>
      <c r="CA116">
        <f t="shared" si="37"/>
        <v>0</v>
      </c>
      <c r="CB116">
        <f t="shared" si="37"/>
        <v>0</v>
      </c>
      <c r="CC116">
        <f t="shared" si="37"/>
        <v>0</v>
      </c>
      <c r="CD116">
        <f t="shared" si="37"/>
        <v>0</v>
      </c>
      <c r="CE116">
        <f t="shared" si="37"/>
        <v>0</v>
      </c>
      <c r="CF116">
        <f t="shared" si="37"/>
        <v>0</v>
      </c>
      <c r="CG116">
        <f t="shared" si="34"/>
        <v>0</v>
      </c>
      <c r="CH116">
        <f t="shared" si="34"/>
        <v>0</v>
      </c>
      <c r="CI116">
        <f t="shared" si="34"/>
        <v>0</v>
      </c>
      <c r="CJ116">
        <f t="shared" si="34"/>
        <v>0</v>
      </c>
      <c r="CK116">
        <f t="shared" si="34"/>
        <v>0</v>
      </c>
      <c r="CL116">
        <f t="shared" si="34"/>
        <v>0</v>
      </c>
      <c r="CM116">
        <f t="shared" si="34"/>
        <v>0</v>
      </c>
      <c r="CN116">
        <f t="shared" si="34"/>
        <v>0</v>
      </c>
      <c r="CO116">
        <f t="shared" si="34"/>
        <v>0</v>
      </c>
      <c r="CP116">
        <f t="shared" si="34"/>
        <v>0</v>
      </c>
      <c r="CQ116">
        <f t="shared" si="34"/>
        <v>0</v>
      </c>
      <c r="CR116">
        <f t="shared" si="34"/>
        <v>0</v>
      </c>
      <c r="CS116">
        <f t="shared" si="34"/>
        <v>0</v>
      </c>
      <c r="CT116">
        <f t="shared" si="34"/>
        <v>0</v>
      </c>
      <c r="CU116">
        <f t="shared" si="34"/>
        <v>0</v>
      </c>
      <c r="CV116">
        <f t="shared" si="34"/>
        <v>0</v>
      </c>
      <c r="CW116">
        <f t="shared" si="34"/>
        <v>0</v>
      </c>
      <c r="CX116">
        <f t="shared" si="34"/>
        <v>0</v>
      </c>
      <c r="CY116">
        <f t="shared" si="34"/>
        <v>0</v>
      </c>
      <c r="CZ116">
        <f t="shared" si="34"/>
        <v>0</v>
      </c>
      <c r="DA116">
        <f t="shared" si="34"/>
        <v>0</v>
      </c>
      <c r="DB116">
        <f t="shared" si="35"/>
        <v>0</v>
      </c>
      <c r="DC116">
        <f t="shared" si="35"/>
        <v>0</v>
      </c>
      <c r="DD116">
        <f t="shared" si="35"/>
        <v>0</v>
      </c>
      <c r="DE116">
        <f t="shared" si="35"/>
        <v>0</v>
      </c>
      <c r="DF116">
        <f t="shared" si="35"/>
        <v>0</v>
      </c>
      <c r="DG116">
        <f t="shared" si="35"/>
        <v>0</v>
      </c>
      <c r="DH116">
        <f t="shared" si="35"/>
        <v>0</v>
      </c>
      <c r="DI116">
        <f t="shared" si="35"/>
        <v>0</v>
      </c>
    </row>
    <row r="117" spans="2:113">
      <c r="D117" t="s">
        <v>2965</v>
      </c>
      <c r="E117">
        <f t="shared" si="38"/>
        <v>0</v>
      </c>
      <c r="F117">
        <f t="shared" si="38"/>
        <v>0</v>
      </c>
      <c r="G117">
        <f t="shared" si="38"/>
        <v>0</v>
      </c>
      <c r="H117">
        <f t="shared" si="38"/>
        <v>0</v>
      </c>
      <c r="I117">
        <f t="shared" si="38"/>
        <v>0</v>
      </c>
      <c r="J117">
        <f t="shared" si="38"/>
        <v>0</v>
      </c>
      <c r="K117">
        <f t="shared" si="38"/>
        <v>0</v>
      </c>
      <c r="L117">
        <f t="shared" si="38"/>
        <v>0</v>
      </c>
      <c r="M117">
        <f t="shared" si="38"/>
        <v>0</v>
      </c>
      <c r="N117">
        <f t="shared" si="38"/>
        <v>0</v>
      </c>
      <c r="O117">
        <f t="shared" si="38"/>
        <v>0</v>
      </c>
      <c r="P117">
        <f t="shared" si="38"/>
        <v>0</v>
      </c>
      <c r="Q117">
        <f t="shared" si="38"/>
        <v>0</v>
      </c>
      <c r="R117">
        <f t="shared" si="38"/>
        <v>0</v>
      </c>
      <c r="S117">
        <f t="shared" si="38"/>
        <v>0</v>
      </c>
      <c r="T117">
        <f t="shared" si="38"/>
        <v>0</v>
      </c>
      <c r="U117">
        <f t="shared" si="38"/>
        <v>0</v>
      </c>
      <c r="V117">
        <f t="shared" si="38"/>
        <v>0</v>
      </c>
      <c r="W117">
        <f t="shared" si="38"/>
        <v>0</v>
      </c>
      <c r="X117">
        <f t="shared" si="38"/>
        <v>0</v>
      </c>
      <c r="Y117">
        <f t="shared" si="38"/>
        <v>0</v>
      </c>
      <c r="Z117">
        <f t="shared" si="38"/>
        <v>0</v>
      </c>
      <c r="AA117">
        <f t="shared" si="38"/>
        <v>0</v>
      </c>
      <c r="AB117">
        <f t="shared" si="38"/>
        <v>0</v>
      </c>
      <c r="AC117">
        <f t="shared" si="38"/>
        <v>0</v>
      </c>
      <c r="AD117">
        <f t="shared" si="38"/>
        <v>0</v>
      </c>
      <c r="AE117">
        <f t="shared" si="38"/>
        <v>0</v>
      </c>
      <c r="AF117">
        <f t="shared" si="38"/>
        <v>0</v>
      </c>
      <c r="AG117">
        <f t="shared" si="38"/>
        <v>0</v>
      </c>
      <c r="AH117">
        <f t="shared" si="38"/>
        <v>0</v>
      </c>
      <c r="AI117">
        <f t="shared" si="38"/>
        <v>0</v>
      </c>
      <c r="AJ117">
        <f t="shared" si="38"/>
        <v>0</v>
      </c>
      <c r="AK117">
        <f t="shared" si="38"/>
        <v>0</v>
      </c>
      <c r="AL117">
        <f t="shared" si="38"/>
        <v>0</v>
      </c>
      <c r="AM117">
        <f t="shared" si="38"/>
        <v>0</v>
      </c>
      <c r="AN117">
        <f t="shared" si="38"/>
        <v>0</v>
      </c>
      <c r="AO117">
        <f t="shared" si="38"/>
        <v>0</v>
      </c>
      <c r="AP117">
        <f t="shared" si="38"/>
        <v>0</v>
      </c>
      <c r="AQ117">
        <f t="shared" si="38"/>
        <v>0</v>
      </c>
      <c r="AR117">
        <f t="shared" si="38"/>
        <v>0</v>
      </c>
      <c r="AS117">
        <f t="shared" si="38"/>
        <v>0</v>
      </c>
      <c r="AT117">
        <f t="shared" si="38"/>
        <v>0</v>
      </c>
      <c r="AU117">
        <f t="shared" si="38"/>
        <v>0</v>
      </c>
      <c r="AV117">
        <f t="shared" si="38"/>
        <v>0</v>
      </c>
      <c r="AW117">
        <f t="shared" si="38"/>
        <v>0</v>
      </c>
      <c r="AX117">
        <f t="shared" si="38"/>
        <v>0</v>
      </c>
      <c r="AY117">
        <f t="shared" si="38"/>
        <v>0</v>
      </c>
      <c r="AZ117">
        <f t="shared" si="38"/>
        <v>0</v>
      </c>
      <c r="BA117">
        <f t="shared" si="38"/>
        <v>0</v>
      </c>
      <c r="BB117">
        <f t="shared" si="38"/>
        <v>0</v>
      </c>
      <c r="BC117">
        <f t="shared" si="38"/>
        <v>0</v>
      </c>
      <c r="BD117">
        <f t="shared" si="38"/>
        <v>0</v>
      </c>
      <c r="BE117">
        <f t="shared" si="38"/>
        <v>0</v>
      </c>
      <c r="BF117">
        <f t="shared" si="38"/>
        <v>0</v>
      </c>
      <c r="BG117">
        <f t="shared" si="38"/>
        <v>0</v>
      </c>
      <c r="BH117">
        <f t="shared" si="38"/>
        <v>0</v>
      </c>
      <c r="BI117">
        <f t="shared" si="38"/>
        <v>0</v>
      </c>
      <c r="BJ117">
        <f t="shared" si="38"/>
        <v>0</v>
      </c>
      <c r="BK117">
        <f t="shared" si="38"/>
        <v>0</v>
      </c>
      <c r="BL117">
        <f t="shared" si="38"/>
        <v>0</v>
      </c>
      <c r="BM117">
        <f t="shared" si="38"/>
        <v>0</v>
      </c>
      <c r="BN117">
        <f t="shared" si="38"/>
        <v>0</v>
      </c>
      <c r="BO117">
        <f t="shared" si="38"/>
        <v>0</v>
      </c>
      <c r="BP117">
        <f t="shared" si="38"/>
        <v>0</v>
      </c>
      <c r="BQ117">
        <f t="shared" si="37"/>
        <v>0</v>
      </c>
      <c r="BR117">
        <f t="shared" si="37"/>
        <v>0</v>
      </c>
      <c r="BS117">
        <f t="shared" si="37"/>
        <v>0</v>
      </c>
      <c r="BT117">
        <f t="shared" si="37"/>
        <v>0</v>
      </c>
      <c r="BU117">
        <f t="shared" si="37"/>
        <v>0</v>
      </c>
      <c r="BV117">
        <f t="shared" si="37"/>
        <v>0</v>
      </c>
      <c r="BW117">
        <f t="shared" si="37"/>
        <v>0</v>
      </c>
      <c r="BX117">
        <f t="shared" si="37"/>
        <v>0</v>
      </c>
      <c r="BY117">
        <f t="shared" si="37"/>
        <v>0</v>
      </c>
      <c r="BZ117">
        <f t="shared" si="37"/>
        <v>0</v>
      </c>
      <c r="CA117">
        <f t="shared" si="37"/>
        <v>0</v>
      </c>
      <c r="CB117">
        <f t="shared" si="37"/>
        <v>0</v>
      </c>
      <c r="CC117">
        <f t="shared" si="37"/>
        <v>0</v>
      </c>
      <c r="CD117">
        <f t="shared" si="37"/>
        <v>0</v>
      </c>
      <c r="CE117">
        <f t="shared" si="37"/>
        <v>0</v>
      </c>
      <c r="CF117">
        <f t="shared" si="37"/>
        <v>0</v>
      </c>
      <c r="CG117">
        <f t="shared" si="34"/>
        <v>0</v>
      </c>
      <c r="CH117">
        <f t="shared" si="34"/>
        <v>0</v>
      </c>
      <c r="CI117">
        <f t="shared" si="34"/>
        <v>0</v>
      </c>
      <c r="CJ117">
        <f t="shared" si="34"/>
        <v>0</v>
      </c>
      <c r="CK117">
        <f t="shared" si="34"/>
        <v>0</v>
      </c>
      <c r="CL117">
        <f t="shared" si="34"/>
        <v>0</v>
      </c>
      <c r="CM117">
        <f t="shared" si="34"/>
        <v>0</v>
      </c>
      <c r="CN117">
        <f t="shared" si="34"/>
        <v>0</v>
      </c>
      <c r="CO117">
        <f t="shared" si="34"/>
        <v>0</v>
      </c>
      <c r="CP117">
        <f t="shared" si="34"/>
        <v>0</v>
      </c>
      <c r="CQ117">
        <f t="shared" si="34"/>
        <v>0</v>
      </c>
      <c r="CR117">
        <f t="shared" si="34"/>
        <v>0</v>
      </c>
      <c r="CS117">
        <f t="shared" si="34"/>
        <v>0</v>
      </c>
      <c r="CT117">
        <f t="shared" si="34"/>
        <v>0</v>
      </c>
      <c r="CU117">
        <f t="shared" si="34"/>
        <v>0</v>
      </c>
      <c r="CV117">
        <f t="shared" si="34"/>
        <v>0</v>
      </c>
      <c r="CW117">
        <f t="shared" si="34"/>
        <v>0</v>
      </c>
      <c r="CX117">
        <f t="shared" si="34"/>
        <v>0</v>
      </c>
      <c r="CY117">
        <f t="shared" si="34"/>
        <v>0</v>
      </c>
      <c r="CZ117">
        <f t="shared" si="34"/>
        <v>0</v>
      </c>
      <c r="DA117">
        <f t="shared" si="34"/>
        <v>0</v>
      </c>
      <c r="DB117">
        <f t="shared" si="35"/>
        <v>0</v>
      </c>
      <c r="DC117">
        <f t="shared" si="35"/>
        <v>0</v>
      </c>
      <c r="DD117">
        <f t="shared" si="35"/>
        <v>0</v>
      </c>
      <c r="DE117">
        <f t="shared" si="35"/>
        <v>0</v>
      </c>
      <c r="DF117">
        <f t="shared" si="35"/>
        <v>0</v>
      </c>
      <c r="DG117">
        <f t="shared" si="35"/>
        <v>0</v>
      </c>
      <c r="DH117">
        <f t="shared" si="35"/>
        <v>0</v>
      </c>
      <c r="DI117">
        <f t="shared" si="35"/>
        <v>0</v>
      </c>
    </row>
    <row r="118" spans="2:113">
      <c r="D118" t="s">
        <v>2966</v>
      </c>
      <c r="E118">
        <f t="shared" si="38"/>
        <v>0</v>
      </c>
      <c r="F118">
        <f t="shared" si="38"/>
        <v>0</v>
      </c>
      <c r="G118">
        <f t="shared" si="38"/>
        <v>0</v>
      </c>
      <c r="H118">
        <f t="shared" si="38"/>
        <v>0</v>
      </c>
      <c r="I118">
        <f t="shared" si="38"/>
        <v>0</v>
      </c>
      <c r="J118">
        <f t="shared" si="38"/>
        <v>0</v>
      </c>
      <c r="K118">
        <f t="shared" si="38"/>
        <v>0</v>
      </c>
      <c r="L118">
        <f t="shared" si="38"/>
        <v>0</v>
      </c>
      <c r="M118">
        <f t="shared" si="38"/>
        <v>0</v>
      </c>
      <c r="N118">
        <f t="shared" si="38"/>
        <v>0</v>
      </c>
      <c r="O118">
        <f t="shared" si="38"/>
        <v>0</v>
      </c>
      <c r="P118">
        <f t="shared" si="38"/>
        <v>0</v>
      </c>
      <c r="Q118">
        <f t="shared" si="38"/>
        <v>0</v>
      </c>
      <c r="R118">
        <f t="shared" si="38"/>
        <v>0</v>
      </c>
      <c r="S118">
        <f t="shared" si="38"/>
        <v>0</v>
      </c>
      <c r="T118">
        <f t="shared" si="38"/>
        <v>0</v>
      </c>
      <c r="U118">
        <f t="shared" si="38"/>
        <v>0</v>
      </c>
      <c r="V118">
        <f t="shared" si="38"/>
        <v>0</v>
      </c>
      <c r="W118">
        <f t="shared" si="38"/>
        <v>0</v>
      </c>
      <c r="X118">
        <f t="shared" si="38"/>
        <v>0</v>
      </c>
      <c r="Y118">
        <f t="shared" si="38"/>
        <v>0</v>
      </c>
      <c r="Z118">
        <f t="shared" si="38"/>
        <v>0</v>
      </c>
      <c r="AA118">
        <f t="shared" si="38"/>
        <v>0</v>
      </c>
      <c r="AB118">
        <f t="shared" si="38"/>
        <v>0</v>
      </c>
      <c r="AC118">
        <f t="shared" si="38"/>
        <v>0</v>
      </c>
      <c r="AD118">
        <f t="shared" si="38"/>
        <v>0</v>
      </c>
      <c r="AE118">
        <f t="shared" si="38"/>
        <v>0</v>
      </c>
      <c r="AF118">
        <f t="shared" si="38"/>
        <v>0</v>
      </c>
      <c r="AG118">
        <f t="shared" si="38"/>
        <v>0</v>
      </c>
      <c r="AH118">
        <f t="shared" si="38"/>
        <v>0</v>
      </c>
      <c r="AI118">
        <f t="shared" si="38"/>
        <v>0</v>
      </c>
      <c r="AJ118">
        <f t="shared" si="38"/>
        <v>0</v>
      </c>
      <c r="AK118">
        <f t="shared" si="38"/>
        <v>0</v>
      </c>
      <c r="AL118">
        <f t="shared" si="38"/>
        <v>0</v>
      </c>
      <c r="AM118">
        <f t="shared" si="38"/>
        <v>0</v>
      </c>
      <c r="AN118">
        <f t="shared" si="38"/>
        <v>0</v>
      </c>
      <c r="AO118">
        <f t="shared" si="38"/>
        <v>0</v>
      </c>
      <c r="AP118">
        <f t="shared" si="38"/>
        <v>0</v>
      </c>
      <c r="AQ118">
        <f t="shared" si="38"/>
        <v>0</v>
      </c>
      <c r="AR118">
        <f t="shared" si="38"/>
        <v>0</v>
      </c>
      <c r="AS118">
        <f t="shared" si="38"/>
        <v>0</v>
      </c>
      <c r="AT118">
        <f t="shared" si="38"/>
        <v>0</v>
      </c>
      <c r="AU118">
        <f t="shared" si="38"/>
        <v>0</v>
      </c>
      <c r="AV118">
        <f t="shared" si="38"/>
        <v>0</v>
      </c>
      <c r="AW118">
        <f t="shared" si="38"/>
        <v>0</v>
      </c>
      <c r="AX118">
        <f t="shared" si="38"/>
        <v>0</v>
      </c>
      <c r="AY118">
        <f t="shared" si="38"/>
        <v>0</v>
      </c>
      <c r="AZ118">
        <f t="shared" si="38"/>
        <v>0</v>
      </c>
      <c r="BA118">
        <f t="shared" si="38"/>
        <v>0</v>
      </c>
      <c r="BB118">
        <f t="shared" si="38"/>
        <v>0</v>
      </c>
      <c r="BC118">
        <f t="shared" si="38"/>
        <v>0</v>
      </c>
      <c r="BD118">
        <f t="shared" si="38"/>
        <v>0</v>
      </c>
      <c r="BE118">
        <f t="shared" si="38"/>
        <v>0</v>
      </c>
      <c r="BF118">
        <f t="shared" si="38"/>
        <v>0</v>
      </c>
      <c r="BG118">
        <f t="shared" si="38"/>
        <v>0</v>
      </c>
      <c r="BH118">
        <f t="shared" si="38"/>
        <v>0</v>
      </c>
      <c r="BI118">
        <f t="shared" si="38"/>
        <v>0</v>
      </c>
      <c r="BJ118">
        <f t="shared" si="38"/>
        <v>0</v>
      </c>
      <c r="BK118">
        <f t="shared" si="38"/>
        <v>0</v>
      </c>
      <c r="BL118">
        <f t="shared" si="38"/>
        <v>0</v>
      </c>
      <c r="BM118">
        <f t="shared" si="38"/>
        <v>0</v>
      </c>
      <c r="BN118">
        <f t="shared" si="38"/>
        <v>0</v>
      </c>
      <c r="BO118">
        <f t="shared" si="38"/>
        <v>0</v>
      </c>
      <c r="BP118">
        <f t="shared" si="38"/>
        <v>0</v>
      </c>
      <c r="BQ118">
        <f t="shared" si="37"/>
        <v>0</v>
      </c>
      <c r="BR118">
        <f t="shared" si="37"/>
        <v>0</v>
      </c>
      <c r="BS118">
        <f t="shared" si="37"/>
        <v>0</v>
      </c>
      <c r="BT118">
        <f t="shared" si="37"/>
        <v>0</v>
      </c>
      <c r="BU118">
        <f t="shared" si="37"/>
        <v>0</v>
      </c>
      <c r="BV118">
        <f t="shared" si="37"/>
        <v>0</v>
      </c>
      <c r="BW118">
        <f t="shared" si="37"/>
        <v>0</v>
      </c>
      <c r="BX118">
        <f t="shared" si="37"/>
        <v>0</v>
      </c>
      <c r="BY118">
        <f t="shared" si="37"/>
        <v>0</v>
      </c>
      <c r="BZ118">
        <f t="shared" si="37"/>
        <v>0</v>
      </c>
      <c r="CA118">
        <f t="shared" si="37"/>
        <v>0</v>
      </c>
      <c r="CB118">
        <f t="shared" si="37"/>
        <v>0</v>
      </c>
      <c r="CC118">
        <f t="shared" si="37"/>
        <v>0</v>
      </c>
      <c r="CD118">
        <f t="shared" si="37"/>
        <v>0</v>
      </c>
      <c r="CE118">
        <f t="shared" si="37"/>
        <v>0</v>
      </c>
      <c r="CF118">
        <f t="shared" si="37"/>
        <v>0</v>
      </c>
      <c r="CG118">
        <f t="shared" si="34"/>
        <v>0</v>
      </c>
      <c r="CH118">
        <f t="shared" si="34"/>
        <v>0</v>
      </c>
      <c r="CI118">
        <f t="shared" si="34"/>
        <v>0</v>
      </c>
      <c r="CJ118">
        <f t="shared" si="34"/>
        <v>0</v>
      </c>
      <c r="CK118">
        <f t="shared" si="34"/>
        <v>0</v>
      </c>
      <c r="CL118">
        <f t="shared" si="34"/>
        <v>0</v>
      </c>
      <c r="CM118">
        <f t="shared" si="34"/>
        <v>0</v>
      </c>
      <c r="CN118">
        <f t="shared" si="34"/>
        <v>0</v>
      </c>
      <c r="CO118">
        <f t="shared" si="34"/>
        <v>0</v>
      </c>
      <c r="CP118">
        <f t="shared" si="34"/>
        <v>0</v>
      </c>
      <c r="CQ118">
        <f t="shared" si="34"/>
        <v>0</v>
      </c>
      <c r="CR118">
        <f t="shared" si="34"/>
        <v>0</v>
      </c>
      <c r="CS118">
        <f t="shared" si="34"/>
        <v>0</v>
      </c>
      <c r="CT118">
        <f t="shared" si="34"/>
        <v>0</v>
      </c>
      <c r="CU118">
        <f t="shared" si="34"/>
        <v>0</v>
      </c>
      <c r="CV118">
        <f t="shared" si="34"/>
        <v>0</v>
      </c>
      <c r="CW118">
        <f t="shared" si="34"/>
        <v>0</v>
      </c>
      <c r="CX118">
        <f t="shared" si="34"/>
        <v>0</v>
      </c>
      <c r="CY118">
        <f t="shared" si="34"/>
        <v>0</v>
      </c>
      <c r="CZ118">
        <f t="shared" si="34"/>
        <v>0</v>
      </c>
      <c r="DA118">
        <f t="shared" si="34"/>
        <v>0</v>
      </c>
      <c r="DB118">
        <f t="shared" si="35"/>
        <v>0</v>
      </c>
      <c r="DC118">
        <f t="shared" si="35"/>
        <v>0</v>
      </c>
      <c r="DD118">
        <f t="shared" si="35"/>
        <v>0</v>
      </c>
      <c r="DE118">
        <f t="shared" si="35"/>
        <v>0</v>
      </c>
      <c r="DF118">
        <f t="shared" si="35"/>
        <v>0</v>
      </c>
      <c r="DG118">
        <f t="shared" si="35"/>
        <v>0</v>
      </c>
      <c r="DH118">
        <f t="shared" si="35"/>
        <v>0</v>
      </c>
      <c r="DI118">
        <f t="shared" si="35"/>
        <v>0</v>
      </c>
    </row>
    <row r="119" spans="2:113">
      <c r="D119" t="s">
        <v>2967</v>
      </c>
      <c r="E119">
        <f t="shared" si="38"/>
        <v>0</v>
      </c>
      <c r="F119">
        <f t="shared" si="38"/>
        <v>0</v>
      </c>
      <c r="G119">
        <f t="shared" si="38"/>
        <v>0</v>
      </c>
      <c r="H119">
        <f t="shared" si="38"/>
        <v>0</v>
      </c>
      <c r="I119">
        <f t="shared" si="38"/>
        <v>0</v>
      </c>
      <c r="J119">
        <f t="shared" si="38"/>
        <v>0</v>
      </c>
      <c r="K119">
        <f t="shared" si="38"/>
        <v>0</v>
      </c>
      <c r="L119">
        <f t="shared" si="38"/>
        <v>0</v>
      </c>
      <c r="M119">
        <f t="shared" si="38"/>
        <v>0</v>
      </c>
      <c r="N119">
        <f t="shared" si="38"/>
        <v>0</v>
      </c>
      <c r="O119">
        <f t="shared" si="38"/>
        <v>0</v>
      </c>
      <c r="P119">
        <f t="shared" si="38"/>
        <v>0</v>
      </c>
      <c r="Q119">
        <f t="shared" si="38"/>
        <v>0</v>
      </c>
      <c r="R119">
        <f t="shared" si="38"/>
        <v>0</v>
      </c>
      <c r="S119">
        <f t="shared" si="38"/>
        <v>0</v>
      </c>
      <c r="T119">
        <f t="shared" si="38"/>
        <v>0</v>
      </c>
      <c r="U119">
        <f t="shared" si="38"/>
        <v>0</v>
      </c>
      <c r="V119">
        <f t="shared" si="38"/>
        <v>0</v>
      </c>
      <c r="W119">
        <f t="shared" si="38"/>
        <v>0</v>
      </c>
      <c r="X119">
        <f t="shared" si="38"/>
        <v>0</v>
      </c>
      <c r="Y119">
        <f t="shared" si="38"/>
        <v>0</v>
      </c>
      <c r="Z119">
        <f t="shared" si="38"/>
        <v>0</v>
      </c>
      <c r="AA119">
        <f t="shared" si="38"/>
        <v>0</v>
      </c>
      <c r="AB119">
        <f t="shared" si="38"/>
        <v>0</v>
      </c>
      <c r="AC119">
        <f t="shared" si="38"/>
        <v>0</v>
      </c>
      <c r="AD119">
        <f t="shared" si="38"/>
        <v>0</v>
      </c>
      <c r="AE119">
        <f t="shared" si="38"/>
        <v>0</v>
      </c>
      <c r="AF119">
        <f t="shared" si="38"/>
        <v>0</v>
      </c>
      <c r="AG119">
        <f t="shared" si="38"/>
        <v>0</v>
      </c>
      <c r="AH119">
        <f t="shared" si="38"/>
        <v>0</v>
      </c>
      <c r="AI119">
        <f t="shared" si="38"/>
        <v>0</v>
      </c>
      <c r="AJ119">
        <f t="shared" si="38"/>
        <v>0</v>
      </c>
      <c r="AK119">
        <f t="shared" si="38"/>
        <v>0</v>
      </c>
      <c r="AL119">
        <f t="shared" si="38"/>
        <v>0</v>
      </c>
      <c r="AM119">
        <f t="shared" si="38"/>
        <v>0</v>
      </c>
      <c r="AN119">
        <f t="shared" si="38"/>
        <v>0</v>
      </c>
      <c r="AO119">
        <f t="shared" si="38"/>
        <v>0</v>
      </c>
      <c r="AP119">
        <f t="shared" si="38"/>
        <v>0</v>
      </c>
      <c r="AQ119">
        <f t="shared" si="38"/>
        <v>0</v>
      </c>
      <c r="AR119">
        <f t="shared" si="38"/>
        <v>0</v>
      </c>
      <c r="AS119">
        <f t="shared" si="38"/>
        <v>0</v>
      </c>
      <c r="AT119">
        <f t="shared" si="38"/>
        <v>0</v>
      </c>
      <c r="AU119">
        <f t="shared" si="38"/>
        <v>0</v>
      </c>
      <c r="AV119">
        <f t="shared" si="38"/>
        <v>0</v>
      </c>
      <c r="AW119">
        <f t="shared" si="38"/>
        <v>0</v>
      </c>
      <c r="AX119">
        <f t="shared" si="38"/>
        <v>0</v>
      </c>
      <c r="AY119">
        <f t="shared" si="38"/>
        <v>0</v>
      </c>
      <c r="AZ119">
        <f t="shared" si="38"/>
        <v>0</v>
      </c>
      <c r="BA119">
        <f t="shared" si="38"/>
        <v>0</v>
      </c>
      <c r="BB119">
        <f t="shared" si="38"/>
        <v>0</v>
      </c>
      <c r="BC119">
        <f t="shared" si="38"/>
        <v>0</v>
      </c>
      <c r="BD119">
        <f t="shared" si="38"/>
        <v>0</v>
      </c>
      <c r="BE119">
        <f t="shared" si="38"/>
        <v>0</v>
      </c>
      <c r="BF119">
        <f t="shared" si="38"/>
        <v>0</v>
      </c>
      <c r="BG119">
        <f t="shared" si="38"/>
        <v>0</v>
      </c>
      <c r="BH119">
        <f t="shared" si="38"/>
        <v>0</v>
      </c>
      <c r="BI119">
        <f t="shared" si="38"/>
        <v>0</v>
      </c>
      <c r="BJ119">
        <f t="shared" si="38"/>
        <v>0</v>
      </c>
      <c r="BK119">
        <f t="shared" si="38"/>
        <v>0</v>
      </c>
      <c r="BL119">
        <f t="shared" si="38"/>
        <v>0</v>
      </c>
      <c r="BM119">
        <f t="shared" si="38"/>
        <v>0</v>
      </c>
      <c r="BN119">
        <f t="shared" si="38"/>
        <v>0</v>
      </c>
      <c r="BO119">
        <f t="shared" si="38"/>
        <v>0</v>
      </c>
      <c r="BP119">
        <f t="shared" ref="BP119:CF119" si="39">IF(AND($B50&lt;&gt;"",$C50&lt;&gt;""),IF(BP50&lt;&gt;"",IF(VALUE(LEFT(BP50))=$B50,1,0)+IF(VALUE(RIGHT(BP50))=$C50,1,0)+IF(AND(VALUE(LEFT(BP50,1))&gt;VALUE(RIGHT(BP50,1)),$B50&gt;$C50),3,0)+IF(AND(VALUE(LEFT(BP50,1))&lt;VALUE(RIGHT(BP50,1)),$B50&lt;$C50),3,0)+IF(AND(VALUE(LEFT(BP50,1))=VALUE(RIGHT(BP50,1)),$B50=$C50),3,0),0),0)</f>
        <v>0</v>
      </c>
      <c r="BQ119">
        <f t="shared" si="39"/>
        <v>0</v>
      </c>
      <c r="BR119">
        <f t="shared" si="39"/>
        <v>0</v>
      </c>
      <c r="BS119">
        <f t="shared" si="39"/>
        <v>0</v>
      </c>
      <c r="BT119">
        <f t="shared" si="39"/>
        <v>0</v>
      </c>
      <c r="BU119">
        <f t="shared" si="39"/>
        <v>0</v>
      </c>
      <c r="BV119">
        <f t="shared" si="39"/>
        <v>0</v>
      </c>
      <c r="BW119">
        <f t="shared" si="39"/>
        <v>0</v>
      </c>
      <c r="BX119">
        <f t="shared" si="39"/>
        <v>0</v>
      </c>
      <c r="BY119">
        <f t="shared" si="39"/>
        <v>0</v>
      </c>
      <c r="BZ119">
        <f t="shared" si="39"/>
        <v>0</v>
      </c>
      <c r="CA119">
        <f t="shared" si="39"/>
        <v>0</v>
      </c>
      <c r="CB119">
        <f t="shared" si="39"/>
        <v>0</v>
      </c>
      <c r="CC119">
        <f t="shared" si="39"/>
        <v>0</v>
      </c>
      <c r="CD119">
        <f t="shared" si="39"/>
        <v>0</v>
      </c>
      <c r="CE119">
        <f t="shared" si="39"/>
        <v>0</v>
      </c>
      <c r="CF119">
        <f t="shared" si="39"/>
        <v>0</v>
      </c>
      <c r="CG119">
        <f t="shared" si="34"/>
        <v>0</v>
      </c>
      <c r="CH119">
        <f t="shared" si="34"/>
        <v>0</v>
      </c>
      <c r="CI119">
        <f t="shared" si="34"/>
        <v>0</v>
      </c>
      <c r="CJ119">
        <f t="shared" si="34"/>
        <v>0</v>
      </c>
      <c r="CK119">
        <f t="shared" si="34"/>
        <v>0</v>
      </c>
      <c r="CL119">
        <f t="shared" si="34"/>
        <v>0</v>
      </c>
      <c r="CM119">
        <f t="shared" si="34"/>
        <v>0</v>
      </c>
      <c r="CN119">
        <f t="shared" si="34"/>
        <v>0</v>
      </c>
      <c r="CO119">
        <f t="shared" si="34"/>
        <v>0</v>
      </c>
      <c r="CP119">
        <f t="shared" si="34"/>
        <v>0</v>
      </c>
      <c r="CQ119">
        <f t="shared" si="34"/>
        <v>0</v>
      </c>
      <c r="CR119">
        <f t="shared" si="34"/>
        <v>0</v>
      </c>
      <c r="CS119">
        <f t="shared" si="34"/>
        <v>0</v>
      </c>
      <c r="CT119">
        <f t="shared" si="34"/>
        <v>0</v>
      </c>
      <c r="CU119">
        <f t="shared" si="34"/>
        <v>0</v>
      </c>
      <c r="CV119">
        <f t="shared" si="34"/>
        <v>0</v>
      </c>
      <c r="CW119">
        <f t="shared" si="34"/>
        <v>0</v>
      </c>
      <c r="CX119">
        <f t="shared" si="34"/>
        <v>0</v>
      </c>
      <c r="CY119">
        <f t="shared" si="34"/>
        <v>0</v>
      </c>
      <c r="CZ119">
        <f t="shared" si="34"/>
        <v>0</v>
      </c>
      <c r="DA119">
        <f t="shared" si="34"/>
        <v>0</v>
      </c>
      <c r="DB119">
        <f t="shared" si="35"/>
        <v>0</v>
      </c>
      <c r="DC119">
        <f t="shared" si="35"/>
        <v>0</v>
      </c>
      <c r="DD119">
        <f t="shared" si="35"/>
        <v>0</v>
      </c>
      <c r="DE119">
        <f t="shared" si="35"/>
        <v>0</v>
      </c>
      <c r="DF119">
        <f t="shared" si="35"/>
        <v>0</v>
      </c>
      <c r="DG119">
        <f t="shared" si="35"/>
        <v>0</v>
      </c>
      <c r="DH119">
        <f t="shared" si="35"/>
        <v>0</v>
      </c>
      <c r="DI119">
        <f t="shared" si="35"/>
        <v>0</v>
      </c>
    </row>
    <row r="120" spans="2:113">
      <c r="C120" t="s">
        <v>2968</v>
      </c>
      <c r="E120">
        <f>SUM(E84:E119)</f>
        <v>12</v>
      </c>
      <c r="F120">
        <f t="shared" ref="F120:BQ120" si="40">SUM(F84:F119)</f>
        <v>7</v>
      </c>
      <c r="G120">
        <f t="shared" si="40"/>
        <v>15</v>
      </c>
      <c r="H120">
        <f t="shared" si="40"/>
        <v>15</v>
      </c>
      <c r="I120">
        <f t="shared" si="40"/>
        <v>7</v>
      </c>
      <c r="J120">
        <f t="shared" si="40"/>
        <v>8</v>
      </c>
      <c r="K120">
        <f t="shared" si="40"/>
        <v>11</v>
      </c>
      <c r="L120">
        <f t="shared" si="40"/>
        <v>11</v>
      </c>
      <c r="M120">
        <f t="shared" si="40"/>
        <v>14</v>
      </c>
      <c r="N120">
        <f t="shared" si="40"/>
        <v>8</v>
      </c>
      <c r="O120">
        <f t="shared" si="40"/>
        <v>15</v>
      </c>
      <c r="P120">
        <f t="shared" si="40"/>
        <v>12</v>
      </c>
      <c r="Q120">
        <f t="shared" si="40"/>
        <v>9</v>
      </c>
      <c r="R120">
        <f t="shared" si="40"/>
        <v>15</v>
      </c>
      <c r="S120">
        <f t="shared" si="40"/>
        <v>12</v>
      </c>
      <c r="T120">
        <f t="shared" si="40"/>
        <v>11</v>
      </c>
      <c r="U120">
        <f t="shared" si="40"/>
        <v>0</v>
      </c>
      <c r="V120">
        <f t="shared" si="40"/>
        <v>0</v>
      </c>
      <c r="W120">
        <f t="shared" si="40"/>
        <v>0</v>
      </c>
      <c r="X120">
        <f t="shared" si="40"/>
        <v>0</v>
      </c>
      <c r="Y120">
        <f t="shared" si="40"/>
        <v>0</v>
      </c>
      <c r="Z120">
        <f t="shared" si="40"/>
        <v>0</v>
      </c>
      <c r="AA120">
        <f t="shared" si="40"/>
        <v>0</v>
      </c>
      <c r="AB120">
        <f t="shared" si="40"/>
        <v>0</v>
      </c>
      <c r="AC120">
        <f t="shared" si="40"/>
        <v>0</v>
      </c>
      <c r="AD120">
        <f t="shared" si="40"/>
        <v>0</v>
      </c>
      <c r="AE120">
        <f t="shared" si="40"/>
        <v>0</v>
      </c>
      <c r="AF120">
        <f t="shared" si="40"/>
        <v>0</v>
      </c>
      <c r="AG120">
        <f t="shared" si="40"/>
        <v>0</v>
      </c>
      <c r="AH120">
        <f t="shared" si="40"/>
        <v>0</v>
      </c>
      <c r="AI120">
        <f t="shared" si="40"/>
        <v>0</v>
      </c>
      <c r="AJ120">
        <f t="shared" si="40"/>
        <v>0</v>
      </c>
      <c r="AK120">
        <f t="shared" si="40"/>
        <v>0</v>
      </c>
      <c r="AL120">
        <f t="shared" si="40"/>
        <v>0</v>
      </c>
      <c r="AM120">
        <f t="shared" si="40"/>
        <v>0</v>
      </c>
      <c r="AN120">
        <f t="shared" si="40"/>
        <v>0</v>
      </c>
      <c r="AO120">
        <f t="shared" si="40"/>
        <v>0</v>
      </c>
      <c r="AP120">
        <f t="shared" si="40"/>
        <v>0</v>
      </c>
      <c r="AQ120">
        <f t="shared" si="40"/>
        <v>0</v>
      </c>
      <c r="AR120">
        <f t="shared" si="40"/>
        <v>0</v>
      </c>
      <c r="AS120">
        <f t="shared" si="40"/>
        <v>0</v>
      </c>
      <c r="AT120">
        <f t="shared" si="40"/>
        <v>0</v>
      </c>
      <c r="AU120">
        <f t="shared" si="40"/>
        <v>0</v>
      </c>
      <c r="AV120">
        <f t="shared" si="40"/>
        <v>0</v>
      </c>
      <c r="AW120">
        <f t="shared" si="40"/>
        <v>0</v>
      </c>
      <c r="AX120">
        <f t="shared" si="40"/>
        <v>0</v>
      </c>
      <c r="AY120">
        <f t="shared" si="40"/>
        <v>0</v>
      </c>
      <c r="AZ120">
        <f t="shared" si="40"/>
        <v>0</v>
      </c>
      <c r="BA120">
        <f t="shared" si="40"/>
        <v>0</v>
      </c>
      <c r="BB120">
        <f t="shared" si="40"/>
        <v>0</v>
      </c>
      <c r="BC120">
        <f t="shared" si="40"/>
        <v>0</v>
      </c>
      <c r="BD120">
        <f t="shared" si="40"/>
        <v>0</v>
      </c>
      <c r="BE120">
        <f t="shared" si="40"/>
        <v>0</v>
      </c>
      <c r="BF120">
        <f t="shared" si="40"/>
        <v>0</v>
      </c>
      <c r="BG120">
        <f t="shared" si="40"/>
        <v>0</v>
      </c>
      <c r="BH120">
        <f t="shared" si="40"/>
        <v>0</v>
      </c>
      <c r="BI120">
        <f t="shared" si="40"/>
        <v>0</v>
      </c>
      <c r="BJ120">
        <f t="shared" si="40"/>
        <v>0</v>
      </c>
      <c r="BK120">
        <f t="shared" si="40"/>
        <v>0</v>
      </c>
      <c r="BL120">
        <f t="shared" si="40"/>
        <v>0</v>
      </c>
      <c r="BM120">
        <f t="shared" si="40"/>
        <v>0</v>
      </c>
      <c r="BN120">
        <f t="shared" si="40"/>
        <v>0</v>
      </c>
      <c r="BO120">
        <f t="shared" si="40"/>
        <v>0</v>
      </c>
      <c r="BP120">
        <f t="shared" si="40"/>
        <v>0</v>
      </c>
      <c r="BQ120">
        <f t="shared" si="40"/>
        <v>0</v>
      </c>
      <c r="BR120">
        <f t="shared" ref="BR120:DI120" si="41">SUM(BR84:BR119)</f>
        <v>0</v>
      </c>
      <c r="BS120">
        <f t="shared" si="41"/>
        <v>0</v>
      </c>
      <c r="BT120">
        <f t="shared" si="41"/>
        <v>0</v>
      </c>
      <c r="BU120">
        <f t="shared" si="41"/>
        <v>0</v>
      </c>
      <c r="BV120">
        <f t="shared" si="41"/>
        <v>0</v>
      </c>
      <c r="BW120">
        <f t="shared" si="41"/>
        <v>0</v>
      </c>
      <c r="BX120">
        <f t="shared" si="41"/>
        <v>0</v>
      </c>
      <c r="BY120">
        <f t="shared" si="41"/>
        <v>0</v>
      </c>
      <c r="BZ120">
        <f t="shared" si="41"/>
        <v>0</v>
      </c>
      <c r="CA120">
        <f t="shared" si="41"/>
        <v>0</v>
      </c>
      <c r="CB120">
        <f t="shared" si="41"/>
        <v>0</v>
      </c>
      <c r="CC120">
        <f t="shared" si="41"/>
        <v>0</v>
      </c>
      <c r="CD120">
        <f t="shared" si="41"/>
        <v>0</v>
      </c>
      <c r="CE120">
        <f t="shared" si="41"/>
        <v>0</v>
      </c>
      <c r="CF120">
        <f t="shared" si="41"/>
        <v>0</v>
      </c>
      <c r="CG120">
        <f t="shared" si="41"/>
        <v>0</v>
      </c>
      <c r="CH120">
        <f t="shared" si="41"/>
        <v>0</v>
      </c>
      <c r="CI120">
        <f t="shared" si="41"/>
        <v>0</v>
      </c>
      <c r="CJ120">
        <f t="shared" si="41"/>
        <v>0</v>
      </c>
      <c r="CK120">
        <f t="shared" si="41"/>
        <v>0</v>
      </c>
      <c r="CL120">
        <f t="shared" si="41"/>
        <v>0</v>
      </c>
      <c r="CM120">
        <f t="shared" si="41"/>
        <v>0</v>
      </c>
      <c r="CN120">
        <f t="shared" si="41"/>
        <v>0</v>
      </c>
      <c r="CO120">
        <f t="shared" si="41"/>
        <v>0</v>
      </c>
      <c r="CP120">
        <f t="shared" si="41"/>
        <v>0</v>
      </c>
      <c r="CQ120">
        <f t="shared" si="41"/>
        <v>0</v>
      </c>
      <c r="CR120">
        <f t="shared" si="41"/>
        <v>0</v>
      </c>
      <c r="CS120">
        <f t="shared" si="41"/>
        <v>0</v>
      </c>
      <c r="CT120">
        <f t="shared" si="41"/>
        <v>0</v>
      </c>
      <c r="CU120">
        <f t="shared" si="41"/>
        <v>0</v>
      </c>
      <c r="CV120">
        <f t="shared" si="41"/>
        <v>0</v>
      </c>
      <c r="CW120">
        <f t="shared" si="41"/>
        <v>0</v>
      </c>
      <c r="CX120">
        <f t="shared" si="41"/>
        <v>0</v>
      </c>
      <c r="CY120">
        <f t="shared" si="41"/>
        <v>0</v>
      </c>
      <c r="CZ120">
        <f t="shared" si="41"/>
        <v>0</v>
      </c>
      <c r="DA120">
        <f t="shared" si="41"/>
        <v>0</v>
      </c>
      <c r="DB120">
        <f t="shared" si="41"/>
        <v>0</v>
      </c>
      <c r="DC120">
        <f t="shared" si="41"/>
        <v>0</v>
      </c>
      <c r="DD120">
        <f t="shared" si="41"/>
        <v>0</v>
      </c>
      <c r="DE120">
        <f t="shared" si="41"/>
        <v>0</v>
      </c>
      <c r="DF120">
        <f t="shared" si="41"/>
        <v>0</v>
      </c>
      <c r="DG120">
        <f t="shared" si="41"/>
        <v>0</v>
      </c>
      <c r="DH120">
        <f t="shared" si="41"/>
        <v>0</v>
      </c>
      <c r="DI120">
        <f t="shared" si="41"/>
        <v>0</v>
      </c>
    </row>
    <row r="121" spans="2:113">
      <c r="B121" t="s">
        <v>2930</v>
      </c>
      <c r="D121">
        <v>1</v>
      </c>
      <c r="E121">
        <f t="shared" ref="E121:BP124" si="42">IF(COUNTIF($B$51:$B$66,E51)=1,1,0)</f>
        <v>0</v>
      </c>
      <c r="F121">
        <f t="shared" si="42"/>
        <v>0</v>
      </c>
      <c r="G121">
        <f t="shared" si="42"/>
        <v>0</v>
      </c>
      <c r="H121">
        <f t="shared" si="42"/>
        <v>0</v>
      </c>
      <c r="I121">
        <f t="shared" si="42"/>
        <v>0</v>
      </c>
      <c r="J121">
        <f t="shared" si="42"/>
        <v>0</v>
      </c>
      <c r="K121">
        <f t="shared" si="42"/>
        <v>0</v>
      </c>
      <c r="L121">
        <f t="shared" si="42"/>
        <v>0</v>
      </c>
      <c r="M121">
        <f t="shared" si="42"/>
        <v>0</v>
      </c>
      <c r="N121">
        <f t="shared" si="42"/>
        <v>0</v>
      </c>
      <c r="O121">
        <f t="shared" si="42"/>
        <v>0</v>
      </c>
      <c r="P121">
        <f t="shared" si="42"/>
        <v>0</v>
      </c>
      <c r="Q121">
        <f t="shared" si="42"/>
        <v>0</v>
      </c>
      <c r="R121">
        <f t="shared" si="42"/>
        <v>0</v>
      </c>
      <c r="S121">
        <f t="shared" si="42"/>
        <v>0</v>
      </c>
      <c r="T121">
        <f t="shared" si="42"/>
        <v>0</v>
      </c>
      <c r="U121">
        <f t="shared" si="42"/>
        <v>0</v>
      </c>
      <c r="V121">
        <f t="shared" si="42"/>
        <v>0</v>
      </c>
      <c r="W121">
        <f t="shared" si="42"/>
        <v>0</v>
      </c>
      <c r="X121">
        <f t="shared" si="42"/>
        <v>0</v>
      </c>
      <c r="Y121">
        <f t="shared" si="42"/>
        <v>0</v>
      </c>
      <c r="Z121">
        <f t="shared" si="42"/>
        <v>0</v>
      </c>
      <c r="AA121">
        <f t="shared" si="42"/>
        <v>0</v>
      </c>
      <c r="AB121">
        <f t="shared" si="42"/>
        <v>0</v>
      </c>
      <c r="AC121">
        <f t="shared" si="42"/>
        <v>0</v>
      </c>
      <c r="AD121">
        <f t="shared" si="42"/>
        <v>0</v>
      </c>
      <c r="AE121">
        <f t="shared" si="42"/>
        <v>0</v>
      </c>
      <c r="AF121">
        <f t="shared" si="42"/>
        <v>0</v>
      </c>
      <c r="AG121">
        <f t="shared" si="42"/>
        <v>0</v>
      </c>
      <c r="AH121">
        <f t="shared" si="42"/>
        <v>0</v>
      </c>
      <c r="AI121">
        <f t="shared" si="42"/>
        <v>0</v>
      </c>
      <c r="AJ121">
        <f t="shared" si="42"/>
        <v>0</v>
      </c>
      <c r="AK121">
        <f t="shared" si="42"/>
        <v>0</v>
      </c>
      <c r="AL121">
        <f t="shared" si="42"/>
        <v>0</v>
      </c>
      <c r="AM121">
        <f t="shared" si="42"/>
        <v>0</v>
      </c>
      <c r="AN121">
        <f t="shared" si="42"/>
        <v>0</v>
      </c>
      <c r="AO121">
        <f t="shared" si="42"/>
        <v>0</v>
      </c>
      <c r="AP121">
        <f t="shared" si="42"/>
        <v>0</v>
      </c>
      <c r="AQ121">
        <f t="shared" si="42"/>
        <v>0</v>
      </c>
      <c r="AR121">
        <f t="shared" si="42"/>
        <v>0</v>
      </c>
      <c r="AS121">
        <f t="shared" si="42"/>
        <v>0</v>
      </c>
      <c r="AT121">
        <f t="shared" si="42"/>
        <v>0</v>
      </c>
      <c r="AU121">
        <f t="shared" si="42"/>
        <v>0</v>
      </c>
      <c r="AV121">
        <f t="shared" si="42"/>
        <v>0</v>
      </c>
      <c r="AW121">
        <f t="shared" si="42"/>
        <v>0</v>
      </c>
      <c r="AX121">
        <f t="shared" si="42"/>
        <v>0</v>
      </c>
      <c r="AY121">
        <f t="shared" si="42"/>
        <v>0</v>
      </c>
      <c r="AZ121">
        <f t="shared" si="42"/>
        <v>0</v>
      </c>
      <c r="BA121">
        <f t="shared" si="42"/>
        <v>0</v>
      </c>
      <c r="BB121">
        <f t="shared" si="42"/>
        <v>0</v>
      </c>
      <c r="BC121">
        <f t="shared" si="42"/>
        <v>0</v>
      </c>
      <c r="BD121">
        <f t="shared" si="42"/>
        <v>0</v>
      </c>
      <c r="BE121">
        <f t="shared" si="42"/>
        <v>0</v>
      </c>
      <c r="BF121">
        <f t="shared" si="42"/>
        <v>0</v>
      </c>
      <c r="BG121">
        <f t="shared" si="42"/>
        <v>0</v>
      </c>
      <c r="BH121">
        <f t="shared" si="42"/>
        <v>0</v>
      </c>
      <c r="BI121">
        <f t="shared" si="42"/>
        <v>0</v>
      </c>
      <c r="BJ121">
        <f t="shared" si="42"/>
        <v>0</v>
      </c>
      <c r="BK121">
        <f t="shared" si="42"/>
        <v>0</v>
      </c>
      <c r="BL121">
        <f t="shared" si="42"/>
        <v>0</v>
      </c>
      <c r="BM121">
        <f t="shared" si="42"/>
        <v>0</v>
      </c>
      <c r="BN121">
        <f t="shared" si="42"/>
        <v>0</v>
      </c>
      <c r="BO121">
        <f t="shared" si="42"/>
        <v>0</v>
      </c>
      <c r="BP121">
        <f t="shared" si="42"/>
        <v>0</v>
      </c>
      <c r="BQ121">
        <f t="shared" ref="BQ121:DI128" si="43">IF(COUNTIF($B$51:$B$66,BQ51)=1,1,0)</f>
        <v>0</v>
      </c>
      <c r="BR121">
        <f t="shared" si="43"/>
        <v>0</v>
      </c>
      <c r="BS121">
        <f t="shared" si="43"/>
        <v>0</v>
      </c>
      <c r="BT121">
        <f t="shared" si="43"/>
        <v>0</v>
      </c>
      <c r="BU121">
        <f t="shared" si="43"/>
        <v>0</v>
      </c>
      <c r="BV121">
        <f t="shared" si="43"/>
        <v>0</v>
      </c>
      <c r="BW121">
        <f t="shared" si="43"/>
        <v>0</v>
      </c>
      <c r="BX121">
        <f t="shared" si="43"/>
        <v>0</v>
      </c>
      <c r="BY121">
        <f t="shared" si="43"/>
        <v>0</v>
      </c>
      <c r="BZ121">
        <f t="shared" si="43"/>
        <v>0</v>
      </c>
      <c r="CA121">
        <f t="shared" si="43"/>
        <v>0</v>
      </c>
      <c r="CB121">
        <f t="shared" si="43"/>
        <v>0</v>
      </c>
      <c r="CC121">
        <f t="shared" si="43"/>
        <v>0</v>
      </c>
      <c r="CD121">
        <f t="shared" si="43"/>
        <v>0</v>
      </c>
      <c r="CE121">
        <f t="shared" si="43"/>
        <v>0</v>
      </c>
      <c r="CF121">
        <f t="shared" si="43"/>
        <v>0</v>
      </c>
      <c r="CG121">
        <f t="shared" si="43"/>
        <v>0</v>
      </c>
      <c r="CH121">
        <f t="shared" si="43"/>
        <v>0</v>
      </c>
      <c r="CI121">
        <f t="shared" si="43"/>
        <v>0</v>
      </c>
      <c r="CJ121">
        <f t="shared" si="43"/>
        <v>0</v>
      </c>
      <c r="CK121">
        <f t="shared" si="43"/>
        <v>0</v>
      </c>
      <c r="CL121">
        <f t="shared" si="43"/>
        <v>0</v>
      </c>
      <c r="CM121">
        <f t="shared" si="43"/>
        <v>0</v>
      </c>
      <c r="CN121">
        <f t="shared" si="43"/>
        <v>0</v>
      </c>
      <c r="CO121">
        <f t="shared" si="43"/>
        <v>0</v>
      </c>
      <c r="CP121">
        <f t="shared" si="43"/>
        <v>0</v>
      </c>
      <c r="CQ121">
        <f t="shared" si="43"/>
        <v>0</v>
      </c>
      <c r="CR121">
        <f t="shared" si="43"/>
        <v>0</v>
      </c>
      <c r="CS121">
        <f t="shared" si="43"/>
        <v>0</v>
      </c>
      <c r="CT121">
        <f t="shared" si="43"/>
        <v>0</v>
      </c>
      <c r="CU121">
        <f t="shared" si="43"/>
        <v>0</v>
      </c>
      <c r="CV121">
        <f t="shared" si="43"/>
        <v>0</v>
      </c>
      <c r="CW121">
        <f t="shared" si="43"/>
        <v>0</v>
      </c>
      <c r="CX121">
        <f t="shared" si="43"/>
        <v>0</v>
      </c>
      <c r="CY121">
        <f t="shared" si="43"/>
        <v>0</v>
      </c>
      <c r="CZ121">
        <f t="shared" si="43"/>
        <v>0</v>
      </c>
      <c r="DA121">
        <f t="shared" si="43"/>
        <v>0</v>
      </c>
      <c r="DB121">
        <f t="shared" si="43"/>
        <v>0</v>
      </c>
      <c r="DC121">
        <f t="shared" si="43"/>
        <v>0</v>
      </c>
      <c r="DD121">
        <f t="shared" si="43"/>
        <v>0</v>
      </c>
      <c r="DE121">
        <f t="shared" si="43"/>
        <v>0</v>
      </c>
      <c r="DF121">
        <f t="shared" si="43"/>
        <v>0</v>
      </c>
      <c r="DG121">
        <f t="shared" si="43"/>
        <v>0</v>
      </c>
      <c r="DH121">
        <f t="shared" si="43"/>
        <v>0</v>
      </c>
      <c r="DI121">
        <f t="shared" si="43"/>
        <v>0</v>
      </c>
    </row>
    <row r="122" spans="2:113">
      <c r="D122">
        <v>2</v>
      </c>
      <c r="E122">
        <f t="shared" si="42"/>
        <v>0</v>
      </c>
      <c r="F122">
        <f t="shared" si="42"/>
        <v>0</v>
      </c>
      <c r="G122">
        <f t="shared" si="42"/>
        <v>0</v>
      </c>
      <c r="H122">
        <f t="shared" si="42"/>
        <v>0</v>
      </c>
      <c r="I122">
        <f t="shared" si="42"/>
        <v>0</v>
      </c>
      <c r="J122">
        <f t="shared" si="42"/>
        <v>0</v>
      </c>
      <c r="K122">
        <f t="shared" si="42"/>
        <v>0</v>
      </c>
      <c r="L122">
        <f t="shared" si="42"/>
        <v>0</v>
      </c>
      <c r="M122">
        <f t="shared" si="42"/>
        <v>0</v>
      </c>
      <c r="N122">
        <f t="shared" si="42"/>
        <v>0</v>
      </c>
      <c r="O122">
        <f t="shared" si="42"/>
        <v>0</v>
      </c>
      <c r="P122">
        <f t="shared" si="42"/>
        <v>0</v>
      </c>
      <c r="Q122">
        <f t="shared" si="42"/>
        <v>0</v>
      </c>
      <c r="R122">
        <f t="shared" si="42"/>
        <v>0</v>
      </c>
      <c r="S122">
        <f t="shared" si="42"/>
        <v>0</v>
      </c>
      <c r="T122">
        <f t="shared" si="42"/>
        <v>0</v>
      </c>
      <c r="U122">
        <f t="shared" si="42"/>
        <v>0</v>
      </c>
      <c r="V122">
        <f t="shared" si="42"/>
        <v>0</v>
      </c>
      <c r="W122">
        <f t="shared" si="42"/>
        <v>0</v>
      </c>
      <c r="X122">
        <f t="shared" si="42"/>
        <v>0</v>
      </c>
      <c r="Y122">
        <f t="shared" si="42"/>
        <v>0</v>
      </c>
      <c r="Z122">
        <f t="shared" si="42"/>
        <v>0</v>
      </c>
      <c r="AA122">
        <f t="shared" si="42"/>
        <v>0</v>
      </c>
      <c r="AB122">
        <f t="shared" si="42"/>
        <v>0</v>
      </c>
      <c r="AC122">
        <f t="shared" si="42"/>
        <v>0</v>
      </c>
      <c r="AD122">
        <f t="shared" si="42"/>
        <v>0</v>
      </c>
      <c r="AE122">
        <f t="shared" si="42"/>
        <v>0</v>
      </c>
      <c r="AF122">
        <f t="shared" si="42"/>
        <v>0</v>
      </c>
      <c r="AG122">
        <f t="shared" si="42"/>
        <v>0</v>
      </c>
      <c r="AH122">
        <f t="shared" si="42"/>
        <v>0</v>
      </c>
      <c r="AI122">
        <f t="shared" si="42"/>
        <v>0</v>
      </c>
      <c r="AJ122">
        <f t="shared" si="42"/>
        <v>0</v>
      </c>
      <c r="AK122">
        <f t="shared" si="42"/>
        <v>0</v>
      </c>
      <c r="AL122">
        <f t="shared" si="42"/>
        <v>0</v>
      </c>
      <c r="AM122">
        <f t="shared" si="42"/>
        <v>0</v>
      </c>
      <c r="AN122">
        <f t="shared" si="42"/>
        <v>0</v>
      </c>
      <c r="AO122">
        <f t="shared" si="42"/>
        <v>0</v>
      </c>
      <c r="AP122">
        <f t="shared" si="42"/>
        <v>0</v>
      </c>
      <c r="AQ122">
        <f t="shared" si="42"/>
        <v>0</v>
      </c>
      <c r="AR122">
        <f t="shared" si="42"/>
        <v>0</v>
      </c>
      <c r="AS122">
        <f t="shared" si="42"/>
        <v>0</v>
      </c>
      <c r="AT122">
        <f t="shared" si="42"/>
        <v>0</v>
      </c>
      <c r="AU122">
        <f t="shared" si="42"/>
        <v>0</v>
      </c>
      <c r="AV122">
        <f t="shared" si="42"/>
        <v>0</v>
      </c>
      <c r="AW122">
        <f t="shared" si="42"/>
        <v>0</v>
      </c>
      <c r="AX122">
        <f t="shared" si="42"/>
        <v>0</v>
      </c>
      <c r="AY122">
        <f t="shared" si="42"/>
        <v>0</v>
      </c>
      <c r="AZ122">
        <f t="shared" si="42"/>
        <v>0</v>
      </c>
      <c r="BA122">
        <f t="shared" si="42"/>
        <v>0</v>
      </c>
      <c r="BB122">
        <f t="shared" si="42"/>
        <v>0</v>
      </c>
      <c r="BC122">
        <f t="shared" si="42"/>
        <v>0</v>
      </c>
      <c r="BD122">
        <f t="shared" si="42"/>
        <v>0</v>
      </c>
      <c r="BE122">
        <f t="shared" si="42"/>
        <v>0</v>
      </c>
      <c r="BF122">
        <f t="shared" si="42"/>
        <v>0</v>
      </c>
      <c r="BG122">
        <f t="shared" si="42"/>
        <v>0</v>
      </c>
      <c r="BH122">
        <f t="shared" si="42"/>
        <v>0</v>
      </c>
      <c r="BI122">
        <f t="shared" si="42"/>
        <v>0</v>
      </c>
      <c r="BJ122">
        <f t="shared" si="42"/>
        <v>0</v>
      </c>
      <c r="BK122">
        <f t="shared" si="42"/>
        <v>0</v>
      </c>
      <c r="BL122">
        <f t="shared" si="42"/>
        <v>0</v>
      </c>
      <c r="BM122">
        <f t="shared" si="42"/>
        <v>0</v>
      </c>
      <c r="BN122">
        <f t="shared" si="42"/>
        <v>0</v>
      </c>
      <c r="BO122">
        <f t="shared" si="42"/>
        <v>0</v>
      </c>
      <c r="BP122">
        <f t="shared" si="42"/>
        <v>0</v>
      </c>
      <c r="BQ122">
        <f t="shared" si="43"/>
        <v>0</v>
      </c>
      <c r="BR122">
        <f t="shared" si="43"/>
        <v>0</v>
      </c>
      <c r="BS122">
        <f t="shared" si="43"/>
        <v>0</v>
      </c>
      <c r="BT122">
        <f t="shared" si="43"/>
        <v>0</v>
      </c>
      <c r="BU122">
        <f t="shared" si="43"/>
        <v>0</v>
      </c>
      <c r="BV122">
        <f t="shared" si="43"/>
        <v>0</v>
      </c>
      <c r="BW122">
        <f t="shared" si="43"/>
        <v>0</v>
      </c>
      <c r="BX122">
        <f t="shared" si="43"/>
        <v>0</v>
      </c>
      <c r="BY122">
        <f t="shared" si="43"/>
        <v>0</v>
      </c>
      <c r="BZ122">
        <f t="shared" si="43"/>
        <v>0</v>
      </c>
      <c r="CA122">
        <f t="shared" si="43"/>
        <v>0</v>
      </c>
      <c r="CB122">
        <f t="shared" si="43"/>
        <v>0</v>
      </c>
      <c r="CC122">
        <f t="shared" si="43"/>
        <v>0</v>
      </c>
      <c r="CD122">
        <f t="shared" si="43"/>
        <v>0</v>
      </c>
      <c r="CE122">
        <f t="shared" si="43"/>
        <v>0</v>
      </c>
      <c r="CF122">
        <f t="shared" si="43"/>
        <v>0</v>
      </c>
      <c r="CG122">
        <f t="shared" si="43"/>
        <v>0</v>
      </c>
      <c r="CH122">
        <f t="shared" si="43"/>
        <v>0</v>
      </c>
      <c r="CI122">
        <f t="shared" si="43"/>
        <v>0</v>
      </c>
      <c r="CJ122">
        <f t="shared" si="43"/>
        <v>0</v>
      </c>
      <c r="CK122">
        <f t="shared" si="43"/>
        <v>0</v>
      </c>
      <c r="CL122">
        <f t="shared" si="43"/>
        <v>0</v>
      </c>
      <c r="CM122">
        <f t="shared" si="43"/>
        <v>0</v>
      </c>
      <c r="CN122">
        <f t="shared" si="43"/>
        <v>0</v>
      </c>
      <c r="CO122">
        <f t="shared" si="43"/>
        <v>0</v>
      </c>
      <c r="CP122">
        <f t="shared" si="43"/>
        <v>0</v>
      </c>
      <c r="CQ122">
        <f t="shared" si="43"/>
        <v>0</v>
      </c>
      <c r="CR122">
        <f t="shared" si="43"/>
        <v>0</v>
      </c>
      <c r="CS122">
        <f t="shared" si="43"/>
        <v>0</v>
      </c>
      <c r="CT122">
        <f t="shared" si="43"/>
        <v>0</v>
      </c>
      <c r="CU122">
        <f t="shared" si="43"/>
        <v>0</v>
      </c>
      <c r="CV122">
        <f t="shared" si="43"/>
        <v>0</v>
      </c>
      <c r="CW122">
        <f t="shared" si="43"/>
        <v>0</v>
      </c>
      <c r="CX122">
        <f t="shared" si="43"/>
        <v>0</v>
      </c>
      <c r="CY122">
        <f t="shared" si="43"/>
        <v>0</v>
      </c>
      <c r="CZ122">
        <f t="shared" si="43"/>
        <v>0</v>
      </c>
      <c r="DA122">
        <f t="shared" si="43"/>
        <v>0</v>
      </c>
      <c r="DB122">
        <f t="shared" si="43"/>
        <v>0</v>
      </c>
      <c r="DC122">
        <f t="shared" si="43"/>
        <v>0</v>
      </c>
      <c r="DD122">
        <f t="shared" si="43"/>
        <v>0</v>
      </c>
      <c r="DE122">
        <f t="shared" si="43"/>
        <v>0</v>
      </c>
      <c r="DF122">
        <f t="shared" si="43"/>
        <v>0</v>
      </c>
      <c r="DG122">
        <f t="shared" si="43"/>
        <v>0</v>
      </c>
      <c r="DH122">
        <f t="shared" si="43"/>
        <v>0</v>
      </c>
      <c r="DI122">
        <f t="shared" si="43"/>
        <v>0</v>
      </c>
    </row>
    <row r="123" spans="2:113">
      <c r="D123">
        <v>3</v>
      </c>
      <c r="E123">
        <f t="shared" si="42"/>
        <v>0</v>
      </c>
      <c r="F123">
        <f t="shared" si="42"/>
        <v>0</v>
      </c>
      <c r="G123">
        <f t="shared" si="42"/>
        <v>0</v>
      </c>
      <c r="H123">
        <f t="shared" si="42"/>
        <v>0</v>
      </c>
      <c r="I123">
        <f t="shared" si="42"/>
        <v>0</v>
      </c>
      <c r="J123">
        <f t="shared" si="42"/>
        <v>0</v>
      </c>
      <c r="K123">
        <f t="shared" si="42"/>
        <v>0</v>
      </c>
      <c r="L123">
        <f t="shared" si="42"/>
        <v>0</v>
      </c>
      <c r="M123">
        <f t="shared" si="42"/>
        <v>0</v>
      </c>
      <c r="N123">
        <f t="shared" si="42"/>
        <v>0</v>
      </c>
      <c r="O123">
        <f t="shared" si="42"/>
        <v>0</v>
      </c>
      <c r="P123">
        <f t="shared" si="42"/>
        <v>0</v>
      </c>
      <c r="Q123">
        <f t="shared" si="42"/>
        <v>0</v>
      </c>
      <c r="R123">
        <f t="shared" si="42"/>
        <v>0</v>
      </c>
      <c r="S123">
        <f t="shared" si="42"/>
        <v>0</v>
      </c>
      <c r="T123">
        <f t="shared" si="42"/>
        <v>0</v>
      </c>
      <c r="U123">
        <f t="shared" si="42"/>
        <v>0</v>
      </c>
      <c r="V123">
        <f t="shared" si="42"/>
        <v>0</v>
      </c>
      <c r="W123">
        <f t="shared" si="42"/>
        <v>0</v>
      </c>
      <c r="X123">
        <f t="shared" si="42"/>
        <v>0</v>
      </c>
      <c r="Y123">
        <f t="shared" si="42"/>
        <v>0</v>
      </c>
      <c r="Z123">
        <f t="shared" si="42"/>
        <v>0</v>
      </c>
      <c r="AA123">
        <f t="shared" si="42"/>
        <v>0</v>
      </c>
      <c r="AB123">
        <f t="shared" si="42"/>
        <v>0</v>
      </c>
      <c r="AC123">
        <f t="shared" si="42"/>
        <v>0</v>
      </c>
      <c r="AD123">
        <f t="shared" si="42"/>
        <v>0</v>
      </c>
      <c r="AE123">
        <f t="shared" si="42"/>
        <v>0</v>
      </c>
      <c r="AF123">
        <f t="shared" si="42"/>
        <v>0</v>
      </c>
      <c r="AG123">
        <f t="shared" si="42"/>
        <v>0</v>
      </c>
      <c r="AH123">
        <f t="shared" si="42"/>
        <v>0</v>
      </c>
      <c r="AI123">
        <f t="shared" si="42"/>
        <v>0</v>
      </c>
      <c r="AJ123">
        <f t="shared" si="42"/>
        <v>0</v>
      </c>
      <c r="AK123">
        <f t="shared" si="42"/>
        <v>0</v>
      </c>
      <c r="AL123">
        <f t="shared" si="42"/>
        <v>0</v>
      </c>
      <c r="AM123">
        <f t="shared" si="42"/>
        <v>0</v>
      </c>
      <c r="AN123">
        <f t="shared" si="42"/>
        <v>0</v>
      </c>
      <c r="AO123">
        <f t="shared" si="42"/>
        <v>0</v>
      </c>
      <c r="AP123">
        <f t="shared" si="42"/>
        <v>0</v>
      </c>
      <c r="AQ123">
        <f t="shared" si="42"/>
        <v>0</v>
      </c>
      <c r="AR123">
        <f t="shared" si="42"/>
        <v>0</v>
      </c>
      <c r="AS123">
        <f t="shared" si="42"/>
        <v>0</v>
      </c>
      <c r="AT123">
        <f t="shared" si="42"/>
        <v>0</v>
      </c>
      <c r="AU123">
        <f t="shared" si="42"/>
        <v>0</v>
      </c>
      <c r="AV123">
        <f t="shared" si="42"/>
        <v>0</v>
      </c>
      <c r="AW123">
        <f t="shared" si="42"/>
        <v>0</v>
      </c>
      <c r="AX123">
        <f t="shared" si="42"/>
        <v>0</v>
      </c>
      <c r="AY123">
        <f t="shared" si="42"/>
        <v>0</v>
      </c>
      <c r="AZ123">
        <f t="shared" si="42"/>
        <v>0</v>
      </c>
      <c r="BA123">
        <f t="shared" si="42"/>
        <v>0</v>
      </c>
      <c r="BB123">
        <f t="shared" si="42"/>
        <v>0</v>
      </c>
      <c r="BC123">
        <f t="shared" si="42"/>
        <v>0</v>
      </c>
      <c r="BD123">
        <f t="shared" si="42"/>
        <v>0</v>
      </c>
      <c r="BE123">
        <f t="shared" si="42"/>
        <v>0</v>
      </c>
      <c r="BF123">
        <f t="shared" si="42"/>
        <v>0</v>
      </c>
      <c r="BG123">
        <f t="shared" si="42"/>
        <v>0</v>
      </c>
      <c r="BH123">
        <f t="shared" si="42"/>
        <v>0</v>
      </c>
      <c r="BI123">
        <f t="shared" si="42"/>
        <v>0</v>
      </c>
      <c r="BJ123">
        <f t="shared" si="42"/>
        <v>0</v>
      </c>
      <c r="BK123">
        <f t="shared" si="42"/>
        <v>0</v>
      </c>
      <c r="BL123">
        <f t="shared" si="42"/>
        <v>0</v>
      </c>
      <c r="BM123">
        <f t="shared" si="42"/>
        <v>0</v>
      </c>
      <c r="BN123">
        <f t="shared" si="42"/>
        <v>0</v>
      </c>
      <c r="BO123">
        <f t="shared" si="42"/>
        <v>0</v>
      </c>
      <c r="BP123">
        <f t="shared" si="42"/>
        <v>0</v>
      </c>
      <c r="BQ123">
        <f t="shared" si="43"/>
        <v>0</v>
      </c>
      <c r="BR123">
        <f t="shared" si="43"/>
        <v>0</v>
      </c>
      <c r="BS123">
        <f t="shared" si="43"/>
        <v>0</v>
      </c>
      <c r="BT123">
        <f t="shared" si="43"/>
        <v>0</v>
      </c>
      <c r="BU123">
        <f t="shared" si="43"/>
        <v>0</v>
      </c>
      <c r="BV123">
        <f t="shared" si="43"/>
        <v>0</v>
      </c>
      <c r="BW123">
        <f t="shared" si="43"/>
        <v>0</v>
      </c>
      <c r="BX123">
        <f t="shared" si="43"/>
        <v>0</v>
      </c>
      <c r="BY123">
        <f t="shared" si="43"/>
        <v>0</v>
      </c>
      <c r="BZ123">
        <f t="shared" si="43"/>
        <v>0</v>
      </c>
      <c r="CA123">
        <f t="shared" si="43"/>
        <v>0</v>
      </c>
      <c r="CB123">
        <f t="shared" si="43"/>
        <v>0</v>
      </c>
      <c r="CC123">
        <f t="shared" si="43"/>
        <v>0</v>
      </c>
      <c r="CD123">
        <f t="shared" si="43"/>
        <v>0</v>
      </c>
      <c r="CE123">
        <f t="shared" si="43"/>
        <v>0</v>
      </c>
      <c r="CF123">
        <f t="shared" si="43"/>
        <v>0</v>
      </c>
      <c r="CG123">
        <f t="shared" si="43"/>
        <v>0</v>
      </c>
      <c r="CH123">
        <f t="shared" si="43"/>
        <v>0</v>
      </c>
      <c r="CI123">
        <f t="shared" si="43"/>
        <v>0</v>
      </c>
      <c r="CJ123">
        <f t="shared" si="43"/>
        <v>0</v>
      </c>
      <c r="CK123">
        <f t="shared" si="43"/>
        <v>0</v>
      </c>
      <c r="CL123">
        <f t="shared" si="43"/>
        <v>0</v>
      </c>
      <c r="CM123">
        <f t="shared" si="43"/>
        <v>0</v>
      </c>
      <c r="CN123">
        <f t="shared" si="43"/>
        <v>0</v>
      </c>
      <c r="CO123">
        <f t="shared" si="43"/>
        <v>0</v>
      </c>
      <c r="CP123">
        <f t="shared" si="43"/>
        <v>0</v>
      </c>
      <c r="CQ123">
        <f t="shared" si="43"/>
        <v>0</v>
      </c>
      <c r="CR123">
        <f t="shared" si="43"/>
        <v>0</v>
      </c>
      <c r="CS123">
        <f t="shared" si="43"/>
        <v>0</v>
      </c>
      <c r="CT123">
        <f t="shared" si="43"/>
        <v>0</v>
      </c>
      <c r="CU123">
        <f t="shared" si="43"/>
        <v>0</v>
      </c>
      <c r="CV123">
        <f t="shared" si="43"/>
        <v>0</v>
      </c>
      <c r="CW123">
        <f t="shared" si="43"/>
        <v>0</v>
      </c>
      <c r="CX123">
        <f t="shared" si="43"/>
        <v>0</v>
      </c>
      <c r="CY123">
        <f t="shared" si="43"/>
        <v>0</v>
      </c>
      <c r="CZ123">
        <f t="shared" si="43"/>
        <v>0</v>
      </c>
      <c r="DA123">
        <f t="shared" si="43"/>
        <v>0</v>
      </c>
      <c r="DB123">
        <f t="shared" si="43"/>
        <v>0</v>
      </c>
      <c r="DC123">
        <f t="shared" si="43"/>
        <v>0</v>
      </c>
      <c r="DD123">
        <f t="shared" si="43"/>
        <v>0</v>
      </c>
      <c r="DE123">
        <f t="shared" si="43"/>
        <v>0</v>
      </c>
      <c r="DF123">
        <f t="shared" si="43"/>
        <v>0</v>
      </c>
      <c r="DG123">
        <f t="shared" si="43"/>
        <v>0</v>
      </c>
      <c r="DH123">
        <f t="shared" si="43"/>
        <v>0</v>
      </c>
      <c r="DI123">
        <f t="shared" si="43"/>
        <v>0</v>
      </c>
    </row>
    <row r="124" spans="2:113">
      <c r="D124">
        <v>4</v>
      </c>
      <c r="E124">
        <f t="shared" si="42"/>
        <v>0</v>
      </c>
      <c r="F124">
        <f t="shared" si="42"/>
        <v>0</v>
      </c>
      <c r="G124">
        <f t="shared" si="42"/>
        <v>0</v>
      </c>
      <c r="H124">
        <f t="shared" si="42"/>
        <v>0</v>
      </c>
      <c r="I124">
        <f t="shared" si="42"/>
        <v>0</v>
      </c>
      <c r="J124">
        <f t="shared" si="42"/>
        <v>0</v>
      </c>
      <c r="K124">
        <f t="shared" si="42"/>
        <v>0</v>
      </c>
      <c r="L124">
        <f t="shared" si="42"/>
        <v>0</v>
      </c>
      <c r="M124">
        <f t="shared" si="42"/>
        <v>0</v>
      </c>
      <c r="N124">
        <f t="shared" si="42"/>
        <v>0</v>
      </c>
      <c r="O124">
        <f t="shared" si="42"/>
        <v>0</v>
      </c>
      <c r="P124">
        <f t="shared" si="42"/>
        <v>0</v>
      </c>
      <c r="Q124">
        <f t="shared" si="42"/>
        <v>0</v>
      </c>
      <c r="R124">
        <f t="shared" si="42"/>
        <v>0</v>
      </c>
      <c r="S124">
        <f t="shared" si="42"/>
        <v>0</v>
      </c>
      <c r="T124">
        <f t="shared" si="42"/>
        <v>0</v>
      </c>
      <c r="U124">
        <f t="shared" si="42"/>
        <v>0</v>
      </c>
      <c r="V124">
        <f t="shared" si="42"/>
        <v>0</v>
      </c>
      <c r="W124">
        <f t="shared" si="42"/>
        <v>0</v>
      </c>
      <c r="X124">
        <f t="shared" si="42"/>
        <v>0</v>
      </c>
      <c r="Y124">
        <f t="shared" si="42"/>
        <v>0</v>
      </c>
      <c r="Z124">
        <f t="shared" si="42"/>
        <v>0</v>
      </c>
      <c r="AA124">
        <f t="shared" si="42"/>
        <v>0</v>
      </c>
      <c r="AB124">
        <f t="shared" si="42"/>
        <v>0</v>
      </c>
      <c r="AC124">
        <f t="shared" si="42"/>
        <v>0</v>
      </c>
      <c r="AD124">
        <f t="shared" si="42"/>
        <v>0</v>
      </c>
      <c r="AE124">
        <f t="shared" si="42"/>
        <v>0</v>
      </c>
      <c r="AF124">
        <f t="shared" si="42"/>
        <v>0</v>
      </c>
      <c r="AG124">
        <f t="shared" si="42"/>
        <v>0</v>
      </c>
      <c r="AH124">
        <f t="shared" si="42"/>
        <v>0</v>
      </c>
      <c r="AI124">
        <f t="shared" si="42"/>
        <v>0</v>
      </c>
      <c r="AJ124">
        <f t="shared" si="42"/>
        <v>0</v>
      </c>
      <c r="AK124">
        <f t="shared" si="42"/>
        <v>0</v>
      </c>
      <c r="AL124">
        <f t="shared" si="42"/>
        <v>0</v>
      </c>
      <c r="AM124">
        <f t="shared" si="42"/>
        <v>0</v>
      </c>
      <c r="AN124">
        <f t="shared" si="42"/>
        <v>0</v>
      </c>
      <c r="AO124">
        <f t="shared" si="42"/>
        <v>0</v>
      </c>
      <c r="AP124">
        <f t="shared" si="42"/>
        <v>0</v>
      </c>
      <c r="AQ124">
        <f t="shared" si="42"/>
        <v>0</v>
      </c>
      <c r="AR124">
        <f t="shared" si="42"/>
        <v>0</v>
      </c>
      <c r="AS124">
        <f t="shared" si="42"/>
        <v>0</v>
      </c>
      <c r="AT124">
        <f t="shared" si="42"/>
        <v>0</v>
      </c>
      <c r="AU124">
        <f t="shared" si="42"/>
        <v>0</v>
      </c>
      <c r="AV124">
        <f t="shared" si="42"/>
        <v>0</v>
      </c>
      <c r="AW124">
        <f t="shared" si="42"/>
        <v>0</v>
      </c>
      <c r="AX124">
        <f t="shared" si="42"/>
        <v>0</v>
      </c>
      <c r="AY124">
        <f t="shared" si="42"/>
        <v>0</v>
      </c>
      <c r="AZ124">
        <f t="shared" si="42"/>
        <v>0</v>
      </c>
      <c r="BA124">
        <f t="shared" si="42"/>
        <v>0</v>
      </c>
      <c r="BB124">
        <f t="shared" si="42"/>
        <v>0</v>
      </c>
      <c r="BC124">
        <f t="shared" si="42"/>
        <v>0</v>
      </c>
      <c r="BD124">
        <f t="shared" si="42"/>
        <v>0</v>
      </c>
      <c r="BE124">
        <f t="shared" si="42"/>
        <v>0</v>
      </c>
      <c r="BF124">
        <f t="shared" si="42"/>
        <v>0</v>
      </c>
      <c r="BG124">
        <f t="shared" si="42"/>
        <v>0</v>
      </c>
      <c r="BH124">
        <f t="shared" si="42"/>
        <v>0</v>
      </c>
      <c r="BI124">
        <f t="shared" si="42"/>
        <v>0</v>
      </c>
      <c r="BJ124">
        <f t="shared" si="42"/>
        <v>0</v>
      </c>
      <c r="BK124">
        <f t="shared" si="42"/>
        <v>0</v>
      </c>
      <c r="BL124">
        <f t="shared" si="42"/>
        <v>0</v>
      </c>
      <c r="BM124">
        <f t="shared" si="42"/>
        <v>0</v>
      </c>
      <c r="BN124">
        <f t="shared" si="42"/>
        <v>0</v>
      </c>
      <c r="BO124">
        <f t="shared" si="42"/>
        <v>0</v>
      </c>
      <c r="BP124">
        <f t="shared" ref="BP124:CF127" si="44">IF(COUNTIF($B$51:$B$66,BP54)=1,1,0)</f>
        <v>0</v>
      </c>
      <c r="BQ124">
        <f t="shared" si="44"/>
        <v>0</v>
      </c>
      <c r="BR124">
        <f t="shared" si="44"/>
        <v>0</v>
      </c>
      <c r="BS124">
        <f t="shared" si="44"/>
        <v>0</v>
      </c>
      <c r="BT124">
        <f t="shared" si="44"/>
        <v>0</v>
      </c>
      <c r="BU124">
        <f t="shared" si="44"/>
        <v>0</v>
      </c>
      <c r="BV124">
        <f t="shared" si="44"/>
        <v>0</v>
      </c>
      <c r="BW124">
        <f t="shared" si="44"/>
        <v>0</v>
      </c>
      <c r="BX124">
        <f t="shared" si="44"/>
        <v>0</v>
      </c>
      <c r="BY124">
        <f t="shared" si="44"/>
        <v>0</v>
      </c>
      <c r="BZ124">
        <f t="shared" si="44"/>
        <v>0</v>
      </c>
      <c r="CA124">
        <f t="shared" si="44"/>
        <v>0</v>
      </c>
      <c r="CB124">
        <f t="shared" si="44"/>
        <v>0</v>
      </c>
      <c r="CC124">
        <f t="shared" si="44"/>
        <v>0</v>
      </c>
      <c r="CD124">
        <f t="shared" si="44"/>
        <v>0</v>
      </c>
      <c r="CE124">
        <f t="shared" si="44"/>
        <v>0</v>
      </c>
      <c r="CF124">
        <f t="shared" si="44"/>
        <v>0</v>
      </c>
      <c r="CG124">
        <f t="shared" si="43"/>
        <v>0</v>
      </c>
      <c r="CH124">
        <f t="shared" si="43"/>
        <v>0</v>
      </c>
      <c r="CI124">
        <f t="shared" si="43"/>
        <v>0</v>
      </c>
      <c r="CJ124">
        <f t="shared" si="43"/>
        <v>0</v>
      </c>
      <c r="CK124">
        <f t="shared" si="43"/>
        <v>0</v>
      </c>
      <c r="CL124">
        <f t="shared" si="43"/>
        <v>0</v>
      </c>
      <c r="CM124">
        <f t="shared" si="43"/>
        <v>0</v>
      </c>
      <c r="CN124">
        <f t="shared" si="43"/>
        <v>0</v>
      </c>
      <c r="CO124">
        <f t="shared" si="43"/>
        <v>0</v>
      </c>
      <c r="CP124">
        <f t="shared" si="43"/>
        <v>0</v>
      </c>
      <c r="CQ124">
        <f t="shared" si="43"/>
        <v>0</v>
      </c>
      <c r="CR124">
        <f t="shared" si="43"/>
        <v>0</v>
      </c>
      <c r="CS124">
        <f t="shared" si="43"/>
        <v>0</v>
      </c>
      <c r="CT124">
        <f t="shared" si="43"/>
        <v>0</v>
      </c>
      <c r="CU124">
        <f t="shared" si="43"/>
        <v>0</v>
      </c>
      <c r="CV124">
        <f t="shared" si="43"/>
        <v>0</v>
      </c>
      <c r="CW124">
        <f t="shared" si="43"/>
        <v>0</v>
      </c>
      <c r="CX124">
        <f t="shared" si="43"/>
        <v>0</v>
      </c>
      <c r="CY124">
        <f t="shared" si="43"/>
        <v>0</v>
      </c>
      <c r="CZ124">
        <f t="shared" si="43"/>
        <v>0</v>
      </c>
      <c r="DA124">
        <f t="shared" si="43"/>
        <v>0</v>
      </c>
      <c r="DB124">
        <f t="shared" si="43"/>
        <v>0</v>
      </c>
      <c r="DC124">
        <f t="shared" si="43"/>
        <v>0</v>
      </c>
      <c r="DD124">
        <f t="shared" si="43"/>
        <v>0</v>
      </c>
      <c r="DE124">
        <f t="shared" si="43"/>
        <v>0</v>
      </c>
      <c r="DF124">
        <f t="shared" si="43"/>
        <v>0</v>
      </c>
      <c r="DG124">
        <f t="shared" si="43"/>
        <v>0</v>
      </c>
      <c r="DH124">
        <f t="shared" si="43"/>
        <v>0</v>
      </c>
      <c r="DI124">
        <f t="shared" si="43"/>
        <v>0</v>
      </c>
    </row>
    <row r="125" spans="2:113">
      <c r="D125">
        <v>5</v>
      </c>
      <c r="E125">
        <f t="shared" ref="E125:BP128" si="45">IF(COUNTIF($B$51:$B$66,E55)=1,1,0)</f>
        <v>0</v>
      </c>
      <c r="F125">
        <f t="shared" si="45"/>
        <v>0</v>
      </c>
      <c r="G125">
        <f t="shared" si="45"/>
        <v>0</v>
      </c>
      <c r="H125">
        <f t="shared" si="45"/>
        <v>0</v>
      </c>
      <c r="I125">
        <f t="shared" si="45"/>
        <v>0</v>
      </c>
      <c r="J125">
        <f t="shared" si="45"/>
        <v>0</v>
      </c>
      <c r="K125">
        <f t="shared" si="45"/>
        <v>0</v>
      </c>
      <c r="L125">
        <f t="shared" si="45"/>
        <v>0</v>
      </c>
      <c r="M125">
        <f t="shared" si="45"/>
        <v>0</v>
      </c>
      <c r="N125">
        <f t="shared" si="45"/>
        <v>0</v>
      </c>
      <c r="O125">
        <f t="shared" si="45"/>
        <v>0</v>
      </c>
      <c r="P125">
        <f t="shared" si="45"/>
        <v>0</v>
      </c>
      <c r="Q125">
        <f t="shared" si="45"/>
        <v>0</v>
      </c>
      <c r="R125">
        <f t="shared" si="45"/>
        <v>0</v>
      </c>
      <c r="S125">
        <f t="shared" si="45"/>
        <v>0</v>
      </c>
      <c r="T125">
        <f t="shared" si="45"/>
        <v>0</v>
      </c>
      <c r="U125">
        <f t="shared" si="45"/>
        <v>0</v>
      </c>
      <c r="V125">
        <f t="shared" si="45"/>
        <v>0</v>
      </c>
      <c r="W125">
        <f t="shared" si="45"/>
        <v>0</v>
      </c>
      <c r="X125">
        <f t="shared" si="45"/>
        <v>0</v>
      </c>
      <c r="Y125">
        <f t="shared" si="45"/>
        <v>0</v>
      </c>
      <c r="Z125">
        <f t="shared" si="45"/>
        <v>0</v>
      </c>
      <c r="AA125">
        <f t="shared" si="45"/>
        <v>0</v>
      </c>
      <c r="AB125">
        <f t="shared" si="45"/>
        <v>0</v>
      </c>
      <c r="AC125">
        <f t="shared" si="45"/>
        <v>0</v>
      </c>
      <c r="AD125">
        <f t="shared" si="45"/>
        <v>0</v>
      </c>
      <c r="AE125">
        <f t="shared" si="45"/>
        <v>0</v>
      </c>
      <c r="AF125">
        <f t="shared" si="45"/>
        <v>0</v>
      </c>
      <c r="AG125">
        <f t="shared" si="45"/>
        <v>0</v>
      </c>
      <c r="AH125">
        <f t="shared" si="45"/>
        <v>0</v>
      </c>
      <c r="AI125">
        <f t="shared" si="45"/>
        <v>0</v>
      </c>
      <c r="AJ125">
        <f t="shared" si="45"/>
        <v>0</v>
      </c>
      <c r="AK125">
        <f t="shared" si="45"/>
        <v>0</v>
      </c>
      <c r="AL125">
        <f t="shared" si="45"/>
        <v>0</v>
      </c>
      <c r="AM125">
        <f t="shared" si="45"/>
        <v>0</v>
      </c>
      <c r="AN125">
        <f t="shared" si="45"/>
        <v>0</v>
      </c>
      <c r="AO125">
        <f t="shared" si="45"/>
        <v>0</v>
      </c>
      <c r="AP125">
        <f t="shared" si="45"/>
        <v>0</v>
      </c>
      <c r="AQ125">
        <f t="shared" si="45"/>
        <v>0</v>
      </c>
      <c r="AR125">
        <f t="shared" si="45"/>
        <v>0</v>
      </c>
      <c r="AS125">
        <f t="shared" si="45"/>
        <v>0</v>
      </c>
      <c r="AT125">
        <f t="shared" si="45"/>
        <v>0</v>
      </c>
      <c r="AU125">
        <f t="shared" si="45"/>
        <v>0</v>
      </c>
      <c r="AV125">
        <f t="shared" si="45"/>
        <v>0</v>
      </c>
      <c r="AW125">
        <f t="shared" si="45"/>
        <v>0</v>
      </c>
      <c r="AX125">
        <f t="shared" si="45"/>
        <v>0</v>
      </c>
      <c r="AY125">
        <f t="shared" si="45"/>
        <v>0</v>
      </c>
      <c r="AZ125">
        <f t="shared" si="45"/>
        <v>0</v>
      </c>
      <c r="BA125">
        <f t="shared" si="45"/>
        <v>0</v>
      </c>
      <c r="BB125">
        <f t="shared" si="45"/>
        <v>0</v>
      </c>
      <c r="BC125">
        <f t="shared" si="45"/>
        <v>0</v>
      </c>
      <c r="BD125">
        <f t="shared" si="45"/>
        <v>0</v>
      </c>
      <c r="BE125">
        <f t="shared" si="45"/>
        <v>0</v>
      </c>
      <c r="BF125">
        <f t="shared" si="45"/>
        <v>0</v>
      </c>
      <c r="BG125">
        <f t="shared" si="45"/>
        <v>0</v>
      </c>
      <c r="BH125">
        <f t="shared" si="45"/>
        <v>0</v>
      </c>
      <c r="BI125">
        <f t="shared" si="45"/>
        <v>0</v>
      </c>
      <c r="BJ125">
        <f t="shared" si="45"/>
        <v>0</v>
      </c>
      <c r="BK125">
        <f t="shared" si="45"/>
        <v>0</v>
      </c>
      <c r="BL125">
        <f t="shared" si="45"/>
        <v>0</v>
      </c>
      <c r="BM125">
        <f t="shared" si="45"/>
        <v>0</v>
      </c>
      <c r="BN125">
        <f t="shared" si="45"/>
        <v>0</v>
      </c>
      <c r="BO125">
        <f t="shared" si="45"/>
        <v>0</v>
      </c>
      <c r="BP125">
        <f t="shared" si="45"/>
        <v>0</v>
      </c>
      <c r="BQ125">
        <f t="shared" si="44"/>
        <v>0</v>
      </c>
      <c r="BR125">
        <f t="shared" si="44"/>
        <v>0</v>
      </c>
      <c r="BS125">
        <f t="shared" si="44"/>
        <v>0</v>
      </c>
      <c r="BT125">
        <f t="shared" si="44"/>
        <v>0</v>
      </c>
      <c r="BU125">
        <f t="shared" si="44"/>
        <v>0</v>
      </c>
      <c r="BV125">
        <f t="shared" si="44"/>
        <v>0</v>
      </c>
      <c r="BW125">
        <f t="shared" si="44"/>
        <v>0</v>
      </c>
      <c r="BX125">
        <f t="shared" si="44"/>
        <v>0</v>
      </c>
      <c r="BY125">
        <f t="shared" si="44"/>
        <v>0</v>
      </c>
      <c r="BZ125">
        <f t="shared" si="44"/>
        <v>0</v>
      </c>
      <c r="CA125">
        <f t="shared" si="44"/>
        <v>0</v>
      </c>
      <c r="CB125">
        <f t="shared" si="44"/>
        <v>0</v>
      </c>
      <c r="CC125">
        <f t="shared" si="44"/>
        <v>0</v>
      </c>
      <c r="CD125">
        <f t="shared" si="44"/>
        <v>0</v>
      </c>
      <c r="CE125">
        <f t="shared" si="44"/>
        <v>0</v>
      </c>
      <c r="CF125">
        <f t="shared" si="44"/>
        <v>0</v>
      </c>
      <c r="CG125">
        <f t="shared" si="43"/>
        <v>0</v>
      </c>
      <c r="CH125">
        <f t="shared" si="43"/>
        <v>0</v>
      </c>
      <c r="CI125">
        <f t="shared" si="43"/>
        <v>0</v>
      </c>
      <c r="CJ125">
        <f t="shared" si="43"/>
        <v>0</v>
      </c>
      <c r="CK125">
        <f t="shared" si="43"/>
        <v>0</v>
      </c>
      <c r="CL125">
        <f t="shared" si="43"/>
        <v>0</v>
      </c>
      <c r="CM125">
        <f t="shared" si="43"/>
        <v>0</v>
      </c>
      <c r="CN125">
        <f t="shared" si="43"/>
        <v>0</v>
      </c>
      <c r="CO125">
        <f t="shared" si="43"/>
        <v>0</v>
      </c>
      <c r="CP125">
        <f t="shared" si="43"/>
        <v>0</v>
      </c>
      <c r="CQ125">
        <f t="shared" si="43"/>
        <v>0</v>
      </c>
      <c r="CR125">
        <f t="shared" si="43"/>
        <v>0</v>
      </c>
      <c r="CS125">
        <f t="shared" si="43"/>
        <v>0</v>
      </c>
      <c r="CT125">
        <f t="shared" si="43"/>
        <v>0</v>
      </c>
      <c r="CU125">
        <f t="shared" si="43"/>
        <v>0</v>
      </c>
      <c r="CV125">
        <f t="shared" si="43"/>
        <v>0</v>
      </c>
      <c r="CW125">
        <f t="shared" si="43"/>
        <v>0</v>
      </c>
      <c r="CX125">
        <f t="shared" si="43"/>
        <v>0</v>
      </c>
      <c r="CY125">
        <f t="shared" si="43"/>
        <v>0</v>
      </c>
      <c r="CZ125">
        <f t="shared" si="43"/>
        <v>0</v>
      </c>
      <c r="DA125">
        <f t="shared" si="43"/>
        <v>0</v>
      </c>
      <c r="DB125">
        <f t="shared" si="43"/>
        <v>0</v>
      </c>
      <c r="DC125">
        <f t="shared" si="43"/>
        <v>0</v>
      </c>
      <c r="DD125">
        <f t="shared" si="43"/>
        <v>0</v>
      </c>
      <c r="DE125">
        <f t="shared" si="43"/>
        <v>0</v>
      </c>
      <c r="DF125">
        <f t="shared" si="43"/>
        <v>0</v>
      </c>
      <c r="DG125">
        <f t="shared" si="43"/>
        <v>0</v>
      </c>
      <c r="DH125">
        <f t="shared" si="43"/>
        <v>0</v>
      </c>
      <c r="DI125">
        <f t="shared" si="43"/>
        <v>0</v>
      </c>
    </row>
    <row r="126" spans="2:113">
      <c r="D126">
        <v>6</v>
      </c>
      <c r="E126">
        <f t="shared" si="45"/>
        <v>0</v>
      </c>
      <c r="F126">
        <f t="shared" si="45"/>
        <v>0</v>
      </c>
      <c r="G126">
        <f t="shared" si="45"/>
        <v>0</v>
      </c>
      <c r="H126">
        <f t="shared" si="45"/>
        <v>0</v>
      </c>
      <c r="I126">
        <f t="shared" si="45"/>
        <v>0</v>
      </c>
      <c r="J126">
        <f t="shared" si="45"/>
        <v>0</v>
      </c>
      <c r="K126">
        <f t="shared" si="45"/>
        <v>0</v>
      </c>
      <c r="L126">
        <f t="shared" si="45"/>
        <v>0</v>
      </c>
      <c r="M126">
        <f t="shared" si="45"/>
        <v>0</v>
      </c>
      <c r="N126">
        <f t="shared" si="45"/>
        <v>0</v>
      </c>
      <c r="O126">
        <f t="shared" si="45"/>
        <v>0</v>
      </c>
      <c r="P126">
        <f t="shared" si="45"/>
        <v>0</v>
      </c>
      <c r="Q126">
        <f t="shared" si="45"/>
        <v>0</v>
      </c>
      <c r="R126">
        <f t="shared" si="45"/>
        <v>0</v>
      </c>
      <c r="S126">
        <f t="shared" si="45"/>
        <v>0</v>
      </c>
      <c r="T126">
        <f t="shared" si="45"/>
        <v>0</v>
      </c>
      <c r="U126">
        <f t="shared" si="45"/>
        <v>0</v>
      </c>
      <c r="V126">
        <f t="shared" si="45"/>
        <v>0</v>
      </c>
      <c r="W126">
        <f t="shared" si="45"/>
        <v>0</v>
      </c>
      <c r="X126">
        <f t="shared" si="45"/>
        <v>0</v>
      </c>
      <c r="Y126">
        <f t="shared" si="45"/>
        <v>0</v>
      </c>
      <c r="Z126">
        <f t="shared" si="45"/>
        <v>0</v>
      </c>
      <c r="AA126">
        <f t="shared" si="45"/>
        <v>0</v>
      </c>
      <c r="AB126">
        <f t="shared" si="45"/>
        <v>0</v>
      </c>
      <c r="AC126">
        <f t="shared" si="45"/>
        <v>0</v>
      </c>
      <c r="AD126">
        <f t="shared" si="45"/>
        <v>0</v>
      </c>
      <c r="AE126">
        <f t="shared" si="45"/>
        <v>0</v>
      </c>
      <c r="AF126">
        <f t="shared" si="45"/>
        <v>0</v>
      </c>
      <c r="AG126">
        <f t="shared" si="45"/>
        <v>0</v>
      </c>
      <c r="AH126">
        <f t="shared" si="45"/>
        <v>0</v>
      </c>
      <c r="AI126">
        <f t="shared" si="45"/>
        <v>0</v>
      </c>
      <c r="AJ126">
        <f t="shared" si="45"/>
        <v>0</v>
      </c>
      <c r="AK126">
        <f t="shared" si="45"/>
        <v>0</v>
      </c>
      <c r="AL126">
        <f t="shared" si="45"/>
        <v>0</v>
      </c>
      <c r="AM126">
        <f t="shared" si="45"/>
        <v>0</v>
      </c>
      <c r="AN126">
        <f t="shared" si="45"/>
        <v>0</v>
      </c>
      <c r="AO126">
        <f t="shared" si="45"/>
        <v>0</v>
      </c>
      <c r="AP126">
        <f t="shared" si="45"/>
        <v>0</v>
      </c>
      <c r="AQ126">
        <f t="shared" si="45"/>
        <v>0</v>
      </c>
      <c r="AR126">
        <f t="shared" si="45"/>
        <v>0</v>
      </c>
      <c r="AS126">
        <f t="shared" si="45"/>
        <v>0</v>
      </c>
      <c r="AT126">
        <f t="shared" si="45"/>
        <v>0</v>
      </c>
      <c r="AU126">
        <f t="shared" si="45"/>
        <v>0</v>
      </c>
      <c r="AV126">
        <f t="shared" si="45"/>
        <v>0</v>
      </c>
      <c r="AW126">
        <f t="shared" si="45"/>
        <v>0</v>
      </c>
      <c r="AX126">
        <f t="shared" si="45"/>
        <v>0</v>
      </c>
      <c r="AY126">
        <f t="shared" si="45"/>
        <v>0</v>
      </c>
      <c r="AZ126">
        <f t="shared" si="45"/>
        <v>0</v>
      </c>
      <c r="BA126">
        <f t="shared" si="45"/>
        <v>0</v>
      </c>
      <c r="BB126">
        <f t="shared" si="45"/>
        <v>0</v>
      </c>
      <c r="BC126">
        <f t="shared" si="45"/>
        <v>0</v>
      </c>
      <c r="BD126">
        <f t="shared" si="45"/>
        <v>0</v>
      </c>
      <c r="BE126">
        <f t="shared" si="45"/>
        <v>0</v>
      </c>
      <c r="BF126">
        <f t="shared" si="45"/>
        <v>0</v>
      </c>
      <c r="BG126">
        <f t="shared" si="45"/>
        <v>0</v>
      </c>
      <c r="BH126">
        <f t="shared" si="45"/>
        <v>0</v>
      </c>
      <c r="BI126">
        <f t="shared" si="45"/>
        <v>0</v>
      </c>
      <c r="BJ126">
        <f t="shared" si="45"/>
        <v>0</v>
      </c>
      <c r="BK126">
        <f t="shared" si="45"/>
        <v>0</v>
      </c>
      <c r="BL126">
        <f t="shared" si="45"/>
        <v>0</v>
      </c>
      <c r="BM126">
        <f t="shared" si="45"/>
        <v>0</v>
      </c>
      <c r="BN126">
        <f t="shared" si="45"/>
        <v>0</v>
      </c>
      <c r="BO126">
        <f t="shared" si="45"/>
        <v>0</v>
      </c>
      <c r="BP126">
        <f t="shared" si="45"/>
        <v>0</v>
      </c>
      <c r="BQ126">
        <f t="shared" si="44"/>
        <v>0</v>
      </c>
      <c r="BR126">
        <f t="shared" si="44"/>
        <v>0</v>
      </c>
      <c r="BS126">
        <f t="shared" si="44"/>
        <v>0</v>
      </c>
      <c r="BT126">
        <f t="shared" si="44"/>
        <v>0</v>
      </c>
      <c r="BU126">
        <f t="shared" si="44"/>
        <v>0</v>
      </c>
      <c r="BV126">
        <f t="shared" si="44"/>
        <v>0</v>
      </c>
      <c r="BW126">
        <f t="shared" si="44"/>
        <v>0</v>
      </c>
      <c r="BX126">
        <f t="shared" si="44"/>
        <v>0</v>
      </c>
      <c r="BY126">
        <f t="shared" si="44"/>
        <v>0</v>
      </c>
      <c r="BZ126">
        <f t="shared" si="44"/>
        <v>0</v>
      </c>
      <c r="CA126">
        <f t="shared" si="44"/>
        <v>0</v>
      </c>
      <c r="CB126">
        <f t="shared" si="44"/>
        <v>0</v>
      </c>
      <c r="CC126">
        <f t="shared" si="44"/>
        <v>0</v>
      </c>
      <c r="CD126">
        <f t="shared" si="44"/>
        <v>0</v>
      </c>
      <c r="CE126">
        <f t="shared" si="44"/>
        <v>0</v>
      </c>
      <c r="CF126">
        <f t="shared" si="44"/>
        <v>0</v>
      </c>
      <c r="CG126">
        <f t="shared" si="43"/>
        <v>0</v>
      </c>
      <c r="CH126">
        <f t="shared" si="43"/>
        <v>0</v>
      </c>
      <c r="CI126">
        <f t="shared" si="43"/>
        <v>0</v>
      </c>
      <c r="CJ126">
        <f t="shared" si="43"/>
        <v>0</v>
      </c>
      <c r="CK126">
        <f t="shared" si="43"/>
        <v>0</v>
      </c>
      <c r="CL126">
        <f t="shared" si="43"/>
        <v>0</v>
      </c>
      <c r="CM126">
        <f t="shared" si="43"/>
        <v>0</v>
      </c>
      <c r="CN126">
        <f t="shared" si="43"/>
        <v>0</v>
      </c>
      <c r="CO126">
        <f t="shared" si="43"/>
        <v>0</v>
      </c>
      <c r="CP126">
        <f t="shared" si="43"/>
        <v>0</v>
      </c>
      <c r="CQ126">
        <f t="shared" si="43"/>
        <v>0</v>
      </c>
      <c r="CR126">
        <f t="shared" si="43"/>
        <v>0</v>
      </c>
      <c r="CS126">
        <f t="shared" si="43"/>
        <v>0</v>
      </c>
      <c r="CT126">
        <f t="shared" si="43"/>
        <v>0</v>
      </c>
      <c r="CU126">
        <f t="shared" si="43"/>
        <v>0</v>
      </c>
      <c r="CV126">
        <f t="shared" si="43"/>
        <v>0</v>
      </c>
      <c r="CW126">
        <f t="shared" si="43"/>
        <v>0</v>
      </c>
      <c r="CX126">
        <f t="shared" si="43"/>
        <v>0</v>
      </c>
      <c r="CY126">
        <f t="shared" si="43"/>
        <v>0</v>
      </c>
      <c r="CZ126">
        <f t="shared" si="43"/>
        <v>0</v>
      </c>
      <c r="DA126">
        <f t="shared" si="43"/>
        <v>0</v>
      </c>
      <c r="DB126">
        <f t="shared" si="43"/>
        <v>0</v>
      </c>
      <c r="DC126">
        <f t="shared" si="43"/>
        <v>0</v>
      </c>
      <c r="DD126">
        <f t="shared" si="43"/>
        <v>0</v>
      </c>
      <c r="DE126">
        <f t="shared" si="43"/>
        <v>0</v>
      </c>
      <c r="DF126">
        <f t="shared" si="43"/>
        <v>0</v>
      </c>
      <c r="DG126">
        <f t="shared" si="43"/>
        <v>0</v>
      </c>
      <c r="DH126">
        <f t="shared" si="43"/>
        <v>0</v>
      </c>
      <c r="DI126">
        <f t="shared" si="43"/>
        <v>0</v>
      </c>
    </row>
    <row r="127" spans="2:113">
      <c r="D127">
        <v>7</v>
      </c>
      <c r="E127">
        <f t="shared" si="45"/>
        <v>0</v>
      </c>
      <c r="F127">
        <f t="shared" si="45"/>
        <v>0</v>
      </c>
      <c r="G127">
        <f t="shared" si="45"/>
        <v>0</v>
      </c>
      <c r="H127">
        <f t="shared" si="45"/>
        <v>0</v>
      </c>
      <c r="I127">
        <f t="shared" si="45"/>
        <v>0</v>
      </c>
      <c r="J127">
        <f t="shared" si="45"/>
        <v>0</v>
      </c>
      <c r="K127">
        <f t="shared" si="45"/>
        <v>0</v>
      </c>
      <c r="L127">
        <f t="shared" si="45"/>
        <v>0</v>
      </c>
      <c r="M127">
        <f t="shared" si="45"/>
        <v>0</v>
      </c>
      <c r="N127">
        <f t="shared" si="45"/>
        <v>0</v>
      </c>
      <c r="O127">
        <f t="shared" si="45"/>
        <v>0</v>
      </c>
      <c r="P127">
        <f t="shared" si="45"/>
        <v>0</v>
      </c>
      <c r="Q127">
        <f t="shared" si="45"/>
        <v>0</v>
      </c>
      <c r="R127">
        <f t="shared" si="45"/>
        <v>0</v>
      </c>
      <c r="S127">
        <f t="shared" si="45"/>
        <v>0</v>
      </c>
      <c r="T127">
        <f t="shared" si="45"/>
        <v>0</v>
      </c>
      <c r="U127">
        <f t="shared" si="45"/>
        <v>0</v>
      </c>
      <c r="V127">
        <f t="shared" si="45"/>
        <v>0</v>
      </c>
      <c r="W127">
        <f t="shared" si="45"/>
        <v>0</v>
      </c>
      <c r="X127">
        <f t="shared" si="45"/>
        <v>0</v>
      </c>
      <c r="Y127">
        <f t="shared" si="45"/>
        <v>0</v>
      </c>
      <c r="Z127">
        <f t="shared" si="45"/>
        <v>0</v>
      </c>
      <c r="AA127">
        <f t="shared" si="45"/>
        <v>0</v>
      </c>
      <c r="AB127">
        <f t="shared" si="45"/>
        <v>0</v>
      </c>
      <c r="AC127">
        <f t="shared" si="45"/>
        <v>0</v>
      </c>
      <c r="AD127">
        <f t="shared" si="45"/>
        <v>0</v>
      </c>
      <c r="AE127">
        <f t="shared" si="45"/>
        <v>0</v>
      </c>
      <c r="AF127">
        <f t="shared" si="45"/>
        <v>0</v>
      </c>
      <c r="AG127">
        <f t="shared" si="45"/>
        <v>0</v>
      </c>
      <c r="AH127">
        <f t="shared" si="45"/>
        <v>0</v>
      </c>
      <c r="AI127">
        <f t="shared" si="45"/>
        <v>0</v>
      </c>
      <c r="AJ127">
        <f t="shared" si="45"/>
        <v>0</v>
      </c>
      <c r="AK127">
        <f t="shared" si="45"/>
        <v>0</v>
      </c>
      <c r="AL127">
        <f t="shared" si="45"/>
        <v>0</v>
      </c>
      <c r="AM127">
        <f t="shared" si="45"/>
        <v>0</v>
      </c>
      <c r="AN127">
        <f t="shared" si="45"/>
        <v>0</v>
      </c>
      <c r="AO127">
        <f t="shared" si="45"/>
        <v>0</v>
      </c>
      <c r="AP127">
        <f t="shared" si="45"/>
        <v>0</v>
      </c>
      <c r="AQ127">
        <f t="shared" si="45"/>
        <v>0</v>
      </c>
      <c r="AR127">
        <f t="shared" si="45"/>
        <v>0</v>
      </c>
      <c r="AS127">
        <f t="shared" si="45"/>
        <v>0</v>
      </c>
      <c r="AT127">
        <f t="shared" si="45"/>
        <v>0</v>
      </c>
      <c r="AU127">
        <f t="shared" si="45"/>
        <v>0</v>
      </c>
      <c r="AV127">
        <f t="shared" si="45"/>
        <v>0</v>
      </c>
      <c r="AW127">
        <f t="shared" si="45"/>
        <v>0</v>
      </c>
      <c r="AX127">
        <f t="shared" si="45"/>
        <v>0</v>
      </c>
      <c r="AY127">
        <f t="shared" si="45"/>
        <v>0</v>
      </c>
      <c r="AZ127">
        <f t="shared" si="45"/>
        <v>0</v>
      </c>
      <c r="BA127">
        <f t="shared" si="45"/>
        <v>0</v>
      </c>
      <c r="BB127">
        <f t="shared" si="45"/>
        <v>0</v>
      </c>
      <c r="BC127">
        <f t="shared" si="45"/>
        <v>0</v>
      </c>
      <c r="BD127">
        <f t="shared" si="45"/>
        <v>0</v>
      </c>
      <c r="BE127">
        <f t="shared" si="45"/>
        <v>0</v>
      </c>
      <c r="BF127">
        <f t="shared" si="45"/>
        <v>0</v>
      </c>
      <c r="BG127">
        <f t="shared" si="45"/>
        <v>0</v>
      </c>
      <c r="BH127">
        <f t="shared" si="45"/>
        <v>0</v>
      </c>
      <c r="BI127">
        <f t="shared" si="45"/>
        <v>0</v>
      </c>
      <c r="BJ127">
        <f t="shared" si="45"/>
        <v>0</v>
      </c>
      <c r="BK127">
        <f t="shared" si="45"/>
        <v>0</v>
      </c>
      <c r="BL127">
        <f t="shared" si="45"/>
        <v>0</v>
      </c>
      <c r="BM127">
        <f t="shared" si="45"/>
        <v>0</v>
      </c>
      <c r="BN127">
        <f t="shared" si="45"/>
        <v>0</v>
      </c>
      <c r="BO127">
        <f t="shared" si="45"/>
        <v>0</v>
      </c>
      <c r="BP127">
        <f t="shared" si="45"/>
        <v>0</v>
      </c>
      <c r="BQ127">
        <f t="shared" si="44"/>
        <v>0</v>
      </c>
      <c r="BR127">
        <f t="shared" si="44"/>
        <v>0</v>
      </c>
      <c r="BS127">
        <f t="shared" si="44"/>
        <v>0</v>
      </c>
      <c r="BT127">
        <f t="shared" si="44"/>
        <v>0</v>
      </c>
      <c r="BU127">
        <f t="shared" si="44"/>
        <v>0</v>
      </c>
      <c r="BV127">
        <f t="shared" si="44"/>
        <v>0</v>
      </c>
      <c r="BW127">
        <f t="shared" si="44"/>
        <v>0</v>
      </c>
      <c r="BX127">
        <f t="shared" si="44"/>
        <v>0</v>
      </c>
      <c r="BY127">
        <f t="shared" si="44"/>
        <v>0</v>
      </c>
      <c r="BZ127">
        <f t="shared" si="44"/>
        <v>0</v>
      </c>
      <c r="CA127">
        <f t="shared" si="44"/>
        <v>0</v>
      </c>
      <c r="CB127">
        <f t="shared" si="44"/>
        <v>0</v>
      </c>
      <c r="CC127">
        <f t="shared" si="44"/>
        <v>0</v>
      </c>
      <c r="CD127">
        <f t="shared" si="44"/>
        <v>0</v>
      </c>
      <c r="CE127">
        <f t="shared" si="44"/>
        <v>0</v>
      </c>
      <c r="CF127">
        <f t="shared" si="44"/>
        <v>0</v>
      </c>
      <c r="CG127">
        <f t="shared" si="43"/>
        <v>0</v>
      </c>
      <c r="CH127">
        <f t="shared" si="43"/>
        <v>0</v>
      </c>
      <c r="CI127">
        <f t="shared" si="43"/>
        <v>0</v>
      </c>
      <c r="CJ127">
        <f t="shared" si="43"/>
        <v>0</v>
      </c>
      <c r="CK127">
        <f t="shared" si="43"/>
        <v>0</v>
      </c>
      <c r="CL127">
        <f t="shared" si="43"/>
        <v>0</v>
      </c>
      <c r="CM127">
        <f t="shared" si="43"/>
        <v>0</v>
      </c>
      <c r="CN127">
        <f t="shared" si="43"/>
        <v>0</v>
      </c>
      <c r="CO127">
        <f t="shared" si="43"/>
        <v>0</v>
      </c>
      <c r="CP127">
        <f t="shared" si="43"/>
        <v>0</v>
      </c>
      <c r="CQ127">
        <f t="shared" si="43"/>
        <v>0</v>
      </c>
      <c r="CR127">
        <f t="shared" si="43"/>
        <v>0</v>
      </c>
      <c r="CS127">
        <f t="shared" si="43"/>
        <v>0</v>
      </c>
      <c r="CT127">
        <f t="shared" si="43"/>
        <v>0</v>
      </c>
      <c r="CU127">
        <f t="shared" si="43"/>
        <v>0</v>
      </c>
      <c r="CV127">
        <f t="shared" si="43"/>
        <v>0</v>
      </c>
      <c r="CW127">
        <f t="shared" si="43"/>
        <v>0</v>
      </c>
      <c r="CX127">
        <f t="shared" si="43"/>
        <v>0</v>
      </c>
      <c r="CY127">
        <f t="shared" si="43"/>
        <v>0</v>
      </c>
      <c r="CZ127">
        <f t="shared" si="43"/>
        <v>0</v>
      </c>
      <c r="DA127">
        <f t="shared" si="43"/>
        <v>0</v>
      </c>
      <c r="DB127">
        <f t="shared" si="43"/>
        <v>0</v>
      </c>
      <c r="DC127">
        <f t="shared" si="43"/>
        <v>0</v>
      </c>
      <c r="DD127">
        <f t="shared" si="43"/>
        <v>0</v>
      </c>
      <c r="DE127">
        <f t="shared" si="43"/>
        <v>0</v>
      </c>
      <c r="DF127">
        <f t="shared" si="43"/>
        <v>0</v>
      </c>
      <c r="DG127">
        <f t="shared" si="43"/>
        <v>0</v>
      </c>
      <c r="DH127">
        <f t="shared" si="43"/>
        <v>0</v>
      </c>
      <c r="DI127">
        <f t="shared" si="43"/>
        <v>0</v>
      </c>
    </row>
    <row r="128" spans="2:113">
      <c r="D128">
        <v>8</v>
      </c>
      <c r="E128">
        <f t="shared" si="45"/>
        <v>0</v>
      </c>
      <c r="F128">
        <f t="shared" si="45"/>
        <v>0</v>
      </c>
      <c r="G128">
        <f t="shared" si="45"/>
        <v>0</v>
      </c>
      <c r="H128">
        <f t="shared" si="45"/>
        <v>0</v>
      </c>
      <c r="I128">
        <f t="shared" si="45"/>
        <v>0</v>
      </c>
      <c r="J128">
        <f t="shared" si="45"/>
        <v>0</v>
      </c>
      <c r="K128">
        <f t="shared" si="45"/>
        <v>0</v>
      </c>
      <c r="L128">
        <f t="shared" si="45"/>
        <v>0</v>
      </c>
      <c r="M128">
        <f t="shared" si="45"/>
        <v>0</v>
      </c>
      <c r="N128">
        <f t="shared" si="45"/>
        <v>0</v>
      </c>
      <c r="O128">
        <f t="shared" si="45"/>
        <v>0</v>
      </c>
      <c r="P128">
        <f t="shared" si="45"/>
        <v>0</v>
      </c>
      <c r="Q128">
        <f t="shared" si="45"/>
        <v>0</v>
      </c>
      <c r="R128">
        <f t="shared" si="45"/>
        <v>0</v>
      </c>
      <c r="S128">
        <f t="shared" si="45"/>
        <v>0</v>
      </c>
      <c r="T128">
        <f t="shared" si="45"/>
        <v>0</v>
      </c>
      <c r="U128">
        <f t="shared" si="45"/>
        <v>0</v>
      </c>
      <c r="V128">
        <f t="shared" si="45"/>
        <v>0</v>
      </c>
      <c r="W128">
        <f t="shared" si="45"/>
        <v>0</v>
      </c>
      <c r="X128">
        <f t="shared" si="45"/>
        <v>0</v>
      </c>
      <c r="Y128">
        <f t="shared" si="45"/>
        <v>0</v>
      </c>
      <c r="Z128">
        <f t="shared" si="45"/>
        <v>0</v>
      </c>
      <c r="AA128">
        <f t="shared" si="45"/>
        <v>0</v>
      </c>
      <c r="AB128">
        <f t="shared" si="45"/>
        <v>0</v>
      </c>
      <c r="AC128">
        <f t="shared" si="45"/>
        <v>0</v>
      </c>
      <c r="AD128">
        <f t="shared" si="45"/>
        <v>0</v>
      </c>
      <c r="AE128">
        <f t="shared" si="45"/>
        <v>0</v>
      </c>
      <c r="AF128">
        <f t="shared" si="45"/>
        <v>0</v>
      </c>
      <c r="AG128">
        <f t="shared" si="45"/>
        <v>0</v>
      </c>
      <c r="AH128">
        <f t="shared" si="45"/>
        <v>0</v>
      </c>
      <c r="AI128">
        <f t="shared" si="45"/>
        <v>0</v>
      </c>
      <c r="AJ128">
        <f t="shared" si="45"/>
        <v>0</v>
      </c>
      <c r="AK128">
        <f t="shared" si="45"/>
        <v>0</v>
      </c>
      <c r="AL128">
        <f t="shared" si="45"/>
        <v>0</v>
      </c>
      <c r="AM128">
        <f t="shared" si="45"/>
        <v>0</v>
      </c>
      <c r="AN128">
        <f t="shared" si="45"/>
        <v>0</v>
      </c>
      <c r="AO128">
        <f t="shared" si="45"/>
        <v>0</v>
      </c>
      <c r="AP128">
        <f t="shared" si="45"/>
        <v>0</v>
      </c>
      <c r="AQ128">
        <f t="shared" si="45"/>
        <v>0</v>
      </c>
      <c r="AR128">
        <f t="shared" si="45"/>
        <v>0</v>
      </c>
      <c r="AS128">
        <f t="shared" si="45"/>
        <v>0</v>
      </c>
      <c r="AT128">
        <f t="shared" si="45"/>
        <v>0</v>
      </c>
      <c r="AU128">
        <f t="shared" si="45"/>
        <v>0</v>
      </c>
      <c r="AV128">
        <f t="shared" si="45"/>
        <v>0</v>
      </c>
      <c r="AW128">
        <f t="shared" si="45"/>
        <v>0</v>
      </c>
      <c r="AX128">
        <f t="shared" si="45"/>
        <v>0</v>
      </c>
      <c r="AY128">
        <f t="shared" si="45"/>
        <v>0</v>
      </c>
      <c r="AZ128">
        <f t="shared" si="45"/>
        <v>0</v>
      </c>
      <c r="BA128">
        <f t="shared" si="45"/>
        <v>0</v>
      </c>
      <c r="BB128">
        <f t="shared" si="45"/>
        <v>0</v>
      </c>
      <c r="BC128">
        <f t="shared" si="45"/>
        <v>0</v>
      </c>
      <c r="BD128">
        <f t="shared" si="45"/>
        <v>0</v>
      </c>
      <c r="BE128">
        <f t="shared" si="45"/>
        <v>0</v>
      </c>
      <c r="BF128">
        <f t="shared" si="45"/>
        <v>0</v>
      </c>
      <c r="BG128">
        <f t="shared" si="45"/>
        <v>0</v>
      </c>
      <c r="BH128">
        <f t="shared" si="45"/>
        <v>0</v>
      </c>
      <c r="BI128">
        <f t="shared" si="45"/>
        <v>0</v>
      </c>
      <c r="BJ128">
        <f t="shared" si="45"/>
        <v>0</v>
      </c>
      <c r="BK128">
        <f t="shared" si="45"/>
        <v>0</v>
      </c>
      <c r="BL128">
        <f t="shared" si="45"/>
        <v>0</v>
      </c>
      <c r="BM128">
        <f t="shared" si="45"/>
        <v>0</v>
      </c>
      <c r="BN128">
        <f t="shared" si="45"/>
        <v>0</v>
      </c>
      <c r="BO128">
        <f t="shared" si="45"/>
        <v>0</v>
      </c>
      <c r="BP128">
        <f t="shared" ref="BP128:DA136" si="46">IF(COUNTIF($B$51:$B$66,BP58)=1,1,0)</f>
        <v>0</v>
      </c>
      <c r="BQ128">
        <f t="shared" si="46"/>
        <v>0</v>
      </c>
      <c r="BR128">
        <f t="shared" si="46"/>
        <v>0</v>
      </c>
      <c r="BS128">
        <f t="shared" si="46"/>
        <v>0</v>
      </c>
      <c r="BT128">
        <f t="shared" si="46"/>
        <v>0</v>
      </c>
      <c r="BU128">
        <f t="shared" si="46"/>
        <v>0</v>
      </c>
      <c r="BV128">
        <f t="shared" si="46"/>
        <v>0</v>
      </c>
      <c r="BW128">
        <f t="shared" si="46"/>
        <v>0</v>
      </c>
      <c r="BX128">
        <f t="shared" si="46"/>
        <v>0</v>
      </c>
      <c r="BY128">
        <f t="shared" si="46"/>
        <v>0</v>
      </c>
      <c r="BZ128">
        <f t="shared" si="46"/>
        <v>0</v>
      </c>
      <c r="CA128">
        <f t="shared" si="46"/>
        <v>0</v>
      </c>
      <c r="CB128">
        <f t="shared" si="46"/>
        <v>0</v>
      </c>
      <c r="CC128">
        <f t="shared" si="46"/>
        <v>0</v>
      </c>
      <c r="CD128">
        <f t="shared" si="46"/>
        <v>0</v>
      </c>
      <c r="CE128">
        <f t="shared" si="46"/>
        <v>0</v>
      </c>
      <c r="CF128">
        <f t="shared" si="46"/>
        <v>0</v>
      </c>
      <c r="CG128">
        <f t="shared" si="43"/>
        <v>0</v>
      </c>
      <c r="CH128">
        <f t="shared" si="43"/>
        <v>0</v>
      </c>
      <c r="CI128">
        <f t="shared" si="43"/>
        <v>0</v>
      </c>
      <c r="CJ128">
        <f t="shared" si="43"/>
        <v>0</v>
      </c>
      <c r="CK128">
        <f t="shared" ref="CK128:DI136" si="47">IF(COUNTIF($B$51:$B$66,CK58)=1,1,0)</f>
        <v>0</v>
      </c>
      <c r="CL128">
        <f t="shared" si="47"/>
        <v>0</v>
      </c>
      <c r="CM128">
        <f t="shared" si="47"/>
        <v>0</v>
      </c>
      <c r="CN128">
        <f t="shared" si="47"/>
        <v>0</v>
      </c>
      <c r="CO128">
        <f t="shared" si="47"/>
        <v>0</v>
      </c>
      <c r="CP128">
        <f t="shared" si="47"/>
        <v>0</v>
      </c>
      <c r="CQ128">
        <f t="shared" si="47"/>
        <v>0</v>
      </c>
      <c r="CR128">
        <f t="shared" si="47"/>
        <v>0</v>
      </c>
      <c r="CS128">
        <f t="shared" si="47"/>
        <v>0</v>
      </c>
      <c r="CT128">
        <f t="shared" si="47"/>
        <v>0</v>
      </c>
      <c r="CU128">
        <f t="shared" si="47"/>
        <v>0</v>
      </c>
      <c r="CV128">
        <f t="shared" si="47"/>
        <v>0</v>
      </c>
      <c r="CW128">
        <f t="shared" si="47"/>
        <v>0</v>
      </c>
      <c r="CX128">
        <f t="shared" si="47"/>
        <v>0</v>
      </c>
      <c r="CY128">
        <f t="shared" si="47"/>
        <v>0</v>
      </c>
      <c r="CZ128">
        <f t="shared" si="47"/>
        <v>0</v>
      </c>
      <c r="DA128">
        <f t="shared" si="47"/>
        <v>0</v>
      </c>
      <c r="DB128">
        <f t="shared" si="47"/>
        <v>0</v>
      </c>
      <c r="DC128">
        <f t="shared" si="47"/>
        <v>0</v>
      </c>
      <c r="DD128">
        <f t="shared" si="47"/>
        <v>0</v>
      </c>
      <c r="DE128">
        <f t="shared" si="47"/>
        <v>0</v>
      </c>
      <c r="DF128">
        <f t="shared" si="47"/>
        <v>0</v>
      </c>
      <c r="DG128">
        <f t="shared" si="47"/>
        <v>0</v>
      </c>
      <c r="DH128">
        <f t="shared" si="47"/>
        <v>0</v>
      </c>
      <c r="DI128">
        <f t="shared" si="47"/>
        <v>0</v>
      </c>
    </row>
    <row r="129" spans="2:113">
      <c r="D129">
        <v>9</v>
      </c>
      <c r="E129">
        <f t="shared" ref="E129:BP132" si="48">IF(COUNTIF($B$51:$B$66,E59)=1,1,0)</f>
        <v>0</v>
      </c>
      <c r="F129">
        <f t="shared" si="48"/>
        <v>0</v>
      </c>
      <c r="G129">
        <f t="shared" si="48"/>
        <v>0</v>
      </c>
      <c r="H129">
        <f t="shared" si="48"/>
        <v>0</v>
      </c>
      <c r="I129">
        <f t="shared" si="48"/>
        <v>0</v>
      </c>
      <c r="J129">
        <f t="shared" si="48"/>
        <v>0</v>
      </c>
      <c r="K129">
        <f t="shared" si="48"/>
        <v>0</v>
      </c>
      <c r="L129">
        <f t="shared" si="48"/>
        <v>0</v>
      </c>
      <c r="M129">
        <f t="shared" si="48"/>
        <v>0</v>
      </c>
      <c r="N129">
        <f t="shared" si="48"/>
        <v>0</v>
      </c>
      <c r="O129">
        <f t="shared" si="48"/>
        <v>0</v>
      </c>
      <c r="P129">
        <f t="shared" si="48"/>
        <v>0</v>
      </c>
      <c r="Q129">
        <f t="shared" si="48"/>
        <v>0</v>
      </c>
      <c r="R129">
        <f t="shared" si="48"/>
        <v>0</v>
      </c>
      <c r="S129">
        <f t="shared" si="48"/>
        <v>0</v>
      </c>
      <c r="T129">
        <f t="shared" si="48"/>
        <v>0</v>
      </c>
      <c r="U129">
        <f t="shared" si="48"/>
        <v>0</v>
      </c>
      <c r="V129">
        <f t="shared" si="48"/>
        <v>0</v>
      </c>
      <c r="W129">
        <f t="shared" si="48"/>
        <v>0</v>
      </c>
      <c r="X129">
        <f t="shared" si="48"/>
        <v>0</v>
      </c>
      <c r="Y129">
        <f t="shared" si="48"/>
        <v>0</v>
      </c>
      <c r="Z129">
        <f t="shared" si="48"/>
        <v>0</v>
      </c>
      <c r="AA129">
        <f t="shared" si="48"/>
        <v>0</v>
      </c>
      <c r="AB129">
        <f t="shared" si="48"/>
        <v>0</v>
      </c>
      <c r="AC129">
        <f t="shared" si="48"/>
        <v>0</v>
      </c>
      <c r="AD129">
        <f t="shared" si="48"/>
        <v>0</v>
      </c>
      <c r="AE129">
        <f t="shared" si="48"/>
        <v>0</v>
      </c>
      <c r="AF129">
        <f t="shared" si="48"/>
        <v>0</v>
      </c>
      <c r="AG129">
        <f t="shared" si="48"/>
        <v>0</v>
      </c>
      <c r="AH129">
        <f t="shared" si="48"/>
        <v>0</v>
      </c>
      <c r="AI129">
        <f t="shared" si="48"/>
        <v>0</v>
      </c>
      <c r="AJ129">
        <f t="shared" si="48"/>
        <v>0</v>
      </c>
      <c r="AK129">
        <f t="shared" si="48"/>
        <v>0</v>
      </c>
      <c r="AL129">
        <f t="shared" si="48"/>
        <v>0</v>
      </c>
      <c r="AM129">
        <f t="shared" si="48"/>
        <v>0</v>
      </c>
      <c r="AN129">
        <f t="shared" si="48"/>
        <v>0</v>
      </c>
      <c r="AO129">
        <f t="shared" si="48"/>
        <v>0</v>
      </c>
      <c r="AP129">
        <f t="shared" si="48"/>
        <v>0</v>
      </c>
      <c r="AQ129">
        <f t="shared" si="48"/>
        <v>0</v>
      </c>
      <c r="AR129">
        <f t="shared" si="48"/>
        <v>0</v>
      </c>
      <c r="AS129">
        <f t="shared" si="48"/>
        <v>0</v>
      </c>
      <c r="AT129">
        <f t="shared" si="48"/>
        <v>0</v>
      </c>
      <c r="AU129">
        <f t="shared" si="48"/>
        <v>0</v>
      </c>
      <c r="AV129">
        <f t="shared" si="48"/>
        <v>0</v>
      </c>
      <c r="AW129">
        <f t="shared" si="48"/>
        <v>0</v>
      </c>
      <c r="AX129">
        <f t="shared" si="48"/>
        <v>0</v>
      </c>
      <c r="AY129">
        <f t="shared" si="48"/>
        <v>0</v>
      </c>
      <c r="AZ129">
        <f t="shared" si="48"/>
        <v>0</v>
      </c>
      <c r="BA129">
        <f t="shared" si="48"/>
        <v>0</v>
      </c>
      <c r="BB129">
        <f t="shared" si="48"/>
        <v>0</v>
      </c>
      <c r="BC129">
        <f t="shared" si="48"/>
        <v>0</v>
      </c>
      <c r="BD129">
        <f t="shared" si="48"/>
        <v>0</v>
      </c>
      <c r="BE129">
        <f t="shared" si="48"/>
        <v>0</v>
      </c>
      <c r="BF129">
        <f t="shared" si="48"/>
        <v>0</v>
      </c>
      <c r="BG129">
        <f t="shared" si="48"/>
        <v>0</v>
      </c>
      <c r="BH129">
        <f t="shared" si="48"/>
        <v>0</v>
      </c>
      <c r="BI129">
        <f t="shared" si="48"/>
        <v>0</v>
      </c>
      <c r="BJ129">
        <f t="shared" si="48"/>
        <v>0</v>
      </c>
      <c r="BK129">
        <f t="shared" si="48"/>
        <v>0</v>
      </c>
      <c r="BL129">
        <f t="shared" si="48"/>
        <v>0</v>
      </c>
      <c r="BM129">
        <f t="shared" si="48"/>
        <v>0</v>
      </c>
      <c r="BN129">
        <f t="shared" si="48"/>
        <v>0</v>
      </c>
      <c r="BO129">
        <f t="shared" si="48"/>
        <v>0</v>
      </c>
      <c r="BP129">
        <f t="shared" si="48"/>
        <v>0</v>
      </c>
      <c r="BQ129">
        <f t="shared" si="46"/>
        <v>0</v>
      </c>
      <c r="BR129">
        <f t="shared" si="46"/>
        <v>0</v>
      </c>
      <c r="BS129">
        <f t="shared" si="46"/>
        <v>0</v>
      </c>
      <c r="BT129">
        <f t="shared" si="46"/>
        <v>0</v>
      </c>
      <c r="BU129">
        <f t="shared" si="46"/>
        <v>0</v>
      </c>
      <c r="BV129">
        <f t="shared" si="46"/>
        <v>0</v>
      </c>
      <c r="BW129">
        <f t="shared" si="46"/>
        <v>0</v>
      </c>
      <c r="BX129">
        <f t="shared" si="46"/>
        <v>0</v>
      </c>
      <c r="BY129">
        <f t="shared" si="46"/>
        <v>0</v>
      </c>
      <c r="BZ129">
        <f t="shared" si="46"/>
        <v>0</v>
      </c>
      <c r="CA129">
        <f t="shared" si="46"/>
        <v>0</v>
      </c>
      <c r="CB129">
        <f t="shared" si="46"/>
        <v>0</v>
      </c>
      <c r="CC129">
        <f t="shared" si="46"/>
        <v>0</v>
      </c>
      <c r="CD129">
        <f t="shared" si="46"/>
        <v>0</v>
      </c>
      <c r="CE129">
        <f t="shared" si="46"/>
        <v>0</v>
      </c>
      <c r="CF129">
        <f t="shared" si="46"/>
        <v>0</v>
      </c>
      <c r="CG129">
        <f t="shared" si="46"/>
        <v>0</v>
      </c>
      <c r="CH129">
        <f t="shared" si="46"/>
        <v>0</v>
      </c>
      <c r="CI129">
        <f t="shared" si="46"/>
        <v>0</v>
      </c>
      <c r="CJ129">
        <f t="shared" si="46"/>
        <v>0</v>
      </c>
      <c r="CK129">
        <f t="shared" si="46"/>
        <v>0</v>
      </c>
      <c r="CL129">
        <f t="shared" si="46"/>
        <v>0</v>
      </c>
      <c r="CM129">
        <f t="shared" si="46"/>
        <v>0</v>
      </c>
      <c r="CN129">
        <f t="shared" si="46"/>
        <v>0</v>
      </c>
      <c r="CO129">
        <f t="shared" si="46"/>
        <v>0</v>
      </c>
      <c r="CP129">
        <f t="shared" si="46"/>
        <v>0</v>
      </c>
      <c r="CQ129">
        <f t="shared" si="46"/>
        <v>0</v>
      </c>
      <c r="CR129">
        <f t="shared" si="46"/>
        <v>0</v>
      </c>
      <c r="CS129">
        <f t="shared" si="46"/>
        <v>0</v>
      </c>
      <c r="CT129">
        <f t="shared" si="46"/>
        <v>0</v>
      </c>
      <c r="CU129">
        <f t="shared" si="46"/>
        <v>0</v>
      </c>
      <c r="CV129">
        <f t="shared" si="46"/>
        <v>0</v>
      </c>
      <c r="CW129">
        <f t="shared" si="46"/>
        <v>0</v>
      </c>
      <c r="CX129">
        <f t="shared" si="46"/>
        <v>0</v>
      </c>
      <c r="CY129">
        <f t="shared" si="46"/>
        <v>0</v>
      </c>
      <c r="CZ129">
        <f t="shared" si="46"/>
        <v>0</v>
      </c>
      <c r="DA129">
        <f t="shared" si="46"/>
        <v>0</v>
      </c>
      <c r="DB129">
        <f t="shared" si="47"/>
        <v>0</v>
      </c>
      <c r="DC129">
        <f t="shared" si="47"/>
        <v>0</v>
      </c>
      <c r="DD129">
        <f t="shared" si="47"/>
        <v>0</v>
      </c>
      <c r="DE129">
        <f t="shared" si="47"/>
        <v>0</v>
      </c>
      <c r="DF129">
        <f t="shared" si="47"/>
        <v>0</v>
      </c>
      <c r="DG129">
        <f t="shared" si="47"/>
        <v>0</v>
      </c>
      <c r="DH129">
        <f t="shared" si="47"/>
        <v>0</v>
      </c>
      <c r="DI129">
        <f t="shared" si="47"/>
        <v>0</v>
      </c>
    </row>
    <row r="130" spans="2:113">
      <c r="D130">
        <v>10</v>
      </c>
      <c r="E130">
        <f t="shared" si="48"/>
        <v>0</v>
      </c>
      <c r="F130">
        <f t="shared" si="48"/>
        <v>0</v>
      </c>
      <c r="G130">
        <f t="shared" si="48"/>
        <v>0</v>
      </c>
      <c r="H130">
        <f t="shared" si="48"/>
        <v>0</v>
      </c>
      <c r="I130">
        <f t="shared" si="48"/>
        <v>0</v>
      </c>
      <c r="J130">
        <f t="shared" si="48"/>
        <v>0</v>
      </c>
      <c r="K130">
        <f t="shared" si="48"/>
        <v>0</v>
      </c>
      <c r="L130">
        <f t="shared" si="48"/>
        <v>0</v>
      </c>
      <c r="M130">
        <f t="shared" si="48"/>
        <v>0</v>
      </c>
      <c r="N130">
        <f t="shared" si="48"/>
        <v>0</v>
      </c>
      <c r="O130">
        <f t="shared" si="48"/>
        <v>0</v>
      </c>
      <c r="P130">
        <f t="shared" si="48"/>
        <v>0</v>
      </c>
      <c r="Q130">
        <f t="shared" si="48"/>
        <v>0</v>
      </c>
      <c r="R130">
        <f t="shared" si="48"/>
        <v>0</v>
      </c>
      <c r="S130">
        <f t="shared" si="48"/>
        <v>0</v>
      </c>
      <c r="T130">
        <f t="shared" si="48"/>
        <v>0</v>
      </c>
      <c r="U130">
        <f t="shared" si="48"/>
        <v>0</v>
      </c>
      <c r="V130">
        <f t="shared" si="48"/>
        <v>0</v>
      </c>
      <c r="W130">
        <f t="shared" si="48"/>
        <v>0</v>
      </c>
      <c r="X130">
        <f t="shared" si="48"/>
        <v>0</v>
      </c>
      <c r="Y130">
        <f t="shared" si="48"/>
        <v>0</v>
      </c>
      <c r="Z130">
        <f t="shared" si="48"/>
        <v>0</v>
      </c>
      <c r="AA130">
        <f t="shared" si="48"/>
        <v>0</v>
      </c>
      <c r="AB130">
        <f t="shared" si="48"/>
        <v>0</v>
      </c>
      <c r="AC130">
        <f t="shared" si="48"/>
        <v>0</v>
      </c>
      <c r="AD130">
        <f t="shared" si="48"/>
        <v>0</v>
      </c>
      <c r="AE130">
        <f t="shared" si="48"/>
        <v>0</v>
      </c>
      <c r="AF130">
        <f t="shared" si="48"/>
        <v>0</v>
      </c>
      <c r="AG130">
        <f t="shared" si="48"/>
        <v>0</v>
      </c>
      <c r="AH130">
        <f t="shared" si="48"/>
        <v>0</v>
      </c>
      <c r="AI130">
        <f t="shared" si="48"/>
        <v>0</v>
      </c>
      <c r="AJ130">
        <f t="shared" si="48"/>
        <v>0</v>
      </c>
      <c r="AK130">
        <f t="shared" si="48"/>
        <v>0</v>
      </c>
      <c r="AL130">
        <f t="shared" si="48"/>
        <v>0</v>
      </c>
      <c r="AM130">
        <f t="shared" si="48"/>
        <v>0</v>
      </c>
      <c r="AN130">
        <f t="shared" si="48"/>
        <v>0</v>
      </c>
      <c r="AO130">
        <f t="shared" si="48"/>
        <v>0</v>
      </c>
      <c r="AP130">
        <f t="shared" si="48"/>
        <v>0</v>
      </c>
      <c r="AQ130">
        <f t="shared" si="48"/>
        <v>0</v>
      </c>
      <c r="AR130">
        <f t="shared" si="48"/>
        <v>0</v>
      </c>
      <c r="AS130">
        <f t="shared" si="48"/>
        <v>0</v>
      </c>
      <c r="AT130">
        <f t="shared" si="48"/>
        <v>0</v>
      </c>
      <c r="AU130">
        <f t="shared" si="48"/>
        <v>0</v>
      </c>
      <c r="AV130">
        <f t="shared" si="48"/>
        <v>0</v>
      </c>
      <c r="AW130">
        <f t="shared" si="48"/>
        <v>0</v>
      </c>
      <c r="AX130">
        <f t="shared" si="48"/>
        <v>0</v>
      </c>
      <c r="AY130">
        <f t="shared" si="48"/>
        <v>0</v>
      </c>
      <c r="AZ130">
        <f t="shared" si="48"/>
        <v>0</v>
      </c>
      <c r="BA130">
        <f t="shared" si="48"/>
        <v>0</v>
      </c>
      <c r="BB130">
        <f t="shared" si="48"/>
        <v>0</v>
      </c>
      <c r="BC130">
        <f t="shared" si="48"/>
        <v>0</v>
      </c>
      <c r="BD130">
        <f t="shared" si="48"/>
        <v>0</v>
      </c>
      <c r="BE130">
        <f t="shared" si="48"/>
        <v>0</v>
      </c>
      <c r="BF130">
        <f t="shared" si="48"/>
        <v>0</v>
      </c>
      <c r="BG130">
        <f t="shared" si="48"/>
        <v>0</v>
      </c>
      <c r="BH130">
        <f t="shared" si="48"/>
        <v>0</v>
      </c>
      <c r="BI130">
        <f t="shared" si="48"/>
        <v>0</v>
      </c>
      <c r="BJ130">
        <f t="shared" si="48"/>
        <v>0</v>
      </c>
      <c r="BK130">
        <f t="shared" si="48"/>
        <v>0</v>
      </c>
      <c r="BL130">
        <f t="shared" si="48"/>
        <v>0</v>
      </c>
      <c r="BM130">
        <f t="shared" si="48"/>
        <v>0</v>
      </c>
      <c r="BN130">
        <f t="shared" si="48"/>
        <v>0</v>
      </c>
      <c r="BO130">
        <f t="shared" si="48"/>
        <v>0</v>
      </c>
      <c r="BP130">
        <f t="shared" si="48"/>
        <v>0</v>
      </c>
      <c r="BQ130">
        <f t="shared" si="46"/>
        <v>0</v>
      </c>
      <c r="BR130">
        <f t="shared" si="46"/>
        <v>0</v>
      </c>
      <c r="BS130">
        <f t="shared" si="46"/>
        <v>0</v>
      </c>
      <c r="BT130">
        <f t="shared" si="46"/>
        <v>0</v>
      </c>
      <c r="BU130">
        <f t="shared" si="46"/>
        <v>0</v>
      </c>
      <c r="BV130">
        <f t="shared" si="46"/>
        <v>0</v>
      </c>
      <c r="BW130">
        <f t="shared" si="46"/>
        <v>0</v>
      </c>
      <c r="BX130">
        <f t="shared" si="46"/>
        <v>0</v>
      </c>
      <c r="BY130">
        <f t="shared" si="46"/>
        <v>0</v>
      </c>
      <c r="BZ130">
        <f t="shared" si="46"/>
        <v>0</v>
      </c>
      <c r="CA130">
        <f t="shared" si="46"/>
        <v>0</v>
      </c>
      <c r="CB130">
        <f t="shared" si="46"/>
        <v>0</v>
      </c>
      <c r="CC130">
        <f t="shared" si="46"/>
        <v>0</v>
      </c>
      <c r="CD130">
        <f t="shared" si="46"/>
        <v>0</v>
      </c>
      <c r="CE130">
        <f t="shared" si="46"/>
        <v>0</v>
      </c>
      <c r="CF130">
        <f t="shared" si="46"/>
        <v>0</v>
      </c>
      <c r="CG130">
        <f t="shared" si="46"/>
        <v>0</v>
      </c>
      <c r="CH130">
        <f t="shared" si="46"/>
        <v>0</v>
      </c>
      <c r="CI130">
        <f t="shared" si="46"/>
        <v>0</v>
      </c>
      <c r="CJ130">
        <f t="shared" si="46"/>
        <v>0</v>
      </c>
      <c r="CK130">
        <f t="shared" si="46"/>
        <v>0</v>
      </c>
      <c r="CL130">
        <f t="shared" si="46"/>
        <v>0</v>
      </c>
      <c r="CM130">
        <f t="shared" si="46"/>
        <v>0</v>
      </c>
      <c r="CN130">
        <f t="shared" si="46"/>
        <v>0</v>
      </c>
      <c r="CO130">
        <f t="shared" si="46"/>
        <v>0</v>
      </c>
      <c r="CP130">
        <f t="shared" si="46"/>
        <v>0</v>
      </c>
      <c r="CQ130">
        <f t="shared" si="46"/>
        <v>0</v>
      </c>
      <c r="CR130">
        <f t="shared" si="46"/>
        <v>0</v>
      </c>
      <c r="CS130">
        <f t="shared" si="46"/>
        <v>0</v>
      </c>
      <c r="CT130">
        <f t="shared" si="46"/>
        <v>0</v>
      </c>
      <c r="CU130">
        <f t="shared" si="46"/>
        <v>0</v>
      </c>
      <c r="CV130">
        <f t="shared" si="46"/>
        <v>0</v>
      </c>
      <c r="CW130">
        <f t="shared" si="46"/>
        <v>0</v>
      </c>
      <c r="CX130">
        <f t="shared" si="46"/>
        <v>0</v>
      </c>
      <c r="CY130">
        <f t="shared" si="46"/>
        <v>0</v>
      </c>
      <c r="CZ130">
        <f t="shared" si="46"/>
        <v>0</v>
      </c>
      <c r="DA130">
        <f t="shared" si="46"/>
        <v>0</v>
      </c>
      <c r="DB130">
        <f t="shared" si="47"/>
        <v>0</v>
      </c>
      <c r="DC130">
        <f t="shared" si="47"/>
        <v>0</v>
      </c>
      <c r="DD130">
        <f t="shared" si="47"/>
        <v>0</v>
      </c>
      <c r="DE130">
        <f t="shared" si="47"/>
        <v>0</v>
      </c>
      <c r="DF130">
        <f t="shared" si="47"/>
        <v>0</v>
      </c>
      <c r="DG130">
        <f t="shared" si="47"/>
        <v>0</v>
      </c>
      <c r="DH130">
        <f t="shared" si="47"/>
        <v>0</v>
      </c>
      <c r="DI130">
        <f t="shared" si="47"/>
        <v>0</v>
      </c>
    </row>
    <row r="131" spans="2:113">
      <c r="D131">
        <v>11</v>
      </c>
      <c r="E131">
        <f t="shared" si="48"/>
        <v>0</v>
      </c>
      <c r="F131">
        <f t="shared" si="48"/>
        <v>0</v>
      </c>
      <c r="G131">
        <f t="shared" si="48"/>
        <v>0</v>
      </c>
      <c r="H131">
        <f t="shared" si="48"/>
        <v>0</v>
      </c>
      <c r="I131">
        <f t="shared" si="48"/>
        <v>0</v>
      </c>
      <c r="J131">
        <f t="shared" si="48"/>
        <v>0</v>
      </c>
      <c r="K131">
        <f t="shared" si="48"/>
        <v>0</v>
      </c>
      <c r="L131">
        <f t="shared" si="48"/>
        <v>0</v>
      </c>
      <c r="M131">
        <f t="shared" si="48"/>
        <v>0</v>
      </c>
      <c r="N131">
        <f t="shared" si="48"/>
        <v>0</v>
      </c>
      <c r="O131">
        <f t="shared" si="48"/>
        <v>0</v>
      </c>
      <c r="P131">
        <f t="shared" si="48"/>
        <v>0</v>
      </c>
      <c r="Q131">
        <f t="shared" si="48"/>
        <v>0</v>
      </c>
      <c r="R131">
        <f t="shared" si="48"/>
        <v>0</v>
      </c>
      <c r="S131">
        <f t="shared" si="48"/>
        <v>0</v>
      </c>
      <c r="T131">
        <f t="shared" si="48"/>
        <v>0</v>
      </c>
      <c r="U131">
        <f t="shared" si="48"/>
        <v>0</v>
      </c>
      <c r="V131">
        <f t="shared" si="48"/>
        <v>0</v>
      </c>
      <c r="W131">
        <f t="shared" si="48"/>
        <v>0</v>
      </c>
      <c r="X131">
        <f t="shared" si="48"/>
        <v>0</v>
      </c>
      <c r="Y131">
        <f t="shared" si="48"/>
        <v>0</v>
      </c>
      <c r="Z131">
        <f t="shared" si="48"/>
        <v>0</v>
      </c>
      <c r="AA131">
        <f t="shared" si="48"/>
        <v>0</v>
      </c>
      <c r="AB131">
        <f t="shared" si="48"/>
        <v>0</v>
      </c>
      <c r="AC131">
        <f t="shared" si="48"/>
        <v>0</v>
      </c>
      <c r="AD131">
        <f t="shared" si="48"/>
        <v>0</v>
      </c>
      <c r="AE131">
        <f t="shared" si="48"/>
        <v>0</v>
      </c>
      <c r="AF131">
        <f t="shared" si="48"/>
        <v>0</v>
      </c>
      <c r="AG131">
        <f t="shared" si="48"/>
        <v>0</v>
      </c>
      <c r="AH131">
        <f t="shared" si="48"/>
        <v>0</v>
      </c>
      <c r="AI131">
        <f t="shared" si="48"/>
        <v>0</v>
      </c>
      <c r="AJ131">
        <f t="shared" si="48"/>
        <v>0</v>
      </c>
      <c r="AK131">
        <f t="shared" si="48"/>
        <v>0</v>
      </c>
      <c r="AL131">
        <f t="shared" si="48"/>
        <v>0</v>
      </c>
      <c r="AM131">
        <f t="shared" si="48"/>
        <v>0</v>
      </c>
      <c r="AN131">
        <f t="shared" si="48"/>
        <v>0</v>
      </c>
      <c r="AO131">
        <f t="shared" si="48"/>
        <v>0</v>
      </c>
      <c r="AP131">
        <f t="shared" si="48"/>
        <v>0</v>
      </c>
      <c r="AQ131">
        <f t="shared" si="48"/>
        <v>0</v>
      </c>
      <c r="AR131">
        <f t="shared" si="48"/>
        <v>0</v>
      </c>
      <c r="AS131">
        <f t="shared" si="48"/>
        <v>0</v>
      </c>
      <c r="AT131">
        <f t="shared" si="48"/>
        <v>0</v>
      </c>
      <c r="AU131">
        <f t="shared" si="48"/>
        <v>0</v>
      </c>
      <c r="AV131">
        <f t="shared" si="48"/>
        <v>0</v>
      </c>
      <c r="AW131">
        <f t="shared" si="48"/>
        <v>0</v>
      </c>
      <c r="AX131">
        <f t="shared" si="48"/>
        <v>0</v>
      </c>
      <c r="AY131">
        <f t="shared" si="48"/>
        <v>0</v>
      </c>
      <c r="AZ131">
        <f t="shared" si="48"/>
        <v>0</v>
      </c>
      <c r="BA131">
        <f t="shared" si="48"/>
        <v>0</v>
      </c>
      <c r="BB131">
        <f t="shared" si="48"/>
        <v>0</v>
      </c>
      <c r="BC131">
        <f t="shared" si="48"/>
        <v>0</v>
      </c>
      <c r="BD131">
        <f t="shared" si="48"/>
        <v>0</v>
      </c>
      <c r="BE131">
        <f t="shared" si="48"/>
        <v>0</v>
      </c>
      <c r="BF131">
        <f t="shared" si="48"/>
        <v>0</v>
      </c>
      <c r="BG131">
        <f t="shared" si="48"/>
        <v>0</v>
      </c>
      <c r="BH131">
        <f t="shared" si="48"/>
        <v>0</v>
      </c>
      <c r="BI131">
        <f t="shared" si="48"/>
        <v>0</v>
      </c>
      <c r="BJ131">
        <f t="shared" si="48"/>
        <v>0</v>
      </c>
      <c r="BK131">
        <f t="shared" si="48"/>
        <v>0</v>
      </c>
      <c r="BL131">
        <f t="shared" si="48"/>
        <v>0</v>
      </c>
      <c r="BM131">
        <f t="shared" si="48"/>
        <v>0</v>
      </c>
      <c r="BN131">
        <f t="shared" si="48"/>
        <v>0</v>
      </c>
      <c r="BO131">
        <f t="shared" si="48"/>
        <v>0</v>
      </c>
      <c r="BP131">
        <f t="shared" si="48"/>
        <v>0</v>
      </c>
      <c r="BQ131">
        <f t="shared" si="46"/>
        <v>0</v>
      </c>
      <c r="BR131">
        <f t="shared" si="46"/>
        <v>0</v>
      </c>
      <c r="BS131">
        <f t="shared" si="46"/>
        <v>0</v>
      </c>
      <c r="BT131">
        <f t="shared" si="46"/>
        <v>0</v>
      </c>
      <c r="BU131">
        <f t="shared" si="46"/>
        <v>0</v>
      </c>
      <c r="BV131">
        <f t="shared" si="46"/>
        <v>0</v>
      </c>
      <c r="BW131">
        <f t="shared" si="46"/>
        <v>0</v>
      </c>
      <c r="BX131">
        <f t="shared" si="46"/>
        <v>0</v>
      </c>
      <c r="BY131">
        <f t="shared" si="46"/>
        <v>0</v>
      </c>
      <c r="BZ131">
        <f t="shared" si="46"/>
        <v>0</v>
      </c>
      <c r="CA131">
        <f t="shared" si="46"/>
        <v>0</v>
      </c>
      <c r="CB131">
        <f t="shared" si="46"/>
        <v>0</v>
      </c>
      <c r="CC131">
        <f t="shared" si="46"/>
        <v>0</v>
      </c>
      <c r="CD131">
        <f t="shared" si="46"/>
        <v>0</v>
      </c>
      <c r="CE131">
        <f t="shared" si="46"/>
        <v>0</v>
      </c>
      <c r="CF131">
        <f t="shared" si="46"/>
        <v>0</v>
      </c>
      <c r="CG131">
        <f t="shared" si="46"/>
        <v>0</v>
      </c>
      <c r="CH131">
        <f t="shared" si="46"/>
        <v>0</v>
      </c>
      <c r="CI131">
        <f t="shared" si="46"/>
        <v>0</v>
      </c>
      <c r="CJ131">
        <f t="shared" si="46"/>
        <v>0</v>
      </c>
      <c r="CK131">
        <f t="shared" si="46"/>
        <v>0</v>
      </c>
      <c r="CL131">
        <f t="shared" si="46"/>
        <v>0</v>
      </c>
      <c r="CM131">
        <f t="shared" si="46"/>
        <v>0</v>
      </c>
      <c r="CN131">
        <f t="shared" si="46"/>
        <v>0</v>
      </c>
      <c r="CO131">
        <f t="shared" si="46"/>
        <v>0</v>
      </c>
      <c r="CP131">
        <f t="shared" si="46"/>
        <v>0</v>
      </c>
      <c r="CQ131">
        <f t="shared" si="46"/>
        <v>0</v>
      </c>
      <c r="CR131">
        <f t="shared" si="46"/>
        <v>0</v>
      </c>
      <c r="CS131">
        <f t="shared" si="46"/>
        <v>0</v>
      </c>
      <c r="CT131">
        <f t="shared" si="46"/>
        <v>0</v>
      </c>
      <c r="CU131">
        <f t="shared" si="46"/>
        <v>0</v>
      </c>
      <c r="CV131">
        <f t="shared" si="46"/>
        <v>0</v>
      </c>
      <c r="CW131">
        <f t="shared" si="46"/>
        <v>0</v>
      </c>
      <c r="CX131">
        <f t="shared" si="46"/>
        <v>0</v>
      </c>
      <c r="CY131">
        <f t="shared" si="46"/>
        <v>0</v>
      </c>
      <c r="CZ131">
        <f t="shared" si="46"/>
        <v>0</v>
      </c>
      <c r="DA131">
        <f t="shared" si="46"/>
        <v>0</v>
      </c>
      <c r="DB131">
        <f t="shared" si="47"/>
        <v>0</v>
      </c>
      <c r="DC131">
        <f t="shared" si="47"/>
        <v>0</v>
      </c>
      <c r="DD131">
        <f t="shared" si="47"/>
        <v>0</v>
      </c>
      <c r="DE131">
        <f t="shared" si="47"/>
        <v>0</v>
      </c>
      <c r="DF131">
        <f t="shared" si="47"/>
        <v>0</v>
      </c>
      <c r="DG131">
        <f t="shared" si="47"/>
        <v>0</v>
      </c>
      <c r="DH131">
        <f t="shared" si="47"/>
        <v>0</v>
      </c>
      <c r="DI131">
        <f t="shared" si="47"/>
        <v>0</v>
      </c>
    </row>
    <row r="132" spans="2:113">
      <c r="D132">
        <v>12</v>
      </c>
      <c r="E132">
        <f t="shared" si="48"/>
        <v>0</v>
      </c>
      <c r="F132">
        <f t="shared" si="48"/>
        <v>0</v>
      </c>
      <c r="G132">
        <f t="shared" si="48"/>
        <v>0</v>
      </c>
      <c r="H132">
        <f t="shared" si="48"/>
        <v>0</v>
      </c>
      <c r="I132">
        <f t="shared" si="48"/>
        <v>0</v>
      </c>
      <c r="J132">
        <f t="shared" si="48"/>
        <v>0</v>
      </c>
      <c r="K132">
        <f t="shared" si="48"/>
        <v>0</v>
      </c>
      <c r="L132">
        <f t="shared" si="48"/>
        <v>0</v>
      </c>
      <c r="M132">
        <f t="shared" si="48"/>
        <v>0</v>
      </c>
      <c r="N132">
        <f t="shared" si="48"/>
        <v>0</v>
      </c>
      <c r="O132">
        <f t="shared" si="48"/>
        <v>0</v>
      </c>
      <c r="P132">
        <f t="shared" si="48"/>
        <v>0</v>
      </c>
      <c r="Q132">
        <f t="shared" si="48"/>
        <v>0</v>
      </c>
      <c r="R132">
        <f t="shared" si="48"/>
        <v>0</v>
      </c>
      <c r="S132">
        <f t="shared" si="48"/>
        <v>0</v>
      </c>
      <c r="T132">
        <f t="shared" si="48"/>
        <v>0</v>
      </c>
      <c r="U132">
        <f t="shared" si="48"/>
        <v>0</v>
      </c>
      <c r="V132">
        <f t="shared" si="48"/>
        <v>0</v>
      </c>
      <c r="W132">
        <f t="shared" si="48"/>
        <v>0</v>
      </c>
      <c r="X132">
        <f t="shared" si="48"/>
        <v>0</v>
      </c>
      <c r="Y132">
        <f t="shared" si="48"/>
        <v>0</v>
      </c>
      <c r="Z132">
        <f t="shared" si="48"/>
        <v>0</v>
      </c>
      <c r="AA132">
        <f t="shared" si="48"/>
        <v>0</v>
      </c>
      <c r="AB132">
        <f t="shared" si="48"/>
        <v>0</v>
      </c>
      <c r="AC132">
        <f t="shared" si="48"/>
        <v>0</v>
      </c>
      <c r="AD132">
        <f t="shared" si="48"/>
        <v>0</v>
      </c>
      <c r="AE132">
        <f t="shared" si="48"/>
        <v>0</v>
      </c>
      <c r="AF132">
        <f t="shared" si="48"/>
        <v>0</v>
      </c>
      <c r="AG132">
        <f t="shared" si="48"/>
        <v>0</v>
      </c>
      <c r="AH132">
        <f t="shared" si="48"/>
        <v>0</v>
      </c>
      <c r="AI132">
        <f t="shared" si="48"/>
        <v>0</v>
      </c>
      <c r="AJ132">
        <f t="shared" si="48"/>
        <v>0</v>
      </c>
      <c r="AK132">
        <f t="shared" si="48"/>
        <v>0</v>
      </c>
      <c r="AL132">
        <f t="shared" si="48"/>
        <v>0</v>
      </c>
      <c r="AM132">
        <f t="shared" si="48"/>
        <v>0</v>
      </c>
      <c r="AN132">
        <f t="shared" si="48"/>
        <v>0</v>
      </c>
      <c r="AO132">
        <f t="shared" si="48"/>
        <v>0</v>
      </c>
      <c r="AP132">
        <f t="shared" si="48"/>
        <v>0</v>
      </c>
      <c r="AQ132">
        <f t="shared" si="48"/>
        <v>0</v>
      </c>
      <c r="AR132">
        <f t="shared" si="48"/>
        <v>0</v>
      </c>
      <c r="AS132">
        <f t="shared" si="48"/>
        <v>0</v>
      </c>
      <c r="AT132">
        <f t="shared" si="48"/>
        <v>0</v>
      </c>
      <c r="AU132">
        <f t="shared" si="48"/>
        <v>0</v>
      </c>
      <c r="AV132">
        <f t="shared" si="48"/>
        <v>0</v>
      </c>
      <c r="AW132">
        <f t="shared" si="48"/>
        <v>0</v>
      </c>
      <c r="AX132">
        <f t="shared" si="48"/>
        <v>0</v>
      </c>
      <c r="AY132">
        <f t="shared" si="48"/>
        <v>0</v>
      </c>
      <c r="AZ132">
        <f t="shared" si="48"/>
        <v>0</v>
      </c>
      <c r="BA132">
        <f t="shared" si="48"/>
        <v>0</v>
      </c>
      <c r="BB132">
        <f t="shared" si="48"/>
        <v>0</v>
      </c>
      <c r="BC132">
        <f t="shared" si="48"/>
        <v>0</v>
      </c>
      <c r="BD132">
        <f t="shared" si="48"/>
        <v>0</v>
      </c>
      <c r="BE132">
        <f t="shared" si="48"/>
        <v>0</v>
      </c>
      <c r="BF132">
        <f t="shared" si="48"/>
        <v>0</v>
      </c>
      <c r="BG132">
        <f t="shared" si="48"/>
        <v>0</v>
      </c>
      <c r="BH132">
        <f t="shared" si="48"/>
        <v>0</v>
      </c>
      <c r="BI132">
        <f t="shared" si="48"/>
        <v>0</v>
      </c>
      <c r="BJ132">
        <f t="shared" si="48"/>
        <v>0</v>
      </c>
      <c r="BK132">
        <f t="shared" si="48"/>
        <v>0</v>
      </c>
      <c r="BL132">
        <f t="shared" si="48"/>
        <v>0</v>
      </c>
      <c r="BM132">
        <f t="shared" si="48"/>
        <v>0</v>
      </c>
      <c r="BN132">
        <f t="shared" si="48"/>
        <v>0</v>
      </c>
      <c r="BO132">
        <f t="shared" si="48"/>
        <v>0</v>
      </c>
      <c r="BP132">
        <f t="shared" ref="BP132:CF135" si="49">IF(COUNTIF($B$51:$B$66,BP62)=1,1,0)</f>
        <v>0</v>
      </c>
      <c r="BQ132">
        <f t="shared" si="49"/>
        <v>0</v>
      </c>
      <c r="BR132">
        <f t="shared" si="49"/>
        <v>0</v>
      </c>
      <c r="BS132">
        <f t="shared" si="49"/>
        <v>0</v>
      </c>
      <c r="BT132">
        <f t="shared" si="49"/>
        <v>0</v>
      </c>
      <c r="BU132">
        <f t="shared" si="49"/>
        <v>0</v>
      </c>
      <c r="BV132">
        <f t="shared" si="49"/>
        <v>0</v>
      </c>
      <c r="BW132">
        <f t="shared" si="49"/>
        <v>0</v>
      </c>
      <c r="BX132">
        <f t="shared" si="49"/>
        <v>0</v>
      </c>
      <c r="BY132">
        <f t="shared" si="49"/>
        <v>0</v>
      </c>
      <c r="BZ132">
        <f t="shared" si="49"/>
        <v>0</v>
      </c>
      <c r="CA132">
        <f t="shared" si="49"/>
        <v>0</v>
      </c>
      <c r="CB132">
        <f t="shared" si="49"/>
        <v>0</v>
      </c>
      <c r="CC132">
        <f t="shared" si="49"/>
        <v>0</v>
      </c>
      <c r="CD132">
        <f t="shared" si="49"/>
        <v>0</v>
      </c>
      <c r="CE132">
        <f t="shared" si="49"/>
        <v>0</v>
      </c>
      <c r="CF132">
        <f t="shared" si="49"/>
        <v>0</v>
      </c>
      <c r="CG132">
        <f t="shared" si="46"/>
        <v>0</v>
      </c>
      <c r="CH132">
        <f t="shared" si="46"/>
        <v>0</v>
      </c>
      <c r="CI132">
        <f t="shared" si="46"/>
        <v>0</v>
      </c>
      <c r="CJ132">
        <f t="shared" si="46"/>
        <v>0</v>
      </c>
      <c r="CK132">
        <f t="shared" si="46"/>
        <v>0</v>
      </c>
      <c r="CL132">
        <f t="shared" si="46"/>
        <v>0</v>
      </c>
      <c r="CM132">
        <f t="shared" si="46"/>
        <v>0</v>
      </c>
      <c r="CN132">
        <f t="shared" si="46"/>
        <v>0</v>
      </c>
      <c r="CO132">
        <f t="shared" si="46"/>
        <v>0</v>
      </c>
      <c r="CP132">
        <f t="shared" si="46"/>
        <v>0</v>
      </c>
      <c r="CQ132">
        <f t="shared" si="46"/>
        <v>0</v>
      </c>
      <c r="CR132">
        <f t="shared" si="46"/>
        <v>0</v>
      </c>
      <c r="CS132">
        <f t="shared" si="46"/>
        <v>0</v>
      </c>
      <c r="CT132">
        <f t="shared" si="46"/>
        <v>0</v>
      </c>
      <c r="CU132">
        <f t="shared" si="46"/>
        <v>0</v>
      </c>
      <c r="CV132">
        <f t="shared" si="46"/>
        <v>0</v>
      </c>
      <c r="CW132">
        <f t="shared" si="46"/>
        <v>0</v>
      </c>
      <c r="CX132">
        <f t="shared" si="46"/>
        <v>0</v>
      </c>
      <c r="CY132">
        <f t="shared" si="46"/>
        <v>0</v>
      </c>
      <c r="CZ132">
        <f t="shared" si="46"/>
        <v>0</v>
      </c>
      <c r="DA132">
        <f t="shared" si="46"/>
        <v>0</v>
      </c>
      <c r="DB132">
        <f t="shared" si="47"/>
        <v>0</v>
      </c>
      <c r="DC132">
        <f t="shared" si="47"/>
        <v>0</v>
      </c>
      <c r="DD132">
        <f t="shared" si="47"/>
        <v>0</v>
      </c>
      <c r="DE132">
        <f t="shared" si="47"/>
        <v>0</v>
      </c>
      <c r="DF132">
        <f t="shared" si="47"/>
        <v>0</v>
      </c>
      <c r="DG132">
        <f t="shared" si="47"/>
        <v>0</v>
      </c>
      <c r="DH132">
        <f t="shared" si="47"/>
        <v>0</v>
      </c>
      <c r="DI132">
        <f t="shared" si="47"/>
        <v>0</v>
      </c>
    </row>
    <row r="133" spans="2:113">
      <c r="D133">
        <v>13</v>
      </c>
      <c r="E133">
        <f t="shared" ref="E133:BP136" si="50">IF(COUNTIF($B$51:$B$66,E63)=1,1,0)</f>
        <v>0</v>
      </c>
      <c r="F133">
        <f t="shared" si="50"/>
        <v>0</v>
      </c>
      <c r="G133">
        <f t="shared" si="50"/>
        <v>0</v>
      </c>
      <c r="H133">
        <f t="shared" si="50"/>
        <v>0</v>
      </c>
      <c r="I133">
        <f t="shared" si="50"/>
        <v>0</v>
      </c>
      <c r="J133">
        <f t="shared" si="50"/>
        <v>0</v>
      </c>
      <c r="K133">
        <f t="shared" si="50"/>
        <v>0</v>
      </c>
      <c r="L133">
        <f t="shared" si="50"/>
        <v>0</v>
      </c>
      <c r="M133">
        <f t="shared" si="50"/>
        <v>0</v>
      </c>
      <c r="N133">
        <f t="shared" si="50"/>
        <v>0</v>
      </c>
      <c r="O133">
        <f t="shared" si="50"/>
        <v>0</v>
      </c>
      <c r="P133">
        <f t="shared" si="50"/>
        <v>0</v>
      </c>
      <c r="Q133">
        <f t="shared" si="50"/>
        <v>0</v>
      </c>
      <c r="R133">
        <f t="shared" si="50"/>
        <v>0</v>
      </c>
      <c r="S133">
        <f t="shared" si="50"/>
        <v>0</v>
      </c>
      <c r="T133">
        <f t="shared" si="50"/>
        <v>0</v>
      </c>
      <c r="U133">
        <f t="shared" si="50"/>
        <v>0</v>
      </c>
      <c r="V133">
        <f t="shared" si="50"/>
        <v>0</v>
      </c>
      <c r="W133">
        <f t="shared" si="50"/>
        <v>0</v>
      </c>
      <c r="X133">
        <f t="shared" si="50"/>
        <v>0</v>
      </c>
      <c r="Y133">
        <f t="shared" si="50"/>
        <v>0</v>
      </c>
      <c r="Z133">
        <f t="shared" si="50"/>
        <v>0</v>
      </c>
      <c r="AA133">
        <f t="shared" si="50"/>
        <v>0</v>
      </c>
      <c r="AB133">
        <f t="shared" si="50"/>
        <v>0</v>
      </c>
      <c r="AC133">
        <f t="shared" si="50"/>
        <v>0</v>
      </c>
      <c r="AD133">
        <f t="shared" si="50"/>
        <v>0</v>
      </c>
      <c r="AE133">
        <f t="shared" si="50"/>
        <v>0</v>
      </c>
      <c r="AF133">
        <f t="shared" si="50"/>
        <v>0</v>
      </c>
      <c r="AG133">
        <f t="shared" si="50"/>
        <v>0</v>
      </c>
      <c r="AH133">
        <f t="shared" si="50"/>
        <v>0</v>
      </c>
      <c r="AI133">
        <f t="shared" si="50"/>
        <v>0</v>
      </c>
      <c r="AJ133">
        <f t="shared" si="50"/>
        <v>0</v>
      </c>
      <c r="AK133">
        <f t="shared" si="50"/>
        <v>0</v>
      </c>
      <c r="AL133">
        <f t="shared" si="50"/>
        <v>0</v>
      </c>
      <c r="AM133">
        <f t="shared" si="50"/>
        <v>0</v>
      </c>
      <c r="AN133">
        <f t="shared" si="50"/>
        <v>0</v>
      </c>
      <c r="AO133">
        <f t="shared" si="50"/>
        <v>0</v>
      </c>
      <c r="AP133">
        <f t="shared" si="50"/>
        <v>0</v>
      </c>
      <c r="AQ133">
        <f t="shared" si="50"/>
        <v>0</v>
      </c>
      <c r="AR133">
        <f t="shared" si="50"/>
        <v>0</v>
      </c>
      <c r="AS133">
        <f t="shared" si="50"/>
        <v>0</v>
      </c>
      <c r="AT133">
        <f t="shared" si="50"/>
        <v>0</v>
      </c>
      <c r="AU133">
        <f t="shared" si="50"/>
        <v>0</v>
      </c>
      <c r="AV133">
        <f t="shared" si="50"/>
        <v>0</v>
      </c>
      <c r="AW133">
        <f t="shared" si="50"/>
        <v>0</v>
      </c>
      <c r="AX133">
        <f t="shared" si="50"/>
        <v>0</v>
      </c>
      <c r="AY133">
        <f t="shared" si="50"/>
        <v>0</v>
      </c>
      <c r="AZ133">
        <f t="shared" si="50"/>
        <v>0</v>
      </c>
      <c r="BA133">
        <f t="shared" si="50"/>
        <v>0</v>
      </c>
      <c r="BB133">
        <f t="shared" si="50"/>
        <v>0</v>
      </c>
      <c r="BC133">
        <f t="shared" si="50"/>
        <v>0</v>
      </c>
      <c r="BD133">
        <f t="shared" si="50"/>
        <v>0</v>
      </c>
      <c r="BE133">
        <f t="shared" si="50"/>
        <v>0</v>
      </c>
      <c r="BF133">
        <f t="shared" si="50"/>
        <v>0</v>
      </c>
      <c r="BG133">
        <f t="shared" si="50"/>
        <v>0</v>
      </c>
      <c r="BH133">
        <f t="shared" si="50"/>
        <v>0</v>
      </c>
      <c r="BI133">
        <f t="shared" si="50"/>
        <v>0</v>
      </c>
      <c r="BJ133">
        <f t="shared" si="50"/>
        <v>0</v>
      </c>
      <c r="BK133">
        <f t="shared" si="50"/>
        <v>0</v>
      </c>
      <c r="BL133">
        <f t="shared" si="50"/>
        <v>0</v>
      </c>
      <c r="BM133">
        <f t="shared" si="50"/>
        <v>0</v>
      </c>
      <c r="BN133">
        <f t="shared" si="50"/>
        <v>0</v>
      </c>
      <c r="BO133">
        <f t="shared" si="50"/>
        <v>0</v>
      </c>
      <c r="BP133">
        <f t="shared" si="50"/>
        <v>0</v>
      </c>
      <c r="BQ133">
        <f t="shared" si="49"/>
        <v>0</v>
      </c>
      <c r="BR133">
        <f t="shared" si="49"/>
        <v>0</v>
      </c>
      <c r="BS133">
        <f t="shared" si="49"/>
        <v>0</v>
      </c>
      <c r="BT133">
        <f t="shared" si="49"/>
        <v>0</v>
      </c>
      <c r="BU133">
        <f t="shared" si="49"/>
        <v>0</v>
      </c>
      <c r="BV133">
        <f t="shared" si="49"/>
        <v>0</v>
      </c>
      <c r="BW133">
        <f t="shared" si="49"/>
        <v>0</v>
      </c>
      <c r="BX133">
        <f t="shared" si="49"/>
        <v>0</v>
      </c>
      <c r="BY133">
        <f t="shared" si="49"/>
        <v>0</v>
      </c>
      <c r="BZ133">
        <f t="shared" si="49"/>
        <v>0</v>
      </c>
      <c r="CA133">
        <f t="shared" si="49"/>
        <v>0</v>
      </c>
      <c r="CB133">
        <f t="shared" si="49"/>
        <v>0</v>
      </c>
      <c r="CC133">
        <f t="shared" si="49"/>
        <v>0</v>
      </c>
      <c r="CD133">
        <f t="shared" si="49"/>
        <v>0</v>
      </c>
      <c r="CE133">
        <f t="shared" si="49"/>
        <v>0</v>
      </c>
      <c r="CF133">
        <f t="shared" si="49"/>
        <v>0</v>
      </c>
      <c r="CG133">
        <f t="shared" si="46"/>
        <v>0</v>
      </c>
      <c r="CH133">
        <f t="shared" si="46"/>
        <v>0</v>
      </c>
      <c r="CI133">
        <f t="shared" si="46"/>
        <v>0</v>
      </c>
      <c r="CJ133">
        <f t="shared" si="46"/>
        <v>0</v>
      </c>
      <c r="CK133">
        <f t="shared" si="46"/>
        <v>0</v>
      </c>
      <c r="CL133">
        <f t="shared" si="46"/>
        <v>0</v>
      </c>
      <c r="CM133">
        <f t="shared" si="46"/>
        <v>0</v>
      </c>
      <c r="CN133">
        <f t="shared" si="46"/>
        <v>0</v>
      </c>
      <c r="CO133">
        <f t="shared" si="46"/>
        <v>0</v>
      </c>
      <c r="CP133">
        <f t="shared" si="46"/>
        <v>0</v>
      </c>
      <c r="CQ133">
        <f t="shared" si="46"/>
        <v>0</v>
      </c>
      <c r="CR133">
        <f t="shared" si="46"/>
        <v>0</v>
      </c>
      <c r="CS133">
        <f t="shared" si="46"/>
        <v>0</v>
      </c>
      <c r="CT133">
        <f t="shared" si="46"/>
        <v>0</v>
      </c>
      <c r="CU133">
        <f t="shared" si="46"/>
        <v>0</v>
      </c>
      <c r="CV133">
        <f t="shared" si="46"/>
        <v>0</v>
      </c>
      <c r="CW133">
        <f t="shared" si="46"/>
        <v>0</v>
      </c>
      <c r="CX133">
        <f t="shared" si="46"/>
        <v>0</v>
      </c>
      <c r="CY133">
        <f t="shared" si="46"/>
        <v>0</v>
      </c>
      <c r="CZ133">
        <f t="shared" si="46"/>
        <v>0</v>
      </c>
      <c r="DA133">
        <f t="shared" si="46"/>
        <v>0</v>
      </c>
      <c r="DB133">
        <f t="shared" si="47"/>
        <v>0</v>
      </c>
      <c r="DC133">
        <f t="shared" si="47"/>
        <v>0</v>
      </c>
      <c r="DD133">
        <f t="shared" si="47"/>
        <v>0</v>
      </c>
      <c r="DE133">
        <f t="shared" si="47"/>
        <v>0</v>
      </c>
      <c r="DF133">
        <f t="shared" si="47"/>
        <v>0</v>
      </c>
      <c r="DG133">
        <f t="shared" si="47"/>
        <v>0</v>
      </c>
      <c r="DH133">
        <f t="shared" si="47"/>
        <v>0</v>
      </c>
      <c r="DI133">
        <f t="shared" si="47"/>
        <v>0</v>
      </c>
    </row>
    <row r="134" spans="2:113">
      <c r="D134">
        <v>14</v>
      </c>
      <c r="E134">
        <f t="shared" si="50"/>
        <v>0</v>
      </c>
      <c r="F134">
        <f t="shared" si="50"/>
        <v>0</v>
      </c>
      <c r="G134">
        <f t="shared" si="50"/>
        <v>0</v>
      </c>
      <c r="H134">
        <f t="shared" si="50"/>
        <v>0</v>
      </c>
      <c r="I134">
        <f t="shared" si="50"/>
        <v>0</v>
      </c>
      <c r="J134">
        <f t="shared" si="50"/>
        <v>0</v>
      </c>
      <c r="K134">
        <f t="shared" si="50"/>
        <v>0</v>
      </c>
      <c r="L134">
        <f t="shared" si="50"/>
        <v>0</v>
      </c>
      <c r="M134">
        <f t="shared" si="50"/>
        <v>0</v>
      </c>
      <c r="N134">
        <f t="shared" si="50"/>
        <v>0</v>
      </c>
      <c r="O134">
        <f t="shared" si="50"/>
        <v>0</v>
      </c>
      <c r="P134">
        <f t="shared" si="50"/>
        <v>0</v>
      </c>
      <c r="Q134">
        <f t="shared" si="50"/>
        <v>0</v>
      </c>
      <c r="R134">
        <f t="shared" si="50"/>
        <v>0</v>
      </c>
      <c r="S134">
        <f t="shared" si="50"/>
        <v>0</v>
      </c>
      <c r="T134">
        <f t="shared" si="50"/>
        <v>0</v>
      </c>
      <c r="U134">
        <f t="shared" si="50"/>
        <v>0</v>
      </c>
      <c r="V134">
        <f t="shared" si="50"/>
        <v>0</v>
      </c>
      <c r="W134">
        <f t="shared" si="50"/>
        <v>0</v>
      </c>
      <c r="X134">
        <f t="shared" si="50"/>
        <v>0</v>
      </c>
      <c r="Y134">
        <f t="shared" si="50"/>
        <v>0</v>
      </c>
      <c r="Z134">
        <f t="shared" si="50"/>
        <v>0</v>
      </c>
      <c r="AA134">
        <f t="shared" si="50"/>
        <v>0</v>
      </c>
      <c r="AB134">
        <f t="shared" si="50"/>
        <v>0</v>
      </c>
      <c r="AC134">
        <f t="shared" si="50"/>
        <v>0</v>
      </c>
      <c r="AD134">
        <f t="shared" si="50"/>
        <v>0</v>
      </c>
      <c r="AE134">
        <f t="shared" si="50"/>
        <v>0</v>
      </c>
      <c r="AF134">
        <f t="shared" si="50"/>
        <v>0</v>
      </c>
      <c r="AG134">
        <f t="shared" si="50"/>
        <v>0</v>
      </c>
      <c r="AH134">
        <f t="shared" si="50"/>
        <v>0</v>
      </c>
      <c r="AI134">
        <f t="shared" si="50"/>
        <v>0</v>
      </c>
      <c r="AJ134">
        <f t="shared" si="50"/>
        <v>0</v>
      </c>
      <c r="AK134">
        <f t="shared" si="50"/>
        <v>0</v>
      </c>
      <c r="AL134">
        <f t="shared" si="50"/>
        <v>0</v>
      </c>
      <c r="AM134">
        <f t="shared" si="50"/>
        <v>0</v>
      </c>
      <c r="AN134">
        <f t="shared" si="50"/>
        <v>0</v>
      </c>
      <c r="AO134">
        <f t="shared" si="50"/>
        <v>0</v>
      </c>
      <c r="AP134">
        <f t="shared" si="50"/>
        <v>0</v>
      </c>
      <c r="AQ134">
        <f t="shared" si="50"/>
        <v>0</v>
      </c>
      <c r="AR134">
        <f t="shared" si="50"/>
        <v>0</v>
      </c>
      <c r="AS134">
        <f t="shared" si="50"/>
        <v>0</v>
      </c>
      <c r="AT134">
        <f t="shared" si="50"/>
        <v>0</v>
      </c>
      <c r="AU134">
        <f t="shared" si="50"/>
        <v>0</v>
      </c>
      <c r="AV134">
        <f t="shared" si="50"/>
        <v>0</v>
      </c>
      <c r="AW134">
        <f t="shared" si="50"/>
        <v>0</v>
      </c>
      <c r="AX134">
        <f t="shared" si="50"/>
        <v>0</v>
      </c>
      <c r="AY134">
        <f t="shared" si="50"/>
        <v>0</v>
      </c>
      <c r="AZ134">
        <f t="shared" si="50"/>
        <v>0</v>
      </c>
      <c r="BA134">
        <f t="shared" si="50"/>
        <v>0</v>
      </c>
      <c r="BB134">
        <f t="shared" si="50"/>
        <v>0</v>
      </c>
      <c r="BC134">
        <f t="shared" si="50"/>
        <v>0</v>
      </c>
      <c r="BD134">
        <f t="shared" si="50"/>
        <v>0</v>
      </c>
      <c r="BE134">
        <f t="shared" si="50"/>
        <v>0</v>
      </c>
      <c r="BF134">
        <f t="shared" si="50"/>
        <v>0</v>
      </c>
      <c r="BG134">
        <f t="shared" si="50"/>
        <v>0</v>
      </c>
      <c r="BH134">
        <f t="shared" si="50"/>
        <v>0</v>
      </c>
      <c r="BI134">
        <f t="shared" si="50"/>
        <v>0</v>
      </c>
      <c r="BJ134">
        <f t="shared" si="50"/>
        <v>0</v>
      </c>
      <c r="BK134">
        <f t="shared" si="50"/>
        <v>0</v>
      </c>
      <c r="BL134">
        <f t="shared" si="50"/>
        <v>0</v>
      </c>
      <c r="BM134">
        <f t="shared" si="50"/>
        <v>0</v>
      </c>
      <c r="BN134">
        <f t="shared" si="50"/>
        <v>0</v>
      </c>
      <c r="BO134">
        <f t="shared" si="50"/>
        <v>0</v>
      </c>
      <c r="BP134">
        <f t="shared" si="50"/>
        <v>0</v>
      </c>
      <c r="BQ134">
        <f t="shared" si="49"/>
        <v>0</v>
      </c>
      <c r="BR134">
        <f t="shared" si="49"/>
        <v>0</v>
      </c>
      <c r="BS134">
        <f t="shared" si="49"/>
        <v>0</v>
      </c>
      <c r="BT134">
        <f t="shared" si="49"/>
        <v>0</v>
      </c>
      <c r="BU134">
        <f t="shared" si="49"/>
        <v>0</v>
      </c>
      <c r="BV134">
        <f t="shared" si="49"/>
        <v>0</v>
      </c>
      <c r="BW134">
        <f t="shared" si="49"/>
        <v>0</v>
      </c>
      <c r="BX134">
        <f t="shared" si="49"/>
        <v>0</v>
      </c>
      <c r="BY134">
        <f t="shared" si="49"/>
        <v>0</v>
      </c>
      <c r="BZ134">
        <f t="shared" si="49"/>
        <v>0</v>
      </c>
      <c r="CA134">
        <f t="shared" si="49"/>
        <v>0</v>
      </c>
      <c r="CB134">
        <f t="shared" si="49"/>
        <v>0</v>
      </c>
      <c r="CC134">
        <f t="shared" si="49"/>
        <v>0</v>
      </c>
      <c r="CD134">
        <f t="shared" si="49"/>
        <v>0</v>
      </c>
      <c r="CE134">
        <f t="shared" si="49"/>
        <v>0</v>
      </c>
      <c r="CF134">
        <f t="shared" si="49"/>
        <v>0</v>
      </c>
      <c r="CG134">
        <f t="shared" si="46"/>
        <v>0</v>
      </c>
      <c r="CH134">
        <f t="shared" si="46"/>
        <v>0</v>
      </c>
      <c r="CI134">
        <f t="shared" si="46"/>
        <v>0</v>
      </c>
      <c r="CJ134">
        <f t="shared" si="46"/>
        <v>0</v>
      </c>
      <c r="CK134">
        <f t="shared" si="46"/>
        <v>0</v>
      </c>
      <c r="CL134">
        <f t="shared" si="46"/>
        <v>0</v>
      </c>
      <c r="CM134">
        <f t="shared" si="46"/>
        <v>0</v>
      </c>
      <c r="CN134">
        <f t="shared" si="46"/>
        <v>0</v>
      </c>
      <c r="CO134">
        <f t="shared" si="46"/>
        <v>0</v>
      </c>
      <c r="CP134">
        <f t="shared" si="46"/>
        <v>0</v>
      </c>
      <c r="CQ134">
        <f t="shared" si="46"/>
        <v>0</v>
      </c>
      <c r="CR134">
        <f t="shared" si="46"/>
        <v>0</v>
      </c>
      <c r="CS134">
        <f t="shared" si="46"/>
        <v>0</v>
      </c>
      <c r="CT134">
        <f t="shared" si="46"/>
        <v>0</v>
      </c>
      <c r="CU134">
        <f t="shared" si="46"/>
        <v>0</v>
      </c>
      <c r="CV134">
        <f t="shared" si="46"/>
        <v>0</v>
      </c>
      <c r="CW134">
        <f t="shared" si="46"/>
        <v>0</v>
      </c>
      <c r="CX134">
        <f t="shared" si="46"/>
        <v>0</v>
      </c>
      <c r="CY134">
        <f t="shared" si="46"/>
        <v>0</v>
      </c>
      <c r="CZ134">
        <f t="shared" si="46"/>
        <v>0</v>
      </c>
      <c r="DA134">
        <f t="shared" si="46"/>
        <v>0</v>
      </c>
      <c r="DB134">
        <f t="shared" si="47"/>
        <v>0</v>
      </c>
      <c r="DC134">
        <f t="shared" si="47"/>
        <v>0</v>
      </c>
      <c r="DD134">
        <f t="shared" si="47"/>
        <v>0</v>
      </c>
      <c r="DE134">
        <f t="shared" si="47"/>
        <v>0</v>
      </c>
      <c r="DF134">
        <f t="shared" si="47"/>
        <v>0</v>
      </c>
      <c r="DG134">
        <f t="shared" si="47"/>
        <v>0</v>
      </c>
      <c r="DH134">
        <f t="shared" si="47"/>
        <v>0</v>
      </c>
      <c r="DI134">
        <f t="shared" si="47"/>
        <v>0</v>
      </c>
    </row>
    <row r="135" spans="2:113">
      <c r="D135">
        <v>15</v>
      </c>
      <c r="E135">
        <f t="shared" si="50"/>
        <v>0</v>
      </c>
      <c r="F135">
        <f t="shared" si="50"/>
        <v>0</v>
      </c>
      <c r="G135">
        <f t="shared" si="50"/>
        <v>0</v>
      </c>
      <c r="H135">
        <f t="shared" si="50"/>
        <v>0</v>
      </c>
      <c r="I135">
        <f t="shared" si="50"/>
        <v>0</v>
      </c>
      <c r="J135">
        <f t="shared" si="50"/>
        <v>0</v>
      </c>
      <c r="K135">
        <f t="shared" si="50"/>
        <v>0</v>
      </c>
      <c r="L135">
        <f t="shared" si="50"/>
        <v>0</v>
      </c>
      <c r="M135">
        <f t="shared" si="50"/>
        <v>0</v>
      </c>
      <c r="N135">
        <f t="shared" si="50"/>
        <v>0</v>
      </c>
      <c r="O135">
        <f t="shared" si="50"/>
        <v>0</v>
      </c>
      <c r="P135">
        <f t="shared" si="50"/>
        <v>0</v>
      </c>
      <c r="Q135">
        <f t="shared" si="50"/>
        <v>0</v>
      </c>
      <c r="R135">
        <f t="shared" si="50"/>
        <v>0</v>
      </c>
      <c r="S135">
        <f t="shared" si="50"/>
        <v>0</v>
      </c>
      <c r="T135">
        <f t="shared" si="50"/>
        <v>0</v>
      </c>
      <c r="U135">
        <f t="shared" si="50"/>
        <v>0</v>
      </c>
      <c r="V135">
        <f t="shared" si="50"/>
        <v>0</v>
      </c>
      <c r="W135">
        <f t="shared" si="50"/>
        <v>0</v>
      </c>
      <c r="X135">
        <f t="shared" si="50"/>
        <v>0</v>
      </c>
      <c r="Y135">
        <f t="shared" si="50"/>
        <v>0</v>
      </c>
      <c r="Z135">
        <f t="shared" si="50"/>
        <v>0</v>
      </c>
      <c r="AA135">
        <f t="shared" si="50"/>
        <v>0</v>
      </c>
      <c r="AB135">
        <f t="shared" si="50"/>
        <v>0</v>
      </c>
      <c r="AC135">
        <f t="shared" si="50"/>
        <v>0</v>
      </c>
      <c r="AD135">
        <f t="shared" si="50"/>
        <v>0</v>
      </c>
      <c r="AE135">
        <f t="shared" si="50"/>
        <v>0</v>
      </c>
      <c r="AF135">
        <f t="shared" si="50"/>
        <v>0</v>
      </c>
      <c r="AG135">
        <f t="shared" si="50"/>
        <v>0</v>
      </c>
      <c r="AH135">
        <f t="shared" si="50"/>
        <v>0</v>
      </c>
      <c r="AI135">
        <f t="shared" si="50"/>
        <v>0</v>
      </c>
      <c r="AJ135">
        <f t="shared" si="50"/>
        <v>0</v>
      </c>
      <c r="AK135">
        <f t="shared" si="50"/>
        <v>0</v>
      </c>
      <c r="AL135">
        <f t="shared" si="50"/>
        <v>0</v>
      </c>
      <c r="AM135">
        <f t="shared" si="50"/>
        <v>0</v>
      </c>
      <c r="AN135">
        <f t="shared" si="50"/>
        <v>0</v>
      </c>
      <c r="AO135">
        <f t="shared" si="50"/>
        <v>0</v>
      </c>
      <c r="AP135">
        <f t="shared" si="50"/>
        <v>0</v>
      </c>
      <c r="AQ135">
        <f t="shared" si="50"/>
        <v>0</v>
      </c>
      <c r="AR135">
        <f t="shared" si="50"/>
        <v>0</v>
      </c>
      <c r="AS135">
        <f t="shared" si="50"/>
        <v>0</v>
      </c>
      <c r="AT135">
        <f t="shared" si="50"/>
        <v>0</v>
      </c>
      <c r="AU135">
        <f t="shared" si="50"/>
        <v>0</v>
      </c>
      <c r="AV135">
        <f t="shared" si="50"/>
        <v>0</v>
      </c>
      <c r="AW135">
        <f t="shared" si="50"/>
        <v>0</v>
      </c>
      <c r="AX135">
        <f t="shared" si="50"/>
        <v>0</v>
      </c>
      <c r="AY135">
        <f t="shared" si="50"/>
        <v>0</v>
      </c>
      <c r="AZ135">
        <f t="shared" si="50"/>
        <v>0</v>
      </c>
      <c r="BA135">
        <f t="shared" si="50"/>
        <v>0</v>
      </c>
      <c r="BB135">
        <f t="shared" si="50"/>
        <v>0</v>
      </c>
      <c r="BC135">
        <f t="shared" si="50"/>
        <v>0</v>
      </c>
      <c r="BD135">
        <f t="shared" si="50"/>
        <v>0</v>
      </c>
      <c r="BE135">
        <f t="shared" si="50"/>
        <v>0</v>
      </c>
      <c r="BF135">
        <f t="shared" si="50"/>
        <v>0</v>
      </c>
      <c r="BG135">
        <f t="shared" si="50"/>
        <v>0</v>
      </c>
      <c r="BH135">
        <f t="shared" si="50"/>
        <v>0</v>
      </c>
      <c r="BI135">
        <f t="shared" si="50"/>
        <v>0</v>
      </c>
      <c r="BJ135">
        <f t="shared" si="50"/>
        <v>0</v>
      </c>
      <c r="BK135">
        <f t="shared" si="50"/>
        <v>0</v>
      </c>
      <c r="BL135">
        <f t="shared" si="50"/>
        <v>0</v>
      </c>
      <c r="BM135">
        <f t="shared" si="50"/>
        <v>0</v>
      </c>
      <c r="BN135">
        <f t="shared" si="50"/>
        <v>0</v>
      </c>
      <c r="BO135">
        <f t="shared" si="50"/>
        <v>0</v>
      </c>
      <c r="BP135">
        <f t="shared" si="50"/>
        <v>0</v>
      </c>
      <c r="BQ135">
        <f t="shared" si="49"/>
        <v>0</v>
      </c>
      <c r="BR135">
        <f t="shared" si="49"/>
        <v>0</v>
      </c>
      <c r="BS135">
        <f t="shared" si="49"/>
        <v>0</v>
      </c>
      <c r="BT135">
        <f t="shared" si="49"/>
        <v>0</v>
      </c>
      <c r="BU135">
        <f t="shared" si="49"/>
        <v>0</v>
      </c>
      <c r="BV135">
        <f t="shared" si="49"/>
        <v>0</v>
      </c>
      <c r="BW135">
        <f t="shared" si="49"/>
        <v>0</v>
      </c>
      <c r="BX135">
        <f t="shared" si="49"/>
        <v>0</v>
      </c>
      <c r="BY135">
        <f t="shared" si="49"/>
        <v>0</v>
      </c>
      <c r="BZ135">
        <f t="shared" si="49"/>
        <v>0</v>
      </c>
      <c r="CA135">
        <f t="shared" si="49"/>
        <v>0</v>
      </c>
      <c r="CB135">
        <f t="shared" si="49"/>
        <v>0</v>
      </c>
      <c r="CC135">
        <f t="shared" si="49"/>
        <v>0</v>
      </c>
      <c r="CD135">
        <f t="shared" si="49"/>
        <v>0</v>
      </c>
      <c r="CE135">
        <f t="shared" si="49"/>
        <v>0</v>
      </c>
      <c r="CF135">
        <f t="shared" si="49"/>
        <v>0</v>
      </c>
      <c r="CG135">
        <f t="shared" si="46"/>
        <v>0</v>
      </c>
      <c r="CH135">
        <f t="shared" si="46"/>
        <v>0</v>
      </c>
      <c r="CI135">
        <f t="shared" si="46"/>
        <v>0</v>
      </c>
      <c r="CJ135">
        <f t="shared" si="46"/>
        <v>0</v>
      </c>
      <c r="CK135">
        <f t="shared" si="46"/>
        <v>0</v>
      </c>
      <c r="CL135">
        <f t="shared" si="46"/>
        <v>0</v>
      </c>
      <c r="CM135">
        <f t="shared" si="46"/>
        <v>0</v>
      </c>
      <c r="CN135">
        <f t="shared" si="46"/>
        <v>0</v>
      </c>
      <c r="CO135">
        <f t="shared" si="46"/>
        <v>0</v>
      </c>
      <c r="CP135">
        <f t="shared" si="46"/>
        <v>0</v>
      </c>
      <c r="CQ135">
        <f t="shared" si="46"/>
        <v>0</v>
      </c>
      <c r="CR135">
        <f t="shared" si="46"/>
        <v>0</v>
      </c>
      <c r="CS135">
        <f t="shared" si="46"/>
        <v>0</v>
      </c>
      <c r="CT135">
        <f t="shared" si="46"/>
        <v>0</v>
      </c>
      <c r="CU135">
        <f t="shared" si="46"/>
        <v>0</v>
      </c>
      <c r="CV135">
        <f t="shared" si="46"/>
        <v>0</v>
      </c>
      <c r="CW135">
        <f t="shared" si="46"/>
        <v>0</v>
      </c>
      <c r="CX135">
        <f t="shared" si="46"/>
        <v>0</v>
      </c>
      <c r="CY135">
        <f t="shared" si="46"/>
        <v>0</v>
      </c>
      <c r="CZ135">
        <f t="shared" si="46"/>
        <v>0</v>
      </c>
      <c r="DA135">
        <f t="shared" si="46"/>
        <v>0</v>
      </c>
      <c r="DB135">
        <f t="shared" si="47"/>
        <v>0</v>
      </c>
      <c r="DC135">
        <f t="shared" si="47"/>
        <v>0</v>
      </c>
      <c r="DD135">
        <f t="shared" si="47"/>
        <v>0</v>
      </c>
      <c r="DE135">
        <f t="shared" si="47"/>
        <v>0</v>
      </c>
      <c r="DF135">
        <f t="shared" si="47"/>
        <v>0</v>
      </c>
      <c r="DG135">
        <f t="shared" si="47"/>
        <v>0</v>
      </c>
      <c r="DH135">
        <f t="shared" si="47"/>
        <v>0</v>
      </c>
      <c r="DI135">
        <f t="shared" si="47"/>
        <v>0</v>
      </c>
    </row>
    <row r="136" spans="2:113">
      <c r="D136">
        <v>16</v>
      </c>
      <c r="E136">
        <f t="shared" si="50"/>
        <v>0</v>
      </c>
      <c r="F136">
        <f t="shared" si="50"/>
        <v>0</v>
      </c>
      <c r="G136">
        <f t="shared" si="50"/>
        <v>0</v>
      </c>
      <c r="H136">
        <f t="shared" si="50"/>
        <v>0</v>
      </c>
      <c r="I136">
        <f t="shared" si="50"/>
        <v>0</v>
      </c>
      <c r="J136">
        <f t="shared" si="50"/>
        <v>0</v>
      </c>
      <c r="K136">
        <f t="shared" si="50"/>
        <v>0</v>
      </c>
      <c r="L136">
        <f t="shared" si="50"/>
        <v>0</v>
      </c>
      <c r="M136">
        <f t="shared" si="50"/>
        <v>0</v>
      </c>
      <c r="N136">
        <f t="shared" si="50"/>
        <v>0</v>
      </c>
      <c r="O136">
        <f t="shared" si="50"/>
        <v>0</v>
      </c>
      <c r="P136">
        <f t="shared" si="50"/>
        <v>0</v>
      </c>
      <c r="Q136">
        <f t="shared" si="50"/>
        <v>0</v>
      </c>
      <c r="R136">
        <f t="shared" si="50"/>
        <v>0</v>
      </c>
      <c r="S136">
        <f t="shared" si="50"/>
        <v>0</v>
      </c>
      <c r="T136">
        <f t="shared" si="50"/>
        <v>0</v>
      </c>
      <c r="U136">
        <f t="shared" si="50"/>
        <v>0</v>
      </c>
      <c r="V136">
        <f t="shared" si="50"/>
        <v>0</v>
      </c>
      <c r="W136">
        <f t="shared" si="50"/>
        <v>0</v>
      </c>
      <c r="X136">
        <f t="shared" si="50"/>
        <v>0</v>
      </c>
      <c r="Y136">
        <f t="shared" si="50"/>
        <v>0</v>
      </c>
      <c r="Z136">
        <f t="shared" si="50"/>
        <v>0</v>
      </c>
      <c r="AA136">
        <f t="shared" si="50"/>
        <v>0</v>
      </c>
      <c r="AB136">
        <f t="shared" si="50"/>
        <v>0</v>
      </c>
      <c r="AC136">
        <f t="shared" si="50"/>
        <v>0</v>
      </c>
      <c r="AD136">
        <f t="shared" si="50"/>
        <v>0</v>
      </c>
      <c r="AE136">
        <f t="shared" si="50"/>
        <v>0</v>
      </c>
      <c r="AF136">
        <f t="shared" si="50"/>
        <v>0</v>
      </c>
      <c r="AG136">
        <f t="shared" si="50"/>
        <v>0</v>
      </c>
      <c r="AH136">
        <f t="shared" si="50"/>
        <v>0</v>
      </c>
      <c r="AI136">
        <f t="shared" si="50"/>
        <v>0</v>
      </c>
      <c r="AJ136">
        <f t="shared" si="50"/>
        <v>0</v>
      </c>
      <c r="AK136">
        <f t="shared" si="50"/>
        <v>0</v>
      </c>
      <c r="AL136">
        <f t="shared" si="50"/>
        <v>0</v>
      </c>
      <c r="AM136">
        <f t="shared" si="50"/>
        <v>0</v>
      </c>
      <c r="AN136">
        <f t="shared" si="50"/>
        <v>0</v>
      </c>
      <c r="AO136">
        <f t="shared" si="50"/>
        <v>0</v>
      </c>
      <c r="AP136">
        <f t="shared" si="50"/>
        <v>0</v>
      </c>
      <c r="AQ136">
        <f t="shared" si="50"/>
        <v>0</v>
      </c>
      <c r="AR136">
        <f t="shared" si="50"/>
        <v>0</v>
      </c>
      <c r="AS136">
        <f t="shared" si="50"/>
        <v>0</v>
      </c>
      <c r="AT136">
        <f t="shared" si="50"/>
        <v>0</v>
      </c>
      <c r="AU136">
        <f t="shared" si="50"/>
        <v>0</v>
      </c>
      <c r="AV136">
        <f t="shared" si="50"/>
        <v>0</v>
      </c>
      <c r="AW136">
        <f t="shared" si="50"/>
        <v>0</v>
      </c>
      <c r="AX136">
        <f t="shared" si="50"/>
        <v>0</v>
      </c>
      <c r="AY136">
        <f t="shared" si="50"/>
        <v>0</v>
      </c>
      <c r="AZ136">
        <f t="shared" si="50"/>
        <v>0</v>
      </c>
      <c r="BA136">
        <f t="shared" si="50"/>
        <v>0</v>
      </c>
      <c r="BB136">
        <f t="shared" si="50"/>
        <v>0</v>
      </c>
      <c r="BC136">
        <f t="shared" si="50"/>
        <v>0</v>
      </c>
      <c r="BD136">
        <f t="shared" si="50"/>
        <v>0</v>
      </c>
      <c r="BE136">
        <f t="shared" si="50"/>
        <v>0</v>
      </c>
      <c r="BF136">
        <f t="shared" si="50"/>
        <v>0</v>
      </c>
      <c r="BG136">
        <f t="shared" si="50"/>
        <v>0</v>
      </c>
      <c r="BH136">
        <f t="shared" si="50"/>
        <v>0</v>
      </c>
      <c r="BI136">
        <f t="shared" si="50"/>
        <v>0</v>
      </c>
      <c r="BJ136">
        <f t="shared" si="50"/>
        <v>0</v>
      </c>
      <c r="BK136">
        <f t="shared" si="50"/>
        <v>0</v>
      </c>
      <c r="BL136">
        <f t="shared" si="50"/>
        <v>0</v>
      </c>
      <c r="BM136">
        <f t="shared" si="50"/>
        <v>0</v>
      </c>
      <c r="BN136">
        <f t="shared" si="50"/>
        <v>0</v>
      </c>
      <c r="BO136">
        <f t="shared" si="50"/>
        <v>0</v>
      </c>
      <c r="BP136">
        <f t="shared" ref="BP136:CF136" si="51">IF(COUNTIF($B$51:$B$66,BP66)=1,1,0)</f>
        <v>0</v>
      </c>
      <c r="BQ136">
        <f t="shared" si="51"/>
        <v>0</v>
      </c>
      <c r="BR136">
        <f t="shared" si="51"/>
        <v>0</v>
      </c>
      <c r="BS136">
        <f t="shared" si="51"/>
        <v>0</v>
      </c>
      <c r="BT136">
        <f t="shared" si="51"/>
        <v>0</v>
      </c>
      <c r="BU136">
        <f t="shared" si="51"/>
        <v>0</v>
      </c>
      <c r="BV136">
        <f t="shared" si="51"/>
        <v>0</v>
      </c>
      <c r="BW136">
        <f t="shared" si="51"/>
        <v>0</v>
      </c>
      <c r="BX136">
        <f t="shared" si="51"/>
        <v>0</v>
      </c>
      <c r="BY136">
        <f t="shared" si="51"/>
        <v>0</v>
      </c>
      <c r="BZ136">
        <f t="shared" si="51"/>
        <v>0</v>
      </c>
      <c r="CA136">
        <f t="shared" si="51"/>
        <v>0</v>
      </c>
      <c r="CB136">
        <f t="shared" si="51"/>
        <v>0</v>
      </c>
      <c r="CC136">
        <f t="shared" si="51"/>
        <v>0</v>
      </c>
      <c r="CD136">
        <f t="shared" si="51"/>
        <v>0</v>
      </c>
      <c r="CE136">
        <f t="shared" si="51"/>
        <v>0</v>
      </c>
      <c r="CF136">
        <f t="shared" si="51"/>
        <v>0</v>
      </c>
      <c r="CG136">
        <f t="shared" si="46"/>
        <v>0</v>
      </c>
      <c r="CH136">
        <f t="shared" si="46"/>
        <v>0</v>
      </c>
      <c r="CI136">
        <f t="shared" si="46"/>
        <v>0</v>
      </c>
      <c r="CJ136">
        <f t="shared" si="46"/>
        <v>0</v>
      </c>
      <c r="CK136">
        <f t="shared" si="46"/>
        <v>0</v>
      </c>
      <c r="CL136">
        <f t="shared" si="46"/>
        <v>0</v>
      </c>
      <c r="CM136">
        <f t="shared" si="46"/>
        <v>0</v>
      </c>
      <c r="CN136">
        <f t="shared" si="46"/>
        <v>0</v>
      </c>
      <c r="CO136">
        <f t="shared" si="46"/>
        <v>0</v>
      </c>
      <c r="CP136">
        <f t="shared" si="46"/>
        <v>0</v>
      </c>
      <c r="CQ136">
        <f t="shared" si="46"/>
        <v>0</v>
      </c>
      <c r="CR136">
        <f t="shared" si="46"/>
        <v>0</v>
      </c>
      <c r="CS136">
        <f t="shared" si="46"/>
        <v>0</v>
      </c>
      <c r="CT136">
        <f t="shared" si="46"/>
        <v>0</v>
      </c>
      <c r="CU136">
        <f t="shared" si="46"/>
        <v>0</v>
      </c>
      <c r="CV136">
        <f t="shared" si="46"/>
        <v>0</v>
      </c>
      <c r="CW136">
        <f t="shared" si="46"/>
        <v>0</v>
      </c>
      <c r="CX136">
        <f t="shared" si="46"/>
        <v>0</v>
      </c>
      <c r="CY136">
        <f t="shared" si="46"/>
        <v>0</v>
      </c>
      <c r="CZ136">
        <f t="shared" si="46"/>
        <v>0</v>
      </c>
      <c r="DA136">
        <f t="shared" si="46"/>
        <v>0</v>
      </c>
      <c r="DB136">
        <f t="shared" si="47"/>
        <v>0</v>
      </c>
      <c r="DC136">
        <f t="shared" si="47"/>
        <v>0</v>
      </c>
      <c r="DD136">
        <f t="shared" si="47"/>
        <v>0</v>
      </c>
      <c r="DE136">
        <f t="shared" si="47"/>
        <v>0</v>
      </c>
      <c r="DF136">
        <f t="shared" si="47"/>
        <v>0</v>
      </c>
      <c r="DG136">
        <f t="shared" si="47"/>
        <v>0</v>
      </c>
      <c r="DH136">
        <f t="shared" si="47"/>
        <v>0</v>
      </c>
      <c r="DI136">
        <f t="shared" si="47"/>
        <v>0</v>
      </c>
    </row>
    <row r="137" spans="2:113">
      <c r="C137" t="s">
        <v>2936</v>
      </c>
      <c r="E137">
        <f t="shared" ref="E137:AT137" si="52">SUM(E121:E136)*$DM$3</f>
        <v>0</v>
      </c>
      <c r="F137">
        <f t="shared" si="52"/>
        <v>0</v>
      </c>
      <c r="G137">
        <f t="shared" si="52"/>
        <v>0</v>
      </c>
      <c r="H137">
        <f t="shared" si="52"/>
        <v>0</v>
      </c>
      <c r="I137">
        <f t="shared" si="52"/>
        <v>0</v>
      </c>
      <c r="J137">
        <f t="shared" si="52"/>
        <v>0</v>
      </c>
      <c r="K137">
        <f t="shared" si="52"/>
        <v>0</v>
      </c>
      <c r="L137">
        <f t="shared" si="52"/>
        <v>0</v>
      </c>
      <c r="M137">
        <f t="shared" si="52"/>
        <v>0</v>
      </c>
      <c r="N137">
        <f t="shared" si="52"/>
        <v>0</v>
      </c>
      <c r="O137">
        <f t="shared" si="52"/>
        <v>0</v>
      </c>
      <c r="P137">
        <f t="shared" si="52"/>
        <v>0</v>
      </c>
      <c r="Q137">
        <f t="shared" si="52"/>
        <v>0</v>
      </c>
      <c r="R137">
        <f t="shared" si="52"/>
        <v>0</v>
      </c>
      <c r="S137">
        <f t="shared" si="52"/>
        <v>0</v>
      </c>
      <c r="T137">
        <f t="shared" si="52"/>
        <v>0</v>
      </c>
      <c r="U137">
        <f t="shared" si="52"/>
        <v>0</v>
      </c>
      <c r="V137">
        <f t="shared" si="52"/>
        <v>0</v>
      </c>
      <c r="W137">
        <f t="shared" si="52"/>
        <v>0</v>
      </c>
      <c r="X137">
        <f t="shared" si="52"/>
        <v>0</v>
      </c>
      <c r="Y137">
        <f t="shared" si="52"/>
        <v>0</v>
      </c>
      <c r="Z137">
        <f t="shared" si="52"/>
        <v>0</v>
      </c>
      <c r="AA137">
        <f t="shared" si="52"/>
        <v>0</v>
      </c>
      <c r="AB137">
        <f t="shared" si="52"/>
        <v>0</v>
      </c>
      <c r="AC137">
        <f t="shared" si="52"/>
        <v>0</v>
      </c>
      <c r="AD137">
        <f t="shared" si="52"/>
        <v>0</v>
      </c>
      <c r="AE137">
        <f t="shared" si="52"/>
        <v>0</v>
      </c>
      <c r="AF137">
        <f t="shared" si="52"/>
        <v>0</v>
      </c>
      <c r="AG137">
        <f t="shared" si="52"/>
        <v>0</v>
      </c>
      <c r="AH137">
        <f t="shared" si="52"/>
        <v>0</v>
      </c>
      <c r="AI137">
        <f t="shared" si="52"/>
        <v>0</v>
      </c>
      <c r="AJ137">
        <f t="shared" si="52"/>
        <v>0</v>
      </c>
      <c r="AK137">
        <f t="shared" si="52"/>
        <v>0</v>
      </c>
      <c r="AL137">
        <f t="shared" si="52"/>
        <v>0</v>
      </c>
      <c r="AM137">
        <f t="shared" si="52"/>
        <v>0</v>
      </c>
      <c r="AN137">
        <f t="shared" si="52"/>
        <v>0</v>
      </c>
      <c r="AO137">
        <f t="shared" si="52"/>
        <v>0</v>
      </c>
      <c r="AP137">
        <f t="shared" si="52"/>
        <v>0</v>
      </c>
      <c r="AQ137">
        <f t="shared" si="52"/>
        <v>0</v>
      </c>
      <c r="AR137">
        <f t="shared" si="52"/>
        <v>0</v>
      </c>
      <c r="AS137">
        <f t="shared" si="52"/>
        <v>0</v>
      </c>
      <c r="AT137">
        <f t="shared" si="52"/>
        <v>0</v>
      </c>
      <c r="AU137">
        <f t="shared" ref="AU137:CE137" si="53">SUM(AU121:AU136)*$DM$3</f>
        <v>0</v>
      </c>
      <c r="AV137">
        <f t="shared" si="53"/>
        <v>0</v>
      </c>
      <c r="AW137">
        <f t="shared" si="53"/>
        <v>0</v>
      </c>
      <c r="AX137">
        <f t="shared" si="53"/>
        <v>0</v>
      </c>
      <c r="AY137">
        <f t="shared" si="53"/>
        <v>0</v>
      </c>
      <c r="AZ137">
        <f t="shared" si="53"/>
        <v>0</v>
      </c>
      <c r="BA137">
        <f t="shared" si="53"/>
        <v>0</v>
      </c>
      <c r="BB137">
        <f t="shared" si="53"/>
        <v>0</v>
      </c>
      <c r="BC137">
        <f t="shared" si="53"/>
        <v>0</v>
      </c>
      <c r="BD137">
        <f t="shared" si="53"/>
        <v>0</v>
      </c>
      <c r="BE137">
        <f t="shared" si="53"/>
        <v>0</v>
      </c>
      <c r="BF137">
        <f t="shared" si="53"/>
        <v>0</v>
      </c>
      <c r="BG137">
        <f t="shared" si="53"/>
        <v>0</v>
      </c>
      <c r="BH137">
        <f t="shared" si="53"/>
        <v>0</v>
      </c>
      <c r="BI137">
        <f t="shared" si="53"/>
        <v>0</v>
      </c>
      <c r="BJ137">
        <f t="shared" si="53"/>
        <v>0</v>
      </c>
      <c r="BK137">
        <f t="shared" si="53"/>
        <v>0</v>
      </c>
      <c r="BL137">
        <f t="shared" si="53"/>
        <v>0</v>
      </c>
      <c r="BM137">
        <f t="shared" si="53"/>
        <v>0</v>
      </c>
      <c r="BN137">
        <f t="shared" si="53"/>
        <v>0</v>
      </c>
      <c r="BO137">
        <f t="shared" si="53"/>
        <v>0</v>
      </c>
      <c r="BP137">
        <f t="shared" si="53"/>
        <v>0</v>
      </c>
      <c r="BQ137">
        <f t="shared" si="53"/>
        <v>0</v>
      </c>
      <c r="BR137">
        <f t="shared" si="53"/>
        <v>0</v>
      </c>
      <c r="BS137">
        <f t="shared" si="53"/>
        <v>0</v>
      </c>
      <c r="BT137">
        <f t="shared" si="53"/>
        <v>0</v>
      </c>
      <c r="BU137">
        <f t="shared" si="53"/>
        <v>0</v>
      </c>
      <c r="BV137">
        <f t="shared" si="53"/>
        <v>0</v>
      </c>
      <c r="BW137">
        <f t="shared" si="53"/>
        <v>0</v>
      </c>
      <c r="BX137">
        <f t="shared" si="53"/>
        <v>0</v>
      </c>
      <c r="BY137">
        <f t="shared" si="53"/>
        <v>0</v>
      </c>
      <c r="BZ137">
        <f t="shared" si="53"/>
        <v>0</v>
      </c>
      <c r="CA137">
        <f t="shared" si="53"/>
        <v>0</v>
      </c>
      <c r="CB137">
        <f t="shared" si="53"/>
        <v>0</v>
      </c>
      <c r="CC137">
        <f t="shared" si="53"/>
        <v>0</v>
      </c>
      <c r="CD137">
        <f t="shared" si="53"/>
        <v>0</v>
      </c>
      <c r="CE137">
        <f t="shared" si="53"/>
        <v>0</v>
      </c>
      <c r="CF137">
        <f>SUM(CF121:CF136)*$DM$3</f>
        <v>0</v>
      </c>
      <c r="CG137">
        <f t="shared" ref="CG137:DI137" si="54">SUM(CG121:CG136)*$DM$3</f>
        <v>0</v>
      </c>
      <c r="CH137">
        <f t="shared" si="54"/>
        <v>0</v>
      </c>
      <c r="CI137">
        <f t="shared" si="54"/>
        <v>0</v>
      </c>
      <c r="CJ137">
        <f t="shared" si="54"/>
        <v>0</v>
      </c>
      <c r="CK137">
        <f t="shared" si="54"/>
        <v>0</v>
      </c>
      <c r="CL137">
        <f t="shared" si="54"/>
        <v>0</v>
      </c>
      <c r="CM137">
        <f t="shared" si="54"/>
        <v>0</v>
      </c>
      <c r="CN137">
        <f t="shared" si="54"/>
        <v>0</v>
      </c>
      <c r="CO137">
        <f t="shared" si="54"/>
        <v>0</v>
      </c>
      <c r="CP137">
        <f t="shared" si="54"/>
        <v>0</v>
      </c>
      <c r="CQ137">
        <f t="shared" si="54"/>
        <v>0</v>
      </c>
      <c r="CR137">
        <f t="shared" si="54"/>
        <v>0</v>
      </c>
      <c r="CS137">
        <f t="shared" si="54"/>
        <v>0</v>
      </c>
      <c r="CT137">
        <f t="shared" si="54"/>
        <v>0</v>
      </c>
      <c r="CU137">
        <f t="shared" si="54"/>
        <v>0</v>
      </c>
      <c r="CV137">
        <f t="shared" si="54"/>
        <v>0</v>
      </c>
      <c r="CW137">
        <f t="shared" si="54"/>
        <v>0</v>
      </c>
      <c r="CX137">
        <f t="shared" si="54"/>
        <v>0</v>
      </c>
      <c r="CY137">
        <f t="shared" si="54"/>
        <v>0</v>
      </c>
      <c r="CZ137">
        <f t="shared" si="54"/>
        <v>0</v>
      </c>
      <c r="DA137">
        <f t="shared" si="54"/>
        <v>0</v>
      </c>
      <c r="DB137">
        <f t="shared" si="54"/>
        <v>0</v>
      </c>
      <c r="DC137">
        <f t="shared" si="54"/>
        <v>0</v>
      </c>
      <c r="DD137">
        <f t="shared" si="54"/>
        <v>0</v>
      </c>
      <c r="DE137">
        <f t="shared" si="54"/>
        <v>0</v>
      </c>
      <c r="DF137">
        <f t="shared" si="54"/>
        <v>0</v>
      </c>
      <c r="DG137">
        <f t="shared" si="54"/>
        <v>0</v>
      </c>
      <c r="DH137">
        <f t="shared" si="54"/>
        <v>0</v>
      </c>
      <c r="DI137">
        <f t="shared" si="54"/>
        <v>0</v>
      </c>
    </row>
    <row r="138" spans="2:113">
      <c r="B138" t="s">
        <v>2931</v>
      </c>
      <c r="D138">
        <v>1</v>
      </c>
      <c r="E138">
        <f t="shared" ref="E138:BP141" si="55">IF(COUNTIF($B$67:$B$74,E67)=1,1,0)</f>
        <v>0</v>
      </c>
      <c r="F138">
        <f t="shared" si="55"/>
        <v>0</v>
      </c>
      <c r="G138">
        <f t="shared" si="55"/>
        <v>0</v>
      </c>
      <c r="H138">
        <f t="shared" si="55"/>
        <v>0</v>
      </c>
      <c r="I138">
        <f t="shared" si="55"/>
        <v>0</v>
      </c>
      <c r="J138">
        <f t="shared" si="55"/>
        <v>0</v>
      </c>
      <c r="K138">
        <f t="shared" si="55"/>
        <v>0</v>
      </c>
      <c r="L138">
        <f t="shared" si="55"/>
        <v>0</v>
      </c>
      <c r="M138">
        <f t="shared" si="55"/>
        <v>0</v>
      </c>
      <c r="N138">
        <f t="shared" si="55"/>
        <v>0</v>
      </c>
      <c r="O138">
        <f t="shared" si="55"/>
        <v>0</v>
      </c>
      <c r="P138">
        <f t="shared" si="55"/>
        <v>0</v>
      </c>
      <c r="Q138">
        <f t="shared" si="55"/>
        <v>0</v>
      </c>
      <c r="R138">
        <f t="shared" si="55"/>
        <v>0</v>
      </c>
      <c r="S138">
        <f t="shared" si="55"/>
        <v>0</v>
      </c>
      <c r="T138">
        <f t="shared" si="55"/>
        <v>0</v>
      </c>
      <c r="U138">
        <f t="shared" si="55"/>
        <v>0</v>
      </c>
      <c r="V138">
        <f t="shared" si="55"/>
        <v>0</v>
      </c>
      <c r="W138">
        <f t="shared" si="55"/>
        <v>0</v>
      </c>
      <c r="X138">
        <f t="shared" si="55"/>
        <v>0</v>
      </c>
      <c r="Y138">
        <f t="shared" si="55"/>
        <v>0</v>
      </c>
      <c r="Z138">
        <f t="shared" si="55"/>
        <v>0</v>
      </c>
      <c r="AA138">
        <f t="shared" si="55"/>
        <v>0</v>
      </c>
      <c r="AB138">
        <f t="shared" si="55"/>
        <v>0</v>
      </c>
      <c r="AC138">
        <f t="shared" si="55"/>
        <v>0</v>
      </c>
      <c r="AD138">
        <f t="shared" si="55"/>
        <v>0</v>
      </c>
      <c r="AE138">
        <f t="shared" si="55"/>
        <v>0</v>
      </c>
      <c r="AF138">
        <f t="shared" si="55"/>
        <v>0</v>
      </c>
      <c r="AG138">
        <f t="shared" si="55"/>
        <v>0</v>
      </c>
      <c r="AH138">
        <f t="shared" si="55"/>
        <v>0</v>
      </c>
      <c r="AI138">
        <f t="shared" si="55"/>
        <v>0</v>
      </c>
      <c r="AJ138">
        <f t="shared" si="55"/>
        <v>0</v>
      </c>
      <c r="AK138">
        <f t="shared" si="55"/>
        <v>0</v>
      </c>
      <c r="AL138">
        <f t="shared" si="55"/>
        <v>0</v>
      </c>
      <c r="AM138">
        <f t="shared" si="55"/>
        <v>0</v>
      </c>
      <c r="AN138">
        <f t="shared" si="55"/>
        <v>0</v>
      </c>
      <c r="AO138">
        <f t="shared" si="55"/>
        <v>0</v>
      </c>
      <c r="AP138">
        <f t="shared" si="55"/>
        <v>0</v>
      </c>
      <c r="AQ138">
        <f t="shared" si="55"/>
        <v>0</v>
      </c>
      <c r="AR138">
        <f t="shared" si="55"/>
        <v>0</v>
      </c>
      <c r="AS138">
        <f t="shared" si="55"/>
        <v>0</v>
      </c>
      <c r="AT138">
        <f t="shared" si="55"/>
        <v>0</v>
      </c>
      <c r="AU138">
        <f t="shared" si="55"/>
        <v>0</v>
      </c>
      <c r="AV138">
        <f t="shared" si="55"/>
        <v>0</v>
      </c>
      <c r="AW138">
        <f t="shared" si="55"/>
        <v>0</v>
      </c>
      <c r="AX138">
        <f t="shared" si="55"/>
        <v>0</v>
      </c>
      <c r="AY138">
        <f t="shared" si="55"/>
        <v>0</v>
      </c>
      <c r="AZ138">
        <f t="shared" si="55"/>
        <v>0</v>
      </c>
      <c r="BA138">
        <f t="shared" si="55"/>
        <v>0</v>
      </c>
      <c r="BB138">
        <f t="shared" si="55"/>
        <v>0</v>
      </c>
      <c r="BC138">
        <f t="shared" si="55"/>
        <v>0</v>
      </c>
      <c r="BD138">
        <f t="shared" si="55"/>
        <v>0</v>
      </c>
      <c r="BE138">
        <f t="shared" si="55"/>
        <v>0</v>
      </c>
      <c r="BF138">
        <f t="shared" si="55"/>
        <v>0</v>
      </c>
      <c r="BG138">
        <f t="shared" si="55"/>
        <v>0</v>
      </c>
      <c r="BH138">
        <f t="shared" si="55"/>
        <v>0</v>
      </c>
      <c r="BI138">
        <f t="shared" si="55"/>
        <v>0</v>
      </c>
      <c r="BJ138">
        <f t="shared" si="55"/>
        <v>0</v>
      </c>
      <c r="BK138">
        <f t="shared" si="55"/>
        <v>0</v>
      </c>
      <c r="BL138">
        <f t="shared" si="55"/>
        <v>0</v>
      </c>
      <c r="BM138">
        <f t="shared" si="55"/>
        <v>0</v>
      </c>
      <c r="BN138">
        <f t="shared" si="55"/>
        <v>0</v>
      </c>
      <c r="BO138">
        <f t="shared" si="55"/>
        <v>0</v>
      </c>
      <c r="BP138">
        <f t="shared" si="55"/>
        <v>0</v>
      </c>
      <c r="BQ138">
        <f t="shared" ref="BQ138:DI145" si="56">IF(COUNTIF($B$67:$B$74,BQ67)=1,1,0)</f>
        <v>0</v>
      </c>
      <c r="BR138">
        <f t="shared" si="56"/>
        <v>0</v>
      </c>
      <c r="BS138">
        <f t="shared" si="56"/>
        <v>0</v>
      </c>
      <c r="BT138">
        <f t="shared" si="56"/>
        <v>0</v>
      </c>
      <c r="BU138">
        <f t="shared" si="56"/>
        <v>0</v>
      </c>
      <c r="BV138">
        <f t="shared" si="56"/>
        <v>0</v>
      </c>
      <c r="BW138">
        <f t="shared" si="56"/>
        <v>0</v>
      </c>
      <c r="BX138">
        <f t="shared" si="56"/>
        <v>0</v>
      </c>
      <c r="BY138">
        <f t="shared" si="56"/>
        <v>0</v>
      </c>
      <c r="BZ138">
        <f t="shared" si="56"/>
        <v>0</v>
      </c>
      <c r="CA138">
        <f t="shared" si="56"/>
        <v>0</v>
      </c>
      <c r="CB138">
        <f t="shared" si="56"/>
        <v>0</v>
      </c>
      <c r="CC138">
        <f t="shared" si="56"/>
        <v>0</v>
      </c>
      <c r="CD138">
        <f t="shared" si="56"/>
        <v>0</v>
      </c>
      <c r="CE138">
        <f t="shared" si="56"/>
        <v>0</v>
      </c>
      <c r="CF138">
        <f t="shared" si="56"/>
        <v>0</v>
      </c>
      <c r="CG138">
        <f t="shared" si="56"/>
        <v>0</v>
      </c>
      <c r="CH138">
        <f t="shared" si="56"/>
        <v>0</v>
      </c>
      <c r="CI138">
        <f t="shared" si="56"/>
        <v>0</v>
      </c>
      <c r="CJ138">
        <f t="shared" si="56"/>
        <v>0</v>
      </c>
      <c r="CK138">
        <f t="shared" si="56"/>
        <v>0</v>
      </c>
      <c r="CL138">
        <f t="shared" si="56"/>
        <v>0</v>
      </c>
      <c r="CM138">
        <f t="shared" si="56"/>
        <v>0</v>
      </c>
      <c r="CN138">
        <f t="shared" si="56"/>
        <v>0</v>
      </c>
      <c r="CO138">
        <f t="shared" si="56"/>
        <v>0</v>
      </c>
      <c r="CP138">
        <f t="shared" si="56"/>
        <v>0</v>
      </c>
      <c r="CQ138">
        <f t="shared" si="56"/>
        <v>0</v>
      </c>
      <c r="CR138">
        <f t="shared" si="56"/>
        <v>0</v>
      </c>
      <c r="CS138">
        <f t="shared" si="56"/>
        <v>0</v>
      </c>
      <c r="CT138">
        <f t="shared" si="56"/>
        <v>0</v>
      </c>
      <c r="CU138">
        <f t="shared" si="56"/>
        <v>0</v>
      </c>
      <c r="CV138">
        <f t="shared" si="56"/>
        <v>0</v>
      </c>
      <c r="CW138">
        <f t="shared" si="56"/>
        <v>0</v>
      </c>
      <c r="CX138">
        <f t="shared" si="56"/>
        <v>0</v>
      </c>
      <c r="CY138">
        <f t="shared" si="56"/>
        <v>0</v>
      </c>
      <c r="CZ138">
        <f t="shared" si="56"/>
        <v>0</v>
      </c>
      <c r="DA138">
        <f t="shared" si="56"/>
        <v>0</v>
      </c>
      <c r="DB138">
        <f t="shared" si="56"/>
        <v>0</v>
      </c>
      <c r="DC138">
        <f t="shared" si="56"/>
        <v>0</v>
      </c>
      <c r="DD138">
        <f t="shared" si="56"/>
        <v>0</v>
      </c>
      <c r="DE138">
        <f t="shared" si="56"/>
        <v>0</v>
      </c>
      <c r="DF138">
        <f t="shared" si="56"/>
        <v>0</v>
      </c>
      <c r="DG138">
        <f t="shared" si="56"/>
        <v>0</v>
      </c>
      <c r="DH138">
        <f t="shared" si="56"/>
        <v>0</v>
      </c>
      <c r="DI138">
        <f t="shared" si="56"/>
        <v>0</v>
      </c>
    </row>
    <row r="139" spans="2:113">
      <c r="D139">
        <v>2</v>
      </c>
      <c r="E139">
        <f t="shared" si="55"/>
        <v>0</v>
      </c>
      <c r="F139">
        <f t="shared" si="55"/>
        <v>0</v>
      </c>
      <c r="G139">
        <f t="shared" si="55"/>
        <v>0</v>
      </c>
      <c r="H139">
        <f t="shared" si="55"/>
        <v>0</v>
      </c>
      <c r="I139">
        <f t="shared" si="55"/>
        <v>0</v>
      </c>
      <c r="J139">
        <f t="shared" si="55"/>
        <v>0</v>
      </c>
      <c r="K139">
        <f t="shared" si="55"/>
        <v>0</v>
      </c>
      <c r="L139">
        <f t="shared" si="55"/>
        <v>0</v>
      </c>
      <c r="M139">
        <f t="shared" si="55"/>
        <v>0</v>
      </c>
      <c r="N139">
        <f t="shared" si="55"/>
        <v>0</v>
      </c>
      <c r="O139">
        <f t="shared" si="55"/>
        <v>0</v>
      </c>
      <c r="P139">
        <f t="shared" si="55"/>
        <v>0</v>
      </c>
      <c r="Q139">
        <f t="shared" si="55"/>
        <v>0</v>
      </c>
      <c r="R139">
        <f t="shared" si="55"/>
        <v>0</v>
      </c>
      <c r="S139">
        <f t="shared" si="55"/>
        <v>0</v>
      </c>
      <c r="T139">
        <f t="shared" si="55"/>
        <v>0</v>
      </c>
      <c r="U139">
        <f t="shared" si="55"/>
        <v>0</v>
      </c>
      <c r="V139">
        <f t="shared" si="55"/>
        <v>0</v>
      </c>
      <c r="W139">
        <f t="shared" si="55"/>
        <v>0</v>
      </c>
      <c r="X139">
        <f t="shared" si="55"/>
        <v>0</v>
      </c>
      <c r="Y139">
        <f t="shared" si="55"/>
        <v>0</v>
      </c>
      <c r="Z139">
        <f t="shared" si="55"/>
        <v>0</v>
      </c>
      <c r="AA139">
        <f t="shared" si="55"/>
        <v>0</v>
      </c>
      <c r="AB139">
        <f t="shared" si="55"/>
        <v>0</v>
      </c>
      <c r="AC139">
        <f t="shared" si="55"/>
        <v>0</v>
      </c>
      <c r="AD139">
        <f t="shared" si="55"/>
        <v>0</v>
      </c>
      <c r="AE139">
        <f t="shared" si="55"/>
        <v>0</v>
      </c>
      <c r="AF139">
        <f t="shared" si="55"/>
        <v>0</v>
      </c>
      <c r="AG139">
        <f t="shared" si="55"/>
        <v>0</v>
      </c>
      <c r="AH139">
        <f t="shared" si="55"/>
        <v>0</v>
      </c>
      <c r="AI139">
        <f t="shared" si="55"/>
        <v>0</v>
      </c>
      <c r="AJ139">
        <f t="shared" si="55"/>
        <v>0</v>
      </c>
      <c r="AK139">
        <f t="shared" si="55"/>
        <v>0</v>
      </c>
      <c r="AL139">
        <f t="shared" si="55"/>
        <v>0</v>
      </c>
      <c r="AM139">
        <f t="shared" si="55"/>
        <v>0</v>
      </c>
      <c r="AN139">
        <f t="shared" si="55"/>
        <v>0</v>
      </c>
      <c r="AO139">
        <f t="shared" si="55"/>
        <v>0</v>
      </c>
      <c r="AP139">
        <f t="shared" si="55"/>
        <v>0</v>
      </c>
      <c r="AQ139">
        <f t="shared" si="55"/>
        <v>0</v>
      </c>
      <c r="AR139">
        <f t="shared" si="55"/>
        <v>0</v>
      </c>
      <c r="AS139">
        <f t="shared" si="55"/>
        <v>0</v>
      </c>
      <c r="AT139">
        <f t="shared" si="55"/>
        <v>0</v>
      </c>
      <c r="AU139">
        <f t="shared" si="55"/>
        <v>0</v>
      </c>
      <c r="AV139">
        <f t="shared" si="55"/>
        <v>0</v>
      </c>
      <c r="AW139">
        <f t="shared" si="55"/>
        <v>0</v>
      </c>
      <c r="AX139">
        <f t="shared" si="55"/>
        <v>0</v>
      </c>
      <c r="AY139">
        <f t="shared" si="55"/>
        <v>0</v>
      </c>
      <c r="AZ139">
        <f t="shared" si="55"/>
        <v>0</v>
      </c>
      <c r="BA139">
        <f t="shared" si="55"/>
        <v>0</v>
      </c>
      <c r="BB139">
        <f t="shared" si="55"/>
        <v>0</v>
      </c>
      <c r="BC139">
        <f t="shared" si="55"/>
        <v>0</v>
      </c>
      <c r="BD139">
        <f t="shared" si="55"/>
        <v>0</v>
      </c>
      <c r="BE139">
        <f t="shared" si="55"/>
        <v>0</v>
      </c>
      <c r="BF139">
        <f t="shared" si="55"/>
        <v>0</v>
      </c>
      <c r="BG139">
        <f t="shared" si="55"/>
        <v>0</v>
      </c>
      <c r="BH139">
        <f t="shared" si="55"/>
        <v>0</v>
      </c>
      <c r="BI139">
        <f t="shared" si="55"/>
        <v>0</v>
      </c>
      <c r="BJ139">
        <f t="shared" si="55"/>
        <v>0</v>
      </c>
      <c r="BK139">
        <f t="shared" si="55"/>
        <v>0</v>
      </c>
      <c r="BL139">
        <f t="shared" si="55"/>
        <v>0</v>
      </c>
      <c r="BM139">
        <f t="shared" si="55"/>
        <v>0</v>
      </c>
      <c r="BN139">
        <f t="shared" si="55"/>
        <v>0</v>
      </c>
      <c r="BO139">
        <f t="shared" si="55"/>
        <v>0</v>
      </c>
      <c r="BP139">
        <f t="shared" si="55"/>
        <v>0</v>
      </c>
      <c r="BQ139">
        <f t="shared" si="56"/>
        <v>0</v>
      </c>
      <c r="BR139">
        <f t="shared" si="56"/>
        <v>0</v>
      </c>
      <c r="BS139">
        <f t="shared" si="56"/>
        <v>0</v>
      </c>
      <c r="BT139">
        <f t="shared" si="56"/>
        <v>0</v>
      </c>
      <c r="BU139">
        <f t="shared" si="56"/>
        <v>0</v>
      </c>
      <c r="BV139">
        <f t="shared" si="56"/>
        <v>0</v>
      </c>
      <c r="BW139">
        <f t="shared" si="56"/>
        <v>0</v>
      </c>
      <c r="BX139">
        <f t="shared" si="56"/>
        <v>0</v>
      </c>
      <c r="BY139">
        <f t="shared" si="56"/>
        <v>0</v>
      </c>
      <c r="BZ139">
        <f t="shared" si="56"/>
        <v>0</v>
      </c>
      <c r="CA139">
        <f t="shared" si="56"/>
        <v>0</v>
      </c>
      <c r="CB139">
        <f t="shared" si="56"/>
        <v>0</v>
      </c>
      <c r="CC139">
        <f t="shared" si="56"/>
        <v>0</v>
      </c>
      <c r="CD139">
        <f t="shared" si="56"/>
        <v>0</v>
      </c>
      <c r="CE139">
        <f t="shared" si="56"/>
        <v>0</v>
      </c>
      <c r="CF139">
        <f t="shared" si="56"/>
        <v>0</v>
      </c>
      <c r="CG139">
        <f t="shared" si="56"/>
        <v>0</v>
      </c>
      <c r="CH139">
        <f t="shared" si="56"/>
        <v>0</v>
      </c>
      <c r="CI139">
        <f t="shared" si="56"/>
        <v>0</v>
      </c>
      <c r="CJ139">
        <f t="shared" si="56"/>
        <v>0</v>
      </c>
      <c r="CK139">
        <f t="shared" si="56"/>
        <v>0</v>
      </c>
      <c r="CL139">
        <f t="shared" si="56"/>
        <v>0</v>
      </c>
      <c r="CM139">
        <f t="shared" si="56"/>
        <v>0</v>
      </c>
      <c r="CN139">
        <f t="shared" si="56"/>
        <v>0</v>
      </c>
      <c r="CO139">
        <f t="shared" si="56"/>
        <v>0</v>
      </c>
      <c r="CP139">
        <f t="shared" si="56"/>
        <v>0</v>
      </c>
      <c r="CQ139">
        <f t="shared" si="56"/>
        <v>0</v>
      </c>
      <c r="CR139">
        <f t="shared" si="56"/>
        <v>0</v>
      </c>
      <c r="CS139">
        <f t="shared" si="56"/>
        <v>0</v>
      </c>
      <c r="CT139">
        <f t="shared" si="56"/>
        <v>0</v>
      </c>
      <c r="CU139">
        <f t="shared" si="56"/>
        <v>0</v>
      </c>
      <c r="CV139">
        <f t="shared" si="56"/>
        <v>0</v>
      </c>
      <c r="CW139">
        <f t="shared" si="56"/>
        <v>0</v>
      </c>
      <c r="CX139">
        <f t="shared" si="56"/>
        <v>0</v>
      </c>
      <c r="CY139">
        <f t="shared" si="56"/>
        <v>0</v>
      </c>
      <c r="CZ139">
        <f t="shared" si="56"/>
        <v>0</v>
      </c>
      <c r="DA139">
        <f t="shared" si="56"/>
        <v>0</v>
      </c>
      <c r="DB139">
        <f t="shared" si="56"/>
        <v>0</v>
      </c>
      <c r="DC139">
        <f t="shared" si="56"/>
        <v>0</v>
      </c>
      <c r="DD139">
        <f t="shared" si="56"/>
        <v>0</v>
      </c>
      <c r="DE139">
        <f t="shared" si="56"/>
        <v>0</v>
      </c>
      <c r="DF139">
        <f t="shared" si="56"/>
        <v>0</v>
      </c>
      <c r="DG139">
        <f t="shared" si="56"/>
        <v>0</v>
      </c>
      <c r="DH139">
        <f t="shared" si="56"/>
        <v>0</v>
      </c>
      <c r="DI139">
        <f t="shared" si="56"/>
        <v>0</v>
      </c>
    </row>
    <row r="140" spans="2:113">
      <c r="D140">
        <v>3</v>
      </c>
      <c r="E140">
        <f t="shared" si="55"/>
        <v>0</v>
      </c>
      <c r="F140">
        <f t="shared" si="55"/>
        <v>0</v>
      </c>
      <c r="G140">
        <f t="shared" si="55"/>
        <v>0</v>
      </c>
      <c r="H140">
        <f t="shared" si="55"/>
        <v>0</v>
      </c>
      <c r="I140">
        <f t="shared" si="55"/>
        <v>0</v>
      </c>
      <c r="J140">
        <f t="shared" si="55"/>
        <v>0</v>
      </c>
      <c r="K140">
        <f t="shared" si="55"/>
        <v>0</v>
      </c>
      <c r="L140">
        <f t="shared" si="55"/>
        <v>0</v>
      </c>
      <c r="M140">
        <f t="shared" si="55"/>
        <v>0</v>
      </c>
      <c r="N140">
        <f t="shared" si="55"/>
        <v>0</v>
      </c>
      <c r="O140">
        <f t="shared" si="55"/>
        <v>0</v>
      </c>
      <c r="P140">
        <f t="shared" si="55"/>
        <v>0</v>
      </c>
      <c r="Q140">
        <f t="shared" si="55"/>
        <v>0</v>
      </c>
      <c r="R140">
        <f t="shared" si="55"/>
        <v>0</v>
      </c>
      <c r="S140">
        <f t="shared" si="55"/>
        <v>0</v>
      </c>
      <c r="T140">
        <f t="shared" si="55"/>
        <v>0</v>
      </c>
      <c r="U140">
        <f t="shared" si="55"/>
        <v>0</v>
      </c>
      <c r="V140">
        <f t="shared" si="55"/>
        <v>0</v>
      </c>
      <c r="W140">
        <f t="shared" si="55"/>
        <v>0</v>
      </c>
      <c r="X140">
        <f t="shared" si="55"/>
        <v>0</v>
      </c>
      <c r="Y140">
        <f t="shared" si="55"/>
        <v>0</v>
      </c>
      <c r="Z140">
        <f t="shared" si="55"/>
        <v>0</v>
      </c>
      <c r="AA140">
        <f t="shared" si="55"/>
        <v>0</v>
      </c>
      <c r="AB140">
        <f t="shared" si="55"/>
        <v>0</v>
      </c>
      <c r="AC140">
        <f t="shared" si="55"/>
        <v>0</v>
      </c>
      <c r="AD140">
        <f t="shared" si="55"/>
        <v>0</v>
      </c>
      <c r="AE140">
        <f t="shared" si="55"/>
        <v>0</v>
      </c>
      <c r="AF140">
        <f t="shared" si="55"/>
        <v>0</v>
      </c>
      <c r="AG140">
        <f t="shared" si="55"/>
        <v>0</v>
      </c>
      <c r="AH140">
        <f t="shared" si="55"/>
        <v>0</v>
      </c>
      <c r="AI140">
        <f t="shared" si="55"/>
        <v>0</v>
      </c>
      <c r="AJ140">
        <f t="shared" si="55"/>
        <v>0</v>
      </c>
      <c r="AK140">
        <f t="shared" si="55"/>
        <v>0</v>
      </c>
      <c r="AL140">
        <f t="shared" si="55"/>
        <v>0</v>
      </c>
      <c r="AM140">
        <f t="shared" si="55"/>
        <v>0</v>
      </c>
      <c r="AN140">
        <f t="shared" si="55"/>
        <v>0</v>
      </c>
      <c r="AO140">
        <f t="shared" si="55"/>
        <v>0</v>
      </c>
      <c r="AP140">
        <f t="shared" si="55"/>
        <v>0</v>
      </c>
      <c r="AQ140">
        <f t="shared" si="55"/>
        <v>0</v>
      </c>
      <c r="AR140">
        <f t="shared" si="55"/>
        <v>0</v>
      </c>
      <c r="AS140">
        <f t="shared" si="55"/>
        <v>0</v>
      </c>
      <c r="AT140">
        <f t="shared" si="55"/>
        <v>0</v>
      </c>
      <c r="AU140">
        <f t="shared" si="55"/>
        <v>0</v>
      </c>
      <c r="AV140">
        <f t="shared" si="55"/>
        <v>0</v>
      </c>
      <c r="AW140">
        <f t="shared" si="55"/>
        <v>0</v>
      </c>
      <c r="AX140">
        <f t="shared" si="55"/>
        <v>0</v>
      </c>
      <c r="AY140">
        <f t="shared" si="55"/>
        <v>0</v>
      </c>
      <c r="AZ140">
        <f t="shared" si="55"/>
        <v>0</v>
      </c>
      <c r="BA140">
        <f t="shared" si="55"/>
        <v>0</v>
      </c>
      <c r="BB140">
        <f t="shared" si="55"/>
        <v>0</v>
      </c>
      <c r="BC140">
        <f t="shared" si="55"/>
        <v>0</v>
      </c>
      <c r="BD140">
        <f t="shared" si="55"/>
        <v>0</v>
      </c>
      <c r="BE140">
        <f t="shared" si="55"/>
        <v>0</v>
      </c>
      <c r="BF140">
        <f t="shared" si="55"/>
        <v>0</v>
      </c>
      <c r="BG140">
        <f t="shared" si="55"/>
        <v>0</v>
      </c>
      <c r="BH140">
        <f t="shared" si="55"/>
        <v>0</v>
      </c>
      <c r="BI140">
        <f t="shared" si="55"/>
        <v>0</v>
      </c>
      <c r="BJ140">
        <f t="shared" si="55"/>
        <v>0</v>
      </c>
      <c r="BK140">
        <f t="shared" si="55"/>
        <v>0</v>
      </c>
      <c r="BL140">
        <f t="shared" si="55"/>
        <v>0</v>
      </c>
      <c r="BM140">
        <f t="shared" si="55"/>
        <v>0</v>
      </c>
      <c r="BN140">
        <f t="shared" si="55"/>
        <v>0</v>
      </c>
      <c r="BO140">
        <f t="shared" si="55"/>
        <v>0</v>
      </c>
      <c r="BP140">
        <f t="shared" si="55"/>
        <v>0</v>
      </c>
      <c r="BQ140">
        <f t="shared" si="56"/>
        <v>0</v>
      </c>
      <c r="BR140">
        <f t="shared" si="56"/>
        <v>0</v>
      </c>
      <c r="BS140">
        <f t="shared" si="56"/>
        <v>0</v>
      </c>
      <c r="BT140">
        <f t="shared" si="56"/>
        <v>0</v>
      </c>
      <c r="BU140">
        <f t="shared" si="56"/>
        <v>0</v>
      </c>
      <c r="BV140">
        <f t="shared" si="56"/>
        <v>0</v>
      </c>
      <c r="BW140">
        <f t="shared" si="56"/>
        <v>0</v>
      </c>
      <c r="BX140">
        <f t="shared" si="56"/>
        <v>0</v>
      </c>
      <c r="BY140">
        <f t="shared" si="56"/>
        <v>0</v>
      </c>
      <c r="BZ140">
        <f t="shared" si="56"/>
        <v>0</v>
      </c>
      <c r="CA140">
        <f t="shared" si="56"/>
        <v>0</v>
      </c>
      <c r="CB140">
        <f t="shared" si="56"/>
        <v>0</v>
      </c>
      <c r="CC140">
        <f t="shared" si="56"/>
        <v>0</v>
      </c>
      <c r="CD140">
        <f t="shared" si="56"/>
        <v>0</v>
      </c>
      <c r="CE140">
        <f t="shared" si="56"/>
        <v>0</v>
      </c>
      <c r="CF140">
        <f t="shared" si="56"/>
        <v>0</v>
      </c>
      <c r="CG140">
        <f t="shared" si="56"/>
        <v>0</v>
      </c>
      <c r="CH140">
        <f t="shared" si="56"/>
        <v>0</v>
      </c>
      <c r="CI140">
        <f t="shared" si="56"/>
        <v>0</v>
      </c>
      <c r="CJ140">
        <f t="shared" si="56"/>
        <v>0</v>
      </c>
      <c r="CK140">
        <f t="shared" si="56"/>
        <v>0</v>
      </c>
      <c r="CL140">
        <f t="shared" si="56"/>
        <v>0</v>
      </c>
      <c r="CM140">
        <f t="shared" si="56"/>
        <v>0</v>
      </c>
      <c r="CN140">
        <f t="shared" si="56"/>
        <v>0</v>
      </c>
      <c r="CO140">
        <f t="shared" si="56"/>
        <v>0</v>
      </c>
      <c r="CP140">
        <f t="shared" si="56"/>
        <v>0</v>
      </c>
      <c r="CQ140">
        <f t="shared" si="56"/>
        <v>0</v>
      </c>
      <c r="CR140">
        <f t="shared" si="56"/>
        <v>0</v>
      </c>
      <c r="CS140">
        <f t="shared" si="56"/>
        <v>0</v>
      </c>
      <c r="CT140">
        <f t="shared" si="56"/>
        <v>0</v>
      </c>
      <c r="CU140">
        <f t="shared" si="56"/>
        <v>0</v>
      </c>
      <c r="CV140">
        <f t="shared" si="56"/>
        <v>0</v>
      </c>
      <c r="CW140">
        <f t="shared" si="56"/>
        <v>0</v>
      </c>
      <c r="CX140">
        <f t="shared" si="56"/>
        <v>0</v>
      </c>
      <c r="CY140">
        <f t="shared" si="56"/>
        <v>0</v>
      </c>
      <c r="CZ140">
        <f t="shared" si="56"/>
        <v>0</v>
      </c>
      <c r="DA140">
        <f t="shared" si="56"/>
        <v>0</v>
      </c>
      <c r="DB140">
        <f t="shared" si="56"/>
        <v>0</v>
      </c>
      <c r="DC140">
        <f t="shared" si="56"/>
        <v>0</v>
      </c>
      <c r="DD140">
        <f t="shared" si="56"/>
        <v>0</v>
      </c>
      <c r="DE140">
        <f t="shared" si="56"/>
        <v>0</v>
      </c>
      <c r="DF140">
        <f t="shared" si="56"/>
        <v>0</v>
      </c>
      <c r="DG140">
        <f t="shared" si="56"/>
        <v>0</v>
      </c>
      <c r="DH140">
        <f t="shared" si="56"/>
        <v>0</v>
      </c>
      <c r="DI140">
        <f t="shared" si="56"/>
        <v>0</v>
      </c>
    </row>
    <row r="141" spans="2:113">
      <c r="D141">
        <v>4</v>
      </c>
      <c r="E141">
        <f t="shared" si="55"/>
        <v>0</v>
      </c>
      <c r="F141">
        <f t="shared" si="55"/>
        <v>0</v>
      </c>
      <c r="G141">
        <f t="shared" si="55"/>
        <v>0</v>
      </c>
      <c r="H141">
        <f t="shared" si="55"/>
        <v>0</v>
      </c>
      <c r="I141">
        <f t="shared" si="55"/>
        <v>0</v>
      </c>
      <c r="J141">
        <f t="shared" si="55"/>
        <v>0</v>
      </c>
      <c r="K141">
        <f t="shared" si="55"/>
        <v>0</v>
      </c>
      <c r="L141">
        <f t="shared" si="55"/>
        <v>0</v>
      </c>
      <c r="M141">
        <f t="shared" si="55"/>
        <v>0</v>
      </c>
      <c r="N141">
        <f t="shared" si="55"/>
        <v>0</v>
      </c>
      <c r="O141">
        <f t="shared" si="55"/>
        <v>0</v>
      </c>
      <c r="P141">
        <f t="shared" si="55"/>
        <v>0</v>
      </c>
      <c r="Q141">
        <f t="shared" si="55"/>
        <v>0</v>
      </c>
      <c r="R141">
        <f t="shared" si="55"/>
        <v>0</v>
      </c>
      <c r="S141">
        <f t="shared" si="55"/>
        <v>0</v>
      </c>
      <c r="T141">
        <f t="shared" si="55"/>
        <v>0</v>
      </c>
      <c r="U141">
        <f t="shared" si="55"/>
        <v>0</v>
      </c>
      <c r="V141">
        <f t="shared" si="55"/>
        <v>0</v>
      </c>
      <c r="W141">
        <f t="shared" si="55"/>
        <v>0</v>
      </c>
      <c r="X141">
        <f t="shared" si="55"/>
        <v>0</v>
      </c>
      <c r="Y141">
        <f t="shared" si="55"/>
        <v>0</v>
      </c>
      <c r="Z141">
        <f t="shared" si="55"/>
        <v>0</v>
      </c>
      <c r="AA141">
        <f t="shared" si="55"/>
        <v>0</v>
      </c>
      <c r="AB141">
        <f t="shared" si="55"/>
        <v>0</v>
      </c>
      <c r="AC141">
        <f t="shared" si="55"/>
        <v>0</v>
      </c>
      <c r="AD141">
        <f t="shared" si="55"/>
        <v>0</v>
      </c>
      <c r="AE141">
        <f t="shared" si="55"/>
        <v>0</v>
      </c>
      <c r="AF141">
        <f t="shared" si="55"/>
        <v>0</v>
      </c>
      <c r="AG141">
        <f t="shared" si="55"/>
        <v>0</v>
      </c>
      <c r="AH141">
        <f t="shared" si="55"/>
        <v>0</v>
      </c>
      <c r="AI141">
        <f t="shared" si="55"/>
        <v>0</v>
      </c>
      <c r="AJ141">
        <f t="shared" si="55"/>
        <v>0</v>
      </c>
      <c r="AK141">
        <f t="shared" si="55"/>
        <v>0</v>
      </c>
      <c r="AL141">
        <f t="shared" si="55"/>
        <v>0</v>
      </c>
      <c r="AM141">
        <f t="shared" si="55"/>
        <v>0</v>
      </c>
      <c r="AN141">
        <f t="shared" si="55"/>
        <v>0</v>
      </c>
      <c r="AO141">
        <f t="shared" si="55"/>
        <v>0</v>
      </c>
      <c r="AP141">
        <f t="shared" si="55"/>
        <v>0</v>
      </c>
      <c r="AQ141">
        <f t="shared" si="55"/>
        <v>0</v>
      </c>
      <c r="AR141">
        <f t="shared" si="55"/>
        <v>0</v>
      </c>
      <c r="AS141">
        <f t="shared" si="55"/>
        <v>0</v>
      </c>
      <c r="AT141">
        <f t="shared" si="55"/>
        <v>0</v>
      </c>
      <c r="AU141">
        <f t="shared" si="55"/>
        <v>0</v>
      </c>
      <c r="AV141">
        <f t="shared" si="55"/>
        <v>0</v>
      </c>
      <c r="AW141">
        <f t="shared" si="55"/>
        <v>0</v>
      </c>
      <c r="AX141">
        <f t="shared" si="55"/>
        <v>0</v>
      </c>
      <c r="AY141">
        <f t="shared" si="55"/>
        <v>0</v>
      </c>
      <c r="AZ141">
        <f t="shared" si="55"/>
        <v>0</v>
      </c>
      <c r="BA141">
        <f t="shared" si="55"/>
        <v>0</v>
      </c>
      <c r="BB141">
        <f t="shared" si="55"/>
        <v>0</v>
      </c>
      <c r="BC141">
        <f t="shared" si="55"/>
        <v>0</v>
      </c>
      <c r="BD141">
        <f t="shared" si="55"/>
        <v>0</v>
      </c>
      <c r="BE141">
        <f t="shared" si="55"/>
        <v>0</v>
      </c>
      <c r="BF141">
        <f t="shared" si="55"/>
        <v>0</v>
      </c>
      <c r="BG141">
        <f t="shared" si="55"/>
        <v>0</v>
      </c>
      <c r="BH141">
        <f t="shared" si="55"/>
        <v>0</v>
      </c>
      <c r="BI141">
        <f t="shared" si="55"/>
        <v>0</v>
      </c>
      <c r="BJ141">
        <f t="shared" si="55"/>
        <v>0</v>
      </c>
      <c r="BK141">
        <f t="shared" si="55"/>
        <v>0</v>
      </c>
      <c r="BL141">
        <f t="shared" si="55"/>
        <v>0</v>
      </c>
      <c r="BM141">
        <f t="shared" si="55"/>
        <v>0</v>
      </c>
      <c r="BN141">
        <f t="shared" si="55"/>
        <v>0</v>
      </c>
      <c r="BO141">
        <f t="shared" si="55"/>
        <v>0</v>
      </c>
      <c r="BP141">
        <f t="shared" ref="BP141:CF144" si="57">IF(COUNTIF($B$67:$B$74,BP70)=1,1,0)</f>
        <v>0</v>
      </c>
      <c r="BQ141">
        <f t="shared" si="57"/>
        <v>0</v>
      </c>
      <c r="BR141">
        <f t="shared" si="57"/>
        <v>0</v>
      </c>
      <c r="BS141">
        <f t="shared" si="57"/>
        <v>0</v>
      </c>
      <c r="BT141">
        <f t="shared" si="57"/>
        <v>0</v>
      </c>
      <c r="BU141">
        <f t="shared" si="57"/>
        <v>0</v>
      </c>
      <c r="BV141">
        <f t="shared" si="57"/>
        <v>0</v>
      </c>
      <c r="BW141">
        <f t="shared" si="57"/>
        <v>0</v>
      </c>
      <c r="BX141">
        <f t="shared" si="57"/>
        <v>0</v>
      </c>
      <c r="BY141">
        <f t="shared" si="57"/>
        <v>0</v>
      </c>
      <c r="BZ141">
        <f t="shared" si="57"/>
        <v>0</v>
      </c>
      <c r="CA141">
        <f t="shared" si="57"/>
        <v>0</v>
      </c>
      <c r="CB141">
        <f t="shared" si="57"/>
        <v>0</v>
      </c>
      <c r="CC141">
        <f t="shared" si="57"/>
        <v>0</v>
      </c>
      <c r="CD141">
        <f t="shared" si="57"/>
        <v>0</v>
      </c>
      <c r="CE141">
        <f t="shared" si="57"/>
        <v>0</v>
      </c>
      <c r="CF141">
        <f t="shared" si="57"/>
        <v>0</v>
      </c>
      <c r="CG141">
        <f t="shared" si="56"/>
        <v>0</v>
      </c>
      <c r="CH141">
        <f t="shared" si="56"/>
        <v>0</v>
      </c>
      <c r="CI141">
        <f t="shared" si="56"/>
        <v>0</v>
      </c>
      <c r="CJ141">
        <f t="shared" si="56"/>
        <v>0</v>
      </c>
      <c r="CK141">
        <f t="shared" si="56"/>
        <v>0</v>
      </c>
      <c r="CL141">
        <f t="shared" si="56"/>
        <v>0</v>
      </c>
      <c r="CM141">
        <f t="shared" si="56"/>
        <v>0</v>
      </c>
      <c r="CN141">
        <f t="shared" si="56"/>
        <v>0</v>
      </c>
      <c r="CO141">
        <f t="shared" si="56"/>
        <v>0</v>
      </c>
      <c r="CP141">
        <f t="shared" si="56"/>
        <v>0</v>
      </c>
      <c r="CQ141">
        <f t="shared" si="56"/>
        <v>0</v>
      </c>
      <c r="CR141">
        <f t="shared" si="56"/>
        <v>0</v>
      </c>
      <c r="CS141">
        <f t="shared" si="56"/>
        <v>0</v>
      </c>
      <c r="CT141">
        <f t="shared" si="56"/>
        <v>0</v>
      </c>
      <c r="CU141">
        <f t="shared" si="56"/>
        <v>0</v>
      </c>
      <c r="CV141">
        <f t="shared" si="56"/>
        <v>0</v>
      </c>
      <c r="CW141">
        <f t="shared" si="56"/>
        <v>0</v>
      </c>
      <c r="CX141">
        <f t="shared" si="56"/>
        <v>0</v>
      </c>
      <c r="CY141">
        <f t="shared" si="56"/>
        <v>0</v>
      </c>
      <c r="CZ141">
        <f t="shared" si="56"/>
        <v>0</v>
      </c>
      <c r="DA141">
        <f t="shared" si="56"/>
        <v>0</v>
      </c>
      <c r="DB141">
        <f t="shared" si="56"/>
        <v>0</v>
      </c>
      <c r="DC141">
        <f t="shared" si="56"/>
        <v>0</v>
      </c>
      <c r="DD141">
        <f t="shared" si="56"/>
        <v>0</v>
      </c>
      <c r="DE141">
        <f t="shared" si="56"/>
        <v>0</v>
      </c>
      <c r="DF141">
        <f t="shared" si="56"/>
        <v>0</v>
      </c>
      <c r="DG141">
        <f t="shared" si="56"/>
        <v>0</v>
      </c>
      <c r="DH141">
        <f t="shared" si="56"/>
        <v>0</v>
      </c>
      <c r="DI141">
        <f t="shared" si="56"/>
        <v>0</v>
      </c>
    </row>
    <row r="142" spans="2:113">
      <c r="D142">
        <v>5</v>
      </c>
      <c r="E142">
        <f t="shared" ref="E142:BP145" si="58">IF(COUNTIF($B$67:$B$74,E71)=1,1,0)</f>
        <v>0</v>
      </c>
      <c r="F142">
        <f t="shared" si="58"/>
        <v>0</v>
      </c>
      <c r="G142">
        <f t="shared" si="58"/>
        <v>0</v>
      </c>
      <c r="H142">
        <f t="shared" si="58"/>
        <v>0</v>
      </c>
      <c r="I142">
        <f t="shared" si="58"/>
        <v>0</v>
      </c>
      <c r="J142">
        <f t="shared" si="58"/>
        <v>0</v>
      </c>
      <c r="K142">
        <f t="shared" si="58"/>
        <v>0</v>
      </c>
      <c r="L142">
        <f t="shared" si="58"/>
        <v>0</v>
      </c>
      <c r="M142">
        <f t="shared" si="58"/>
        <v>0</v>
      </c>
      <c r="N142">
        <f t="shared" si="58"/>
        <v>0</v>
      </c>
      <c r="O142">
        <f t="shared" si="58"/>
        <v>0</v>
      </c>
      <c r="P142">
        <f t="shared" si="58"/>
        <v>0</v>
      </c>
      <c r="Q142">
        <f t="shared" si="58"/>
        <v>0</v>
      </c>
      <c r="R142">
        <f t="shared" si="58"/>
        <v>0</v>
      </c>
      <c r="S142">
        <f t="shared" si="58"/>
        <v>0</v>
      </c>
      <c r="T142">
        <f t="shared" si="58"/>
        <v>0</v>
      </c>
      <c r="U142">
        <f t="shared" si="58"/>
        <v>0</v>
      </c>
      <c r="V142">
        <f t="shared" si="58"/>
        <v>0</v>
      </c>
      <c r="W142">
        <f t="shared" si="58"/>
        <v>0</v>
      </c>
      <c r="X142">
        <f t="shared" si="58"/>
        <v>0</v>
      </c>
      <c r="Y142">
        <f t="shared" si="58"/>
        <v>0</v>
      </c>
      <c r="Z142">
        <f t="shared" si="58"/>
        <v>0</v>
      </c>
      <c r="AA142">
        <f t="shared" si="58"/>
        <v>0</v>
      </c>
      <c r="AB142">
        <f t="shared" si="58"/>
        <v>0</v>
      </c>
      <c r="AC142">
        <f t="shared" si="58"/>
        <v>0</v>
      </c>
      <c r="AD142">
        <f t="shared" si="58"/>
        <v>0</v>
      </c>
      <c r="AE142">
        <f t="shared" si="58"/>
        <v>0</v>
      </c>
      <c r="AF142">
        <f t="shared" si="58"/>
        <v>0</v>
      </c>
      <c r="AG142">
        <f t="shared" si="58"/>
        <v>0</v>
      </c>
      <c r="AH142">
        <f t="shared" si="58"/>
        <v>0</v>
      </c>
      <c r="AI142">
        <f t="shared" si="58"/>
        <v>0</v>
      </c>
      <c r="AJ142">
        <f t="shared" si="58"/>
        <v>0</v>
      </c>
      <c r="AK142">
        <f t="shared" si="58"/>
        <v>0</v>
      </c>
      <c r="AL142">
        <f t="shared" si="58"/>
        <v>0</v>
      </c>
      <c r="AM142">
        <f t="shared" si="58"/>
        <v>0</v>
      </c>
      <c r="AN142">
        <f t="shared" si="58"/>
        <v>0</v>
      </c>
      <c r="AO142">
        <f t="shared" si="58"/>
        <v>0</v>
      </c>
      <c r="AP142">
        <f t="shared" si="58"/>
        <v>0</v>
      </c>
      <c r="AQ142">
        <f t="shared" si="58"/>
        <v>0</v>
      </c>
      <c r="AR142">
        <f t="shared" si="58"/>
        <v>0</v>
      </c>
      <c r="AS142">
        <f t="shared" si="58"/>
        <v>0</v>
      </c>
      <c r="AT142">
        <f t="shared" si="58"/>
        <v>0</v>
      </c>
      <c r="AU142">
        <f t="shared" si="58"/>
        <v>0</v>
      </c>
      <c r="AV142">
        <f t="shared" si="58"/>
        <v>0</v>
      </c>
      <c r="AW142">
        <f t="shared" si="58"/>
        <v>0</v>
      </c>
      <c r="AX142">
        <f t="shared" si="58"/>
        <v>0</v>
      </c>
      <c r="AY142">
        <f t="shared" si="58"/>
        <v>0</v>
      </c>
      <c r="AZ142">
        <f t="shared" si="58"/>
        <v>0</v>
      </c>
      <c r="BA142">
        <f t="shared" si="58"/>
        <v>0</v>
      </c>
      <c r="BB142">
        <f t="shared" si="58"/>
        <v>0</v>
      </c>
      <c r="BC142">
        <f t="shared" si="58"/>
        <v>0</v>
      </c>
      <c r="BD142">
        <f t="shared" si="58"/>
        <v>0</v>
      </c>
      <c r="BE142">
        <f t="shared" si="58"/>
        <v>0</v>
      </c>
      <c r="BF142">
        <f t="shared" si="58"/>
        <v>0</v>
      </c>
      <c r="BG142">
        <f t="shared" si="58"/>
        <v>0</v>
      </c>
      <c r="BH142">
        <f t="shared" si="58"/>
        <v>0</v>
      </c>
      <c r="BI142">
        <f t="shared" si="58"/>
        <v>0</v>
      </c>
      <c r="BJ142">
        <f t="shared" si="58"/>
        <v>0</v>
      </c>
      <c r="BK142">
        <f t="shared" si="58"/>
        <v>0</v>
      </c>
      <c r="BL142">
        <f t="shared" si="58"/>
        <v>0</v>
      </c>
      <c r="BM142">
        <f t="shared" si="58"/>
        <v>0</v>
      </c>
      <c r="BN142">
        <f t="shared" si="58"/>
        <v>0</v>
      </c>
      <c r="BO142">
        <f t="shared" si="58"/>
        <v>0</v>
      </c>
      <c r="BP142">
        <f t="shared" si="58"/>
        <v>0</v>
      </c>
      <c r="BQ142">
        <f t="shared" si="57"/>
        <v>0</v>
      </c>
      <c r="BR142">
        <f t="shared" si="57"/>
        <v>0</v>
      </c>
      <c r="BS142">
        <f t="shared" si="57"/>
        <v>0</v>
      </c>
      <c r="BT142">
        <f t="shared" si="57"/>
        <v>0</v>
      </c>
      <c r="BU142">
        <f t="shared" si="57"/>
        <v>0</v>
      </c>
      <c r="BV142">
        <f t="shared" si="57"/>
        <v>0</v>
      </c>
      <c r="BW142">
        <f t="shared" si="57"/>
        <v>0</v>
      </c>
      <c r="BX142">
        <f t="shared" si="57"/>
        <v>0</v>
      </c>
      <c r="BY142">
        <f t="shared" si="57"/>
        <v>0</v>
      </c>
      <c r="BZ142">
        <f t="shared" si="57"/>
        <v>0</v>
      </c>
      <c r="CA142">
        <f t="shared" si="57"/>
        <v>0</v>
      </c>
      <c r="CB142">
        <f t="shared" si="57"/>
        <v>0</v>
      </c>
      <c r="CC142">
        <f t="shared" si="57"/>
        <v>0</v>
      </c>
      <c r="CD142">
        <f t="shared" si="57"/>
        <v>0</v>
      </c>
      <c r="CE142">
        <f t="shared" si="57"/>
        <v>0</v>
      </c>
      <c r="CF142">
        <f t="shared" si="57"/>
        <v>0</v>
      </c>
      <c r="CG142">
        <f t="shared" si="56"/>
        <v>0</v>
      </c>
      <c r="CH142">
        <f t="shared" si="56"/>
        <v>0</v>
      </c>
      <c r="CI142">
        <f t="shared" si="56"/>
        <v>0</v>
      </c>
      <c r="CJ142">
        <f t="shared" si="56"/>
        <v>0</v>
      </c>
      <c r="CK142">
        <f t="shared" si="56"/>
        <v>0</v>
      </c>
      <c r="CL142">
        <f t="shared" si="56"/>
        <v>0</v>
      </c>
      <c r="CM142">
        <f t="shared" si="56"/>
        <v>0</v>
      </c>
      <c r="CN142">
        <f t="shared" si="56"/>
        <v>0</v>
      </c>
      <c r="CO142">
        <f t="shared" si="56"/>
        <v>0</v>
      </c>
      <c r="CP142">
        <f t="shared" si="56"/>
        <v>0</v>
      </c>
      <c r="CQ142">
        <f t="shared" si="56"/>
        <v>0</v>
      </c>
      <c r="CR142">
        <f t="shared" si="56"/>
        <v>0</v>
      </c>
      <c r="CS142">
        <f t="shared" si="56"/>
        <v>0</v>
      </c>
      <c r="CT142">
        <f t="shared" si="56"/>
        <v>0</v>
      </c>
      <c r="CU142">
        <f t="shared" si="56"/>
        <v>0</v>
      </c>
      <c r="CV142">
        <f t="shared" si="56"/>
        <v>0</v>
      </c>
      <c r="CW142">
        <f t="shared" si="56"/>
        <v>0</v>
      </c>
      <c r="CX142">
        <f t="shared" si="56"/>
        <v>0</v>
      </c>
      <c r="CY142">
        <f t="shared" si="56"/>
        <v>0</v>
      </c>
      <c r="CZ142">
        <f t="shared" si="56"/>
        <v>0</v>
      </c>
      <c r="DA142">
        <f t="shared" si="56"/>
        <v>0</v>
      </c>
      <c r="DB142">
        <f t="shared" si="56"/>
        <v>0</v>
      </c>
      <c r="DC142">
        <f t="shared" si="56"/>
        <v>0</v>
      </c>
      <c r="DD142">
        <f t="shared" si="56"/>
        <v>0</v>
      </c>
      <c r="DE142">
        <f t="shared" si="56"/>
        <v>0</v>
      </c>
      <c r="DF142">
        <f t="shared" si="56"/>
        <v>0</v>
      </c>
      <c r="DG142">
        <f t="shared" si="56"/>
        <v>0</v>
      </c>
      <c r="DH142">
        <f t="shared" si="56"/>
        <v>0</v>
      </c>
      <c r="DI142">
        <f t="shared" si="56"/>
        <v>0</v>
      </c>
    </row>
    <row r="143" spans="2:113">
      <c r="D143">
        <v>6</v>
      </c>
      <c r="E143">
        <f t="shared" si="58"/>
        <v>0</v>
      </c>
      <c r="F143">
        <f t="shared" si="58"/>
        <v>0</v>
      </c>
      <c r="G143">
        <f t="shared" si="58"/>
        <v>0</v>
      </c>
      <c r="H143">
        <f t="shared" si="58"/>
        <v>0</v>
      </c>
      <c r="I143">
        <f t="shared" si="58"/>
        <v>0</v>
      </c>
      <c r="J143">
        <f t="shared" si="58"/>
        <v>0</v>
      </c>
      <c r="K143">
        <f t="shared" si="58"/>
        <v>0</v>
      </c>
      <c r="L143">
        <f t="shared" si="58"/>
        <v>0</v>
      </c>
      <c r="M143">
        <f t="shared" si="58"/>
        <v>0</v>
      </c>
      <c r="N143">
        <f t="shared" si="58"/>
        <v>0</v>
      </c>
      <c r="O143">
        <f t="shared" si="58"/>
        <v>0</v>
      </c>
      <c r="P143">
        <f t="shared" si="58"/>
        <v>0</v>
      </c>
      <c r="Q143">
        <f t="shared" si="58"/>
        <v>0</v>
      </c>
      <c r="R143">
        <f t="shared" si="58"/>
        <v>0</v>
      </c>
      <c r="S143">
        <f t="shared" si="58"/>
        <v>0</v>
      </c>
      <c r="T143">
        <f t="shared" si="58"/>
        <v>0</v>
      </c>
      <c r="U143">
        <f t="shared" si="58"/>
        <v>0</v>
      </c>
      <c r="V143">
        <f t="shared" si="58"/>
        <v>0</v>
      </c>
      <c r="W143">
        <f t="shared" si="58"/>
        <v>0</v>
      </c>
      <c r="X143">
        <f t="shared" si="58"/>
        <v>0</v>
      </c>
      <c r="Y143">
        <f t="shared" si="58"/>
        <v>0</v>
      </c>
      <c r="Z143">
        <f t="shared" si="58"/>
        <v>0</v>
      </c>
      <c r="AA143">
        <f t="shared" si="58"/>
        <v>0</v>
      </c>
      <c r="AB143">
        <f t="shared" si="58"/>
        <v>0</v>
      </c>
      <c r="AC143">
        <f t="shared" si="58"/>
        <v>0</v>
      </c>
      <c r="AD143">
        <f t="shared" si="58"/>
        <v>0</v>
      </c>
      <c r="AE143">
        <f t="shared" si="58"/>
        <v>0</v>
      </c>
      <c r="AF143">
        <f t="shared" si="58"/>
        <v>0</v>
      </c>
      <c r="AG143">
        <f t="shared" si="58"/>
        <v>0</v>
      </c>
      <c r="AH143">
        <f t="shared" si="58"/>
        <v>0</v>
      </c>
      <c r="AI143">
        <f t="shared" si="58"/>
        <v>0</v>
      </c>
      <c r="AJ143">
        <f t="shared" si="58"/>
        <v>0</v>
      </c>
      <c r="AK143">
        <f t="shared" si="58"/>
        <v>0</v>
      </c>
      <c r="AL143">
        <f t="shared" si="58"/>
        <v>0</v>
      </c>
      <c r="AM143">
        <f t="shared" si="58"/>
        <v>0</v>
      </c>
      <c r="AN143">
        <f t="shared" si="58"/>
        <v>0</v>
      </c>
      <c r="AO143">
        <f t="shared" si="58"/>
        <v>0</v>
      </c>
      <c r="AP143">
        <f t="shared" si="58"/>
        <v>0</v>
      </c>
      <c r="AQ143">
        <f t="shared" si="58"/>
        <v>0</v>
      </c>
      <c r="AR143">
        <f t="shared" si="58"/>
        <v>0</v>
      </c>
      <c r="AS143">
        <f t="shared" si="58"/>
        <v>0</v>
      </c>
      <c r="AT143">
        <f t="shared" si="58"/>
        <v>0</v>
      </c>
      <c r="AU143">
        <f t="shared" si="58"/>
        <v>0</v>
      </c>
      <c r="AV143">
        <f t="shared" si="58"/>
        <v>0</v>
      </c>
      <c r="AW143">
        <f t="shared" si="58"/>
        <v>0</v>
      </c>
      <c r="AX143">
        <f t="shared" si="58"/>
        <v>0</v>
      </c>
      <c r="AY143">
        <f t="shared" si="58"/>
        <v>0</v>
      </c>
      <c r="AZ143">
        <f t="shared" si="58"/>
        <v>0</v>
      </c>
      <c r="BA143">
        <f t="shared" si="58"/>
        <v>0</v>
      </c>
      <c r="BB143">
        <f t="shared" si="58"/>
        <v>0</v>
      </c>
      <c r="BC143">
        <f t="shared" si="58"/>
        <v>0</v>
      </c>
      <c r="BD143">
        <f t="shared" si="58"/>
        <v>0</v>
      </c>
      <c r="BE143">
        <f t="shared" si="58"/>
        <v>0</v>
      </c>
      <c r="BF143">
        <f t="shared" si="58"/>
        <v>0</v>
      </c>
      <c r="BG143">
        <f t="shared" si="58"/>
        <v>0</v>
      </c>
      <c r="BH143">
        <f t="shared" si="58"/>
        <v>0</v>
      </c>
      <c r="BI143">
        <f t="shared" si="58"/>
        <v>0</v>
      </c>
      <c r="BJ143">
        <f t="shared" si="58"/>
        <v>0</v>
      </c>
      <c r="BK143">
        <f t="shared" si="58"/>
        <v>0</v>
      </c>
      <c r="BL143">
        <f t="shared" si="58"/>
        <v>0</v>
      </c>
      <c r="BM143">
        <f t="shared" si="58"/>
        <v>0</v>
      </c>
      <c r="BN143">
        <f t="shared" si="58"/>
        <v>0</v>
      </c>
      <c r="BO143">
        <f t="shared" si="58"/>
        <v>0</v>
      </c>
      <c r="BP143">
        <f t="shared" si="58"/>
        <v>0</v>
      </c>
      <c r="BQ143">
        <f t="shared" si="57"/>
        <v>0</v>
      </c>
      <c r="BR143">
        <f t="shared" si="57"/>
        <v>0</v>
      </c>
      <c r="BS143">
        <f t="shared" si="57"/>
        <v>0</v>
      </c>
      <c r="BT143">
        <f t="shared" si="57"/>
        <v>0</v>
      </c>
      <c r="BU143">
        <f t="shared" si="57"/>
        <v>0</v>
      </c>
      <c r="BV143">
        <f t="shared" si="57"/>
        <v>0</v>
      </c>
      <c r="BW143">
        <f t="shared" si="57"/>
        <v>0</v>
      </c>
      <c r="BX143">
        <f t="shared" si="57"/>
        <v>0</v>
      </c>
      <c r="BY143">
        <f t="shared" si="57"/>
        <v>0</v>
      </c>
      <c r="BZ143">
        <f t="shared" si="57"/>
        <v>0</v>
      </c>
      <c r="CA143">
        <f t="shared" si="57"/>
        <v>0</v>
      </c>
      <c r="CB143">
        <f t="shared" si="57"/>
        <v>0</v>
      </c>
      <c r="CC143">
        <f t="shared" si="57"/>
        <v>0</v>
      </c>
      <c r="CD143">
        <f t="shared" si="57"/>
        <v>0</v>
      </c>
      <c r="CE143">
        <f t="shared" si="57"/>
        <v>0</v>
      </c>
      <c r="CF143">
        <f t="shared" si="57"/>
        <v>0</v>
      </c>
      <c r="CG143">
        <f t="shared" si="56"/>
        <v>0</v>
      </c>
      <c r="CH143">
        <f t="shared" si="56"/>
        <v>0</v>
      </c>
      <c r="CI143">
        <f t="shared" si="56"/>
        <v>0</v>
      </c>
      <c r="CJ143">
        <f t="shared" si="56"/>
        <v>0</v>
      </c>
      <c r="CK143">
        <f t="shared" si="56"/>
        <v>0</v>
      </c>
      <c r="CL143">
        <f t="shared" si="56"/>
        <v>0</v>
      </c>
      <c r="CM143">
        <f t="shared" si="56"/>
        <v>0</v>
      </c>
      <c r="CN143">
        <f t="shared" si="56"/>
        <v>0</v>
      </c>
      <c r="CO143">
        <f t="shared" si="56"/>
        <v>0</v>
      </c>
      <c r="CP143">
        <f t="shared" si="56"/>
        <v>0</v>
      </c>
      <c r="CQ143">
        <f t="shared" si="56"/>
        <v>0</v>
      </c>
      <c r="CR143">
        <f t="shared" si="56"/>
        <v>0</v>
      </c>
      <c r="CS143">
        <f t="shared" si="56"/>
        <v>0</v>
      </c>
      <c r="CT143">
        <f t="shared" si="56"/>
        <v>0</v>
      </c>
      <c r="CU143">
        <f t="shared" si="56"/>
        <v>0</v>
      </c>
      <c r="CV143">
        <f t="shared" si="56"/>
        <v>0</v>
      </c>
      <c r="CW143">
        <f t="shared" si="56"/>
        <v>0</v>
      </c>
      <c r="CX143">
        <f t="shared" si="56"/>
        <v>0</v>
      </c>
      <c r="CY143">
        <f t="shared" si="56"/>
        <v>0</v>
      </c>
      <c r="CZ143">
        <f t="shared" si="56"/>
        <v>0</v>
      </c>
      <c r="DA143">
        <f t="shared" si="56"/>
        <v>0</v>
      </c>
      <c r="DB143">
        <f t="shared" si="56"/>
        <v>0</v>
      </c>
      <c r="DC143">
        <f t="shared" si="56"/>
        <v>0</v>
      </c>
      <c r="DD143">
        <f t="shared" si="56"/>
        <v>0</v>
      </c>
      <c r="DE143">
        <f t="shared" si="56"/>
        <v>0</v>
      </c>
      <c r="DF143">
        <f t="shared" si="56"/>
        <v>0</v>
      </c>
      <c r="DG143">
        <f t="shared" si="56"/>
        <v>0</v>
      </c>
      <c r="DH143">
        <f t="shared" si="56"/>
        <v>0</v>
      </c>
      <c r="DI143">
        <f t="shared" si="56"/>
        <v>0</v>
      </c>
    </row>
    <row r="144" spans="2:113">
      <c r="D144">
        <v>7</v>
      </c>
      <c r="E144">
        <f t="shared" si="58"/>
        <v>0</v>
      </c>
      <c r="F144">
        <f t="shared" si="58"/>
        <v>0</v>
      </c>
      <c r="G144">
        <f t="shared" si="58"/>
        <v>0</v>
      </c>
      <c r="H144">
        <f t="shared" si="58"/>
        <v>0</v>
      </c>
      <c r="I144">
        <f t="shared" si="58"/>
        <v>0</v>
      </c>
      <c r="J144">
        <f t="shared" si="58"/>
        <v>0</v>
      </c>
      <c r="K144">
        <f t="shared" si="58"/>
        <v>0</v>
      </c>
      <c r="L144">
        <f t="shared" si="58"/>
        <v>0</v>
      </c>
      <c r="M144">
        <f t="shared" si="58"/>
        <v>0</v>
      </c>
      <c r="N144">
        <f t="shared" si="58"/>
        <v>0</v>
      </c>
      <c r="O144">
        <f t="shared" si="58"/>
        <v>0</v>
      </c>
      <c r="P144">
        <f t="shared" si="58"/>
        <v>0</v>
      </c>
      <c r="Q144">
        <f t="shared" si="58"/>
        <v>0</v>
      </c>
      <c r="R144">
        <f t="shared" si="58"/>
        <v>0</v>
      </c>
      <c r="S144">
        <f t="shared" si="58"/>
        <v>0</v>
      </c>
      <c r="T144">
        <f t="shared" si="58"/>
        <v>0</v>
      </c>
      <c r="U144">
        <f t="shared" si="58"/>
        <v>0</v>
      </c>
      <c r="V144">
        <f t="shared" si="58"/>
        <v>0</v>
      </c>
      <c r="W144">
        <f t="shared" si="58"/>
        <v>0</v>
      </c>
      <c r="X144">
        <f t="shared" si="58"/>
        <v>0</v>
      </c>
      <c r="Y144">
        <f t="shared" si="58"/>
        <v>0</v>
      </c>
      <c r="Z144">
        <f t="shared" si="58"/>
        <v>0</v>
      </c>
      <c r="AA144">
        <f t="shared" si="58"/>
        <v>0</v>
      </c>
      <c r="AB144">
        <f t="shared" si="58"/>
        <v>0</v>
      </c>
      <c r="AC144">
        <f t="shared" si="58"/>
        <v>0</v>
      </c>
      <c r="AD144">
        <f t="shared" si="58"/>
        <v>0</v>
      </c>
      <c r="AE144">
        <f t="shared" si="58"/>
        <v>0</v>
      </c>
      <c r="AF144">
        <f t="shared" si="58"/>
        <v>0</v>
      </c>
      <c r="AG144">
        <f t="shared" si="58"/>
        <v>0</v>
      </c>
      <c r="AH144">
        <f t="shared" si="58"/>
        <v>0</v>
      </c>
      <c r="AI144">
        <f t="shared" si="58"/>
        <v>0</v>
      </c>
      <c r="AJ144">
        <f t="shared" si="58"/>
        <v>0</v>
      </c>
      <c r="AK144">
        <f t="shared" si="58"/>
        <v>0</v>
      </c>
      <c r="AL144">
        <f t="shared" si="58"/>
        <v>0</v>
      </c>
      <c r="AM144">
        <f t="shared" si="58"/>
        <v>0</v>
      </c>
      <c r="AN144">
        <f t="shared" si="58"/>
        <v>0</v>
      </c>
      <c r="AO144">
        <f t="shared" si="58"/>
        <v>0</v>
      </c>
      <c r="AP144">
        <f t="shared" si="58"/>
        <v>0</v>
      </c>
      <c r="AQ144">
        <f t="shared" si="58"/>
        <v>0</v>
      </c>
      <c r="AR144">
        <f t="shared" si="58"/>
        <v>0</v>
      </c>
      <c r="AS144">
        <f t="shared" si="58"/>
        <v>0</v>
      </c>
      <c r="AT144">
        <f t="shared" si="58"/>
        <v>0</v>
      </c>
      <c r="AU144">
        <f t="shared" si="58"/>
        <v>0</v>
      </c>
      <c r="AV144">
        <f t="shared" si="58"/>
        <v>0</v>
      </c>
      <c r="AW144">
        <f t="shared" si="58"/>
        <v>0</v>
      </c>
      <c r="AX144">
        <f t="shared" si="58"/>
        <v>0</v>
      </c>
      <c r="AY144">
        <f t="shared" si="58"/>
        <v>0</v>
      </c>
      <c r="AZ144">
        <f t="shared" si="58"/>
        <v>0</v>
      </c>
      <c r="BA144">
        <f t="shared" si="58"/>
        <v>0</v>
      </c>
      <c r="BB144">
        <f t="shared" si="58"/>
        <v>0</v>
      </c>
      <c r="BC144">
        <f t="shared" si="58"/>
        <v>0</v>
      </c>
      <c r="BD144">
        <f t="shared" si="58"/>
        <v>0</v>
      </c>
      <c r="BE144">
        <f t="shared" si="58"/>
        <v>0</v>
      </c>
      <c r="BF144">
        <f t="shared" si="58"/>
        <v>0</v>
      </c>
      <c r="BG144">
        <f t="shared" si="58"/>
        <v>0</v>
      </c>
      <c r="BH144">
        <f t="shared" si="58"/>
        <v>0</v>
      </c>
      <c r="BI144">
        <f t="shared" si="58"/>
        <v>0</v>
      </c>
      <c r="BJ144">
        <f t="shared" si="58"/>
        <v>0</v>
      </c>
      <c r="BK144">
        <f t="shared" si="58"/>
        <v>0</v>
      </c>
      <c r="BL144">
        <f t="shared" si="58"/>
        <v>0</v>
      </c>
      <c r="BM144">
        <f t="shared" si="58"/>
        <v>0</v>
      </c>
      <c r="BN144">
        <f t="shared" si="58"/>
        <v>0</v>
      </c>
      <c r="BO144">
        <f t="shared" si="58"/>
        <v>0</v>
      </c>
      <c r="BP144">
        <f t="shared" si="58"/>
        <v>0</v>
      </c>
      <c r="BQ144">
        <f t="shared" si="57"/>
        <v>0</v>
      </c>
      <c r="BR144">
        <f t="shared" si="57"/>
        <v>0</v>
      </c>
      <c r="BS144">
        <f t="shared" si="57"/>
        <v>0</v>
      </c>
      <c r="BT144">
        <f t="shared" si="57"/>
        <v>0</v>
      </c>
      <c r="BU144">
        <f t="shared" si="57"/>
        <v>0</v>
      </c>
      <c r="BV144">
        <f t="shared" si="57"/>
        <v>0</v>
      </c>
      <c r="BW144">
        <f t="shared" si="57"/>
        <v>0</v>
      </c>
      <c r="BX144">
        <f t="shared" si="57"/>
        <v>0</v>
      </c>
      <c r="BY144">
        <f t="shared" si="57"/>
        <v>0</v>
      </c>
      <c r="BZ144">
        <f t="shared" si="57"/>
        <v>0</v>
      </c>
      <c r="CA144">
        <f t="shared" si="57"/>
        <v>0</v>
      </c>
      <c r="CB144">
        <f t="shared" si="57"/>
        <v>0</v>
      </c>
      <c r="CC144">
        <f t="shared" si="57"/>
        <v>0</v>
      </c>
      <c r="CD144">
        <f t="shared" si="57"/>
        <v>0</v>
      </c>
      <c r="CE144">
        <f t="shared" si="57"/>
        <v>0</v>
      </c>
      <c r="CF144">
        <f t="shared" si="57"/>
        <v>0</v>
      </c>
      <c r="CG144">
        <f t="shared" si="56"/>
        <v>0</v>
      </c>
      <c r="CH144">
        <f t="shared" si="56"/>
        <v>0</v>
      </c>
      <c r="CI144">
        <f t="shared" si="56"/>
        <v>0</v>
      </c>
      <c r="CJ144">
        <f t="shared" si="56"/>
        <v>0</v>
      </c>
      <c r="CK144">
        <f t="shared" si="56"/>
        <v>0</v>
      </c>
      <c r="CL144">
        <f t="shared" si="56"/>
        <v>0</v>
      </c>
      <c r="CM144">
        <f t="shared" si="56"/>
        <v>0</v>
      </c>
      <c r="CN144">
        <f t="shared" si="56"/>
        <v>0</v>
      </c>
      <c r="CO144">
        <f t="shared" si="56"/>
        <v>0</v>
      </c>
      <c r="CP144">
        <f t="shared" si="56"/>
        <v>0</v>
      </c>
      <c r="CQ144">
        <f t="shared" si="56"/>
        <v>0</v>
      </c>
      <c r="CR144">
        <f t="shared" si="56"/>
        <v>0</v>
      </c>
      <c r="CS144">
        <f t="shared" si="56"/>
        <v>0</v>
      </c>
      <c r="CT144">
        <f t="shared" si="56"/>
        <v>0</v>
      </c>
      <c r="CU144">
        <f t="shared" si="56"/>
        <v>0</v>
      </c>
      <c r="CV144">
        <f t="shared" si="56"/>
        <v>0</v>
      </c>
      <c r="CW144">
        <f t="shared" si="56"/>
        <v>0</v>
      </c>
      <c r="CX144">
        <f t="shared" si="56"/>
        <v>0</v>
      </c>
      <c r="CY144">
        <f t="shared" si="56"/>
        <v>0</v>
      </c>
      <c r="CZ144">
        <f t="shared" si="56"/>
        <v>0</v>
      </c>
      <c r="DA144">
        <f t="shared" si="56"/>
        <v>0</v>
      </c>
      <c r="DB144">
        <f t="shared" si="56"/>
        <v>0</v>
      </c>
      <c r="DC144">
        <f t="shared" si="56"/>
        <v>0</v>
      </c>
      <c r="DD144">
        <f t="shared" si="56"/>
        <v>0</v>
      </c>
      <c r="DE144">
        <f t="shared" si="56"/>
        <v>0</v>
      </c>
      <c r="DF144">
        <f t="shared" si="56"/>
        <v>0</v>
      </c>
      <c r="DG144">
        <f t="shared" si="56"/>
        <v>0</v>
      </c>
      <c r="DH144">
        <f t="shared" si="56"/>
        <v>0</v>
      </c>
      <c r="DI144">
        <f t="shared" si="56"/>
        <v>0</v>
      </c>
    </row>
    <row r="145" spans="2:113">
      <c r="D145">
        <v>8</v>
      </c>
      <c r="E145">
        <f t="shared" si="58"/>
        <v>0</v>
      </c>
      <c r="F145">
        <f t="shared" si="58"/>
        <v>0</v>
      </c>
      <c r="G145">
        <f t="shared" si="58"/>
        <v>0</v>
      </c>
      <c r="H145">
        <f t="shared" si="58"/>
        <v>0</v>
      </c>
      <c r="I145">
        <f t="shared" si="58"/>
        <v>0</v>
      </c>
      <c r="J145">
        <f t="shared" si="58"/>
        <v>0</v>
      </c>
      <c r="K145">
        <f t="shared" si="58"/>
        <v>0</v>
      </c>
      <c r="L145">
        <f t="shared" si="58"/>
        <v>0</v>
      </c>
      <c r="M145">
        <f t="shared" si="58"/>
        <v>0</v>
      </c>
      <c r="N145">
        <f t="shared" si="58"/>
        <v>0</v>
      </c>
      <c r="O145">
        <f t="shared" si="58"/>
        <v>0</v>
      </c>
      <c r="P145">
        <f t="shared" si="58"/>
        <v>0</v>
      </c>
      <c r="Q145">
        <f t="shared" si="58"/>
        <v>0</v>
      </c>
      <c r="R145">
        <f t="shared" si="58"/>
        <v>0</v>
      </c>
      <c r="S145">
        <f t="shared" si="58"/>
        <v>0</v>
      </c>
      <c r="T145">
        <f t="shared" si="58"/>
        <v>0</v>
      </c>
      <c r="U145">
        <f t="shared" si="58"/>
        <v>0</v>
      </c>
      <c r="V145">
        <f t="shared" si="58"/>
        <v>0</v>
      </c>
      <c r="W145">
        <f t="shared" si="58"/>
        <v>0</v>
      </c>
      <c r="X145">
        <f t="shared" si="58"/>
        <v>0</v>
      </c>
      <c r="Y145">
        <f t="shared" si="58"/>
        <v>0</v>
      </c>
      <c r="Z145">
        <f t="shared" si="58"/>
        <v>0</v>
      </c>
      <c r="AA145">
        <f t="shared" si="58"/>
        <v>0</v>
      </c>
      <c r="AB145">
        <f t="shared" si="58"/>
        <v>0</v>
      </c>
      <c r="AC145">
        <f t="shared" si="58"/>
        <v>0</v>
      </c>
      <c r="AD145">
        <f t="shared" si="58"/>
        <v>0</v>
      </c>
      <c r="AE145">
        <f t="shared" si="58"/>
        <v>0</v>
      </c>
      <c r="AF145">
        <f t="shared" si="58"/>
        <v>0</v>
      </c>
      <c r="AG145">
        <f t="shared" si="58"/>
        <v>0</v>
      </c>
      <c r="AH145">
        <f t="shared" si="58"/>
        <v>0</v>
      </c>
      <c r="AI145">
        <f t="shared" si="58"/>
        <v>0</v>
      </c>
      <c r="AJ145">
        <f t="shared" si="58"/>
        <v>0</v>
      </c>
      <c r="AK145">
        <f t="shared" si="58"/>
        <v>0</v>
      </c>
      <c r="AL145">
        <f t="shared" si="58"/>
        <v>0</v>
      </c>
      <c r="AM145">
        <f t="shared" si="58"/>
        <v>0</v>
      </c>
      <c r="AN145">
        <f t="shared" si="58"/>
        <v>0</v>
      </c>
      <c r="AO145">
        <f t="shared" si="58"/>
        <v>0</v>
      </c>
      <c r="AP145">
        <f t="shared" si="58"/>
        <v>0</v>
      </c>
      <c r="AQ145">
        <f t="shared" si="58"/>
        <v>0</v>
      </c>
      <c r="AR145">
        <f t="shared" si="58"/>
        <v>0</v>
      </c>
      <c r="AS145">
        <f t="shared" si="58"/>
        <v>0</v>
      </c>
      <c r="AT145">
        <f t="shared" si="58"/>
        <v>0</v>
      </c>
      <c r="AU145">
        <f t="shared" si="58"/>
        <v>0</v>
      </c>
      <c r="AV145">
        <f t="shared" si="58"/>
        <v>0</v>
      </c>
      <c r="AW145">
        <f t="shared" si="58"/>
        <v>0</v>
      </c>
      <c r="AX145">
        <f t="shared" si="58"/>
        <v>0</v>
      </c>
      <c r="AY145">
        <f t="shared" si="58"/>
        <v>0</v>
      </c>
      <c r="AZ145">
        <f t="shared" si="58"/>
        <v>0</v>
      </c>
      <c r="BA145">
        <f t="shared" si="58"/>
        <v>0</v>
      </c>
      <c r="BB145">
        <f t="shared" si="58"/>
        <v>0</v>
      </c>
      <c r="BC145">
        <f t="shared" si="58"/>
        <v>0</v>
      </c>
      <c r="BD145">
        <f t="shared" si="58"/>
        <v>0</v>
      </c>
      <c r="BE145">
        <f t="shared" si="58"/>
        <v>0</v>
      </c>
      <c r="BF145">
        <f t="shared" si="58"/>
        <v>0</v>
      </c>
      <c r="BG145">
        <f t="shared" si="58"/>
        <v>0</v>
      </c>
      <c r="BH145">
        <f t="shared" si="58"/>
        <v>0</v>
      </c>
      <c r="BI145">
        <f t="shared" si="58"/>
        <v>0</v>
      </c>
      <c r="BJ145">
        <f t="shared" si="58"/>
        <v>0</v>
      </c>
      <c r="BK145">
        <f t="shared" si="58"/>
        <v>0</v>
      </c>
      <c r="BL145">
        <f t="shared" si="58"/>
        <v>0</v>
      </c>
      <c r="BM145">
        <f t="shared" si="58"/>
        <v>0</v>
      </c>
      <c r="BN145">
        <f t="shared" si="58"/>
        <v>0</v>
      </c>
      <c r="BO145">
        <f t="shared" si="58"/>
        <v>0</v>
      </c>
      <c r="BP145">
        <f t="shared" ref="BP145:CF145" si="59">IF(COUNTIF($B$67:$B$74,BP74)=1,1,0)</f>
        <v>0</v>
      </c>
      <c r="BQ145">
        <f t="shared" si="59"/>
        <v>0</v>
      </c>
      <c r="BR145">
        <f t="shared" si="59"/>
        <v>0</v>
      </c>
      <c r="BS145">
        <f t="shared" si="59"/>
        <v>0</v>
      </c>
      <c r="BT145">
        <f t="shared" si="59"/>
        <v>0</v>
      </c>
      <c r="BU145">
        <f t="shared" si="59"/>
        <v>0</v>
      </c>
      <c r="BV145">
        <f t="shared" si="59"/>
        <v>0</v>
      </c>
      <c r="BW145">
        <f t="shared" si="59"/>
        <v>0</v>
      </c>
      <c r="BX145">
        <f t="shared" si="59"/>
        <v>0</v>
      </c>
      <c r="BY145">
        <f t="shared" si="59"/>
        <v>0</v>
      </c>
      <c r="BZ145">
        <f t="shared" si="59"/>
        <v>0</v>
      </c>
      <c r="CA145">
        <f t="shared" si="59"/>
        <v>0</v>
      </c>
      <c r="CB145">
        <f t="shared" si="59"/>
        <v>0</v>
      </c>
      <c r="CC145">
        <f t="shared" si="59"/>
        <v>0</v>
      </c>
      <c r="CD145">
        <f t="shared" si="59"/>
        <v>0</v>
      </c>
      <c r="CE145">
        <f t="shared" si="59"/>
        <v>0</v>
      </c>
      <c r="CF145">
        <f t="shared" si="59"/>
        <v>0</v>
      </c>
      <c r="CG145">
        <f t="shared" si="56"/>
        <v>0</v>
      </c>
      <c r="CH145">
        <f t="shared" si="56"/>
        <v>0</v>
      </c>
      <c r="CI145">
        <f t="shared" si="56"/>
        <v>0</v>
      </c>
      <c r="CJ145">
        <f t="shared" si="56"/>
        <v>0</v>
      </c>
      <c r="CK145">
        <f t="shared" ref="CK145:DI145" si="60">IF(COUNTIF($B$67:$B$74,CK74)=1,1,0)</f>
        <v>0</v>
      </c>
      <c r="CL145">
        <f t="shared" si="60"/>
        <v>0</v>
      </c>
      <c r="CM145">
        <f t="shared" si="60"/>
        <v>0</v>
      </c>
      <c r="CN145">
        <f t="shared" si="60"/>
        <v>0</v>
      </c>
      <c r="CO145">
        <f t="shared" si="60"/>
        <v>0</v>
      </c>
      <c r="CP145">
        <f t="shared" si="60"/>
        <v>0</v>
      </c>
      <c r="CQ145">
        <f t="shared" si="60"/>
        <v>0</v>
      </c>
      <c r="CR145">
        <f t="shared" si="60"/>
        <v>0</v>
      </c>
      <c r="CS145">
        <f t="shared" si="60"/>
        <v>0</v>
      </c>
      <c r="CT145">
        <f t="shared" si="60"/>
        <v>0</v>
      </c>
      <c r="CU145">
        <f t="shared" si="60"/>
        <v>0</v>
      </c>
      <c r="CV145">
        <f t="shared" si="60"/>
        <v>0</v>
      </c>
      <c r="CW145">
        <f t="shared" si="60"/>
        <v>0</v>
      </c>
      <c r="CX145">
        <f t="shared" si="60"/>
        <v>0</v>
      </c>
      <c r="CY145">
        <f t="shared" si="60"/>
        <v>0</v>
      </c>
      <c r="CZ145">
        <f t="shared" si="60"/>
        <v>0</v>
      </c>
      <c r="DA145">
        <f t="shared" si="60"/>
        <v>0</v>
      </c>
      <c r="DB145">
        <f t="shared" si="60"/>
        <v>0</v>
      </c>
      <c r="DC145">
        <f t="shared" si="60"/>
        <v>0</v>
      </c>
      <c r="DD145">
        <f t="shared" si="60"/>
        <v>0</v>
      </c>
      <c r="DE145">
        <f t="shared" si="60"/>
        <v>0</v>
      </c>
      <c r="DF145">
        <f t="shared" si="60"/>
        <v>0</v>
      </c>
      <c r="DG145">
        <f t="shared" si="60"/>
        <v>0</v>
      </c>
      <c r="DH145">
        <f t="shared" si="60"/>
        <v>0</v>
      </c>
      <c r="DI145">
        <f t="shared" si="60"/>
        <v>0</v>
      </c>
    </row>
    <row r="146" spans="2:113">
      <c r="C146" t="s">
        <v>2936</v>
      </c>
      <c r="E146">
        <f t="shared" ref="E146:AT146" si="61">SUM(E138:E145)*$DM$4</f>
        <v>0</v>
      </c>
      <c r="F146">
        <f t="shared" si="61"/>
        <v>0</v>
      </c>
      <c r="G146">
        <f t="shared" si="61"/>
        <v>0</v>
      </c>
      <c r="H146">
        <f t="shared" si="61"/>
        <v>0</v>
      </c>
      <c r="I146">
        <f t="shared" si="61"/>
        <v>0</v>
      </c>
      <c r="J146">
        <f t="shared" si="61"/>
        <v>0</v>
      </c>
      <c r="K146">
        <f t="shared" si="61"/>
        <v>0</v>
      </c>
      <c r="L146">
        <f t="shared" si="61"/>
        <v>0</v>
      </c>
      <c r="M146">
        <f t="shared" si="61"/>
        <v>0</v>
      </c>
      <c r="N146">
        <f t="shared" si="61"/>
        <v>0</v>
      </c>
      <c r="O146">
        <f t="shared" si="61"/>
        <v>0</v>
      </c>
      <c r="P146">
        <f t="shared" si="61"/>
        <v>0</v>
      </c>
      <c r="Q146">
        <f t="shared" si="61"/>
        <v>0</v>
      </c>
      <c r="R146">
        <f t="shared" si="61"/>
        <v>0</v>
      </c>
      <c r="S146">
        <f t="shared" si="61"/>
        <v>0</v>
      </c>
      <c r="T146">
        <f t="shared" si="61"/>
        <v>0</v>
      </c>
      <c r="U146">
        <f t="shared" si="61"/>
        <v>0</v>
      </c>
      <c r="V146">
        <f t="shared" si="61"/>
        <v>0</v>
      </c>
      <c r="W146">
        <f t="shared" si="61"/>
        <v>0</v>
      </c>
      <c r="X146">
        <f t="shared" si="61"/>
        <v>0</v>
      </c>
      <c r="Y146">
        <f t="shared" si="61"/>
        <v>0</v>
      </c>
      <c r="Z146">
        <f t="shared" si="61"/>
        <v>0</v>
      </c>
      <c r="AA146">
        <f t="shared" si="61"/>
        <v>0</v>
      </c>
      <c r="AB146">
        <f t="shared" si="61"/>
        <v>0</v>
      </c>
      <c r="AC146">
        <f t="shared" si="61"/>
        <v>0</v>
      </c>
      <c r="AD146">
        <f t="shared" si="61"/>
        <v>0</v>
      </c>
      <c r="AE146">
        <f t="shared" si="61"/>
        <v>0</v>
      </c>
      <c r="AF146">
        <f t="shared" si="61"/>
        <v>0</v>
      </c>
      <c r="AG146">
        <f t="shared" si="61"/>
        <v>0</v>
      </c>
      <c r="AH146">
        <f t="shared" si="61"/>
        <v>0</v>
      </c>
      <c r="AI146">
        <f t="shared" si="61"/>
        <v>0</v>
      </c>
      <c r="AJ146">
        <f t="shared" si="61"/>
        <v>0</v>
      </c>
      <c r="AK146">
        <f t="shared" si="61"/>
        <v>0</v>
      </c>
      <c r="AL146">
        <f t="shared" si="61"/>
        <v>0</v>
      </c>
      <c r="AM146">
        <f t="shared" si="61"/>
        <v>0</v>
      </c>
      <c r="AN146">
        <f t="shared" si="61"/>
        <v>0</v>
      </c>
      <c r="AO146">
        <f t="shared" si="61"/>
        <v>0</v>
      </c>
      <c r="AP146">
        <f t="shared" si="61"/>
        <v>0</v>
      </c>
      <c r="AQ146">
        <f t="shared" si="61"/>
        <v>0</v>
      </c>
      <c r="AR146">
        <f t="shared" si="61"/>
        <v>0</v>
      </c>
      <c r="AS146">
        <f t="shared" si="61"/>
        <v>0</v>
      </c>
      <c r="AT146">
        <f t="shared" si="61"/>
        <v>0</v>
      </c>
      <c r="AU146">
        <f t="shared" ref="AU146:CE146" si="62">SUM(AU138:AU145)*$DM$4</f>
        <v>0</v>
      </c>
      <c r="AV146">
        <f t="shared" si="62"/>
        <v>0</v>
      </c>
      <c r="AW146">
        <f t="shared" si="62"/>
        <v>0</v>
      </c>
      <c r="AX146">
        <f t="shared" si="62"/>
        <v>0</v>
      </c>
      <c r="AY146">
        <f t="shared" si="62"/>
        <v>0</v>
      </c>
      <c r="AZ146">
        <f t="shared" si="62"/>
        <v>0</v>
      </c>
      <c r="BA146">
        <f t="shared" si="62"/>
        <v>0</v>
      </c>
      <c r="BB146">
        <f t="shared" si="62"/>
        <v>0</v>
      </c>
      <c r="BC146">
        <f t="shared" si="62"/>
        <v>0</v>
      </c>
      <c r="BD146">
        <f t="shared" si="62"/>
        <v>0</v>
      </c>
      <c r="BE146">
        <f t="shared" si="62"/>
        <v>0</v>
      </c>
      <c r="BF146">
        <f t="shared" si="62"/>
        <v>0</v>
      </c>
      <c r="BG146">
        <f t="shared" si="62"/>
        <v>0</v>
      </c>
      <c r="BH146">
        <f t="shared" si="62"/>
        <v>0</v>
      </c>
      <c r="BI146">
        <f t="shared" si="62"/>
        <v>0</v>
      </c>
      <c r="BJ146">
        <f t="shared" si="62"/>
        <v>0</v>
      </c>
      <c r="BK146">
        <f t="shared" si="62"/>
        <v>0</v>
      </c>
      <c r="BL146">
        <f t="shared" si="62"/>
        <v>0</v>
      </c>
      <c r="BM146">
        <f t="shared" si="62"/>
        <v>0</v>
      </c>
      <c r="BN146">
        <f t="shared" si="62"/>
        <v>0</v>
      </c>
      <c r="BO146">
        <f t="shared" si="62"/>
        <v>0</v>
      </c>
      <c r="BP146">
        <f t="shared" si="62"/>
        <v>0</v>
      </c>
      <c r="BQ146">
        <f t="shared" si="62"/>
        <v>0</v>
      </c>
      <c r="BR146">
        <f t="shared" si="62"/>
        <v>0</v>
      </c>
      <c r="BS146">
        <f t="shared" si="62"/>
        <v>0</v>
      </c>
      <c r="BT146">
        <f t="shared" si="62"/>
        <v>0</v>
      </c>
      <c r="BU146">
        <f t="shared" si="62"/>
        <v>0</v>
      </c>
      <c r="BV146">
        <f t="shared" si="62"/>
        <v>0</v>
      </c>
      <c r="BW146">
        <f t="shared" si="62"/>
        <v>0</v>
      </c>
      <c r="BX146">
        <f t="shared" si="62"/>
        <v>0</v>
      </c>
      <c r="BY146">
        <f t="shared" si="62"/>
        <v>0</v>
      </c>
      <c r="BZ146">
        <f t="shared" si="62"/>
        <v>0</v>
      </c>
      <c r="CA146">
        <f t="shared" si="62"/>
        <v>0</v>
      </c>
      <c r="CB146">
        <f t="shared" si="62"/>
        <v>0</v>
      </c>
      <c r="CC146">
        <f t="shared" si="62"/>
        <v>0</v>
      </c>
      <c r="CD146">
        <f t="shared" si="62"/>
        <v>0</v>
      </c>
      <c r="CE146">
        <f t="shared" si="62"/>
        <v>0</v>
      </c>
      <c r="CF146">
        <f>SUM(CF138:CF145)*$DM$4</f>
        <v>0</v>
      </c>
      <c r="CG146">
        <f t="shared" ref="CG146:DI146" si="63">SUM(CG138:CG145)*$DM$4</f>
        <v>0</v>
      </c>
      <c r="CH146">
        <f t="shared" si="63"/>
        <v>0</v>
      </c>
      <c r="CI146">
        <f t="shared" si="63"/>
        <v>0</v>
      </c>
      <c r="CJ146">
        <f t="shared" si="63"/>
        <v>0</v>
      </c>
      <c r="CK146">
        <f t="shared" si="63"/>
        <v>0</v>
      </c>
      <c r="CL146">
        <f t="shared" si="63"/>
        <v>0</v>
      </c>
      <c r="CM146">
        <f t="shared" si="63"/>
        <v>0</v>
      </c>
      <c r="CN146">
        <f t="shared" si="63"/>
        <v>0</v>
      </c>
      <c r="CO146">
        <f t="shared" si="63"/>
        <v>0</v>
      </c>
      <c r="CP146">
        <f t="shared" si="63"/>
        <v>0</v>
      </c>
      <c r="CQ146">
        <f t="shared" si="63"/>
        <v>0</v>
      </c>
      <c r="CR146">
        <f t="shared" si="63"/>
        <v>0</v>
      </c>
      <c r="CS146">
        <f t="shared" si="63"/>
        <v>0</v>
      </c>
      <c r="CT146">
        <f t="shared" si="63"/>
        <v>0</v>
      </c>
      <c r="CU146">
        <f t="shared" si="63"/>
        <v>0</v>
      </c>
      <c r="CV146">
        <f t="shared" si="63"/>
        <v>0</v>
      </c>
      <c r="CW146">
        <f t="shared" si="63"/>
        <v>0</v>
      </c>
      <c r="CX146">
        <f t="shared" si="63"/>
        <v>0</v>
      </c>
      <c r="CY146">
        <f t="shared" si="63"/>
        <v>0</v>
      </c>
      <c r="CZ146">
        <f t="shared" si="63"/>
        <v>0</v>
      </c>
      <c r="DA146">
        <f t="shared" si="63"/>
        <v>0</v>
      </c>
      <c r="DB146">
        <f t="shared" si="63"/>
        <v>0</v>
      </c>
      <c r="DC146">
        <f t="shared" si="63"/>
        <v>0</v>
      </c>
      <c r="DD146">
        <f t="shared" si="63"/>
        <v>0</v>
      </c>
      <c r="DE146">
        <f t="shared" si="63"/>
        <v>0</v>
      </c>
      <c r="DF146">
        <f t="shared" si="63"/>
        <v>0</v>
      </c>
      <c r="DG146">
        <f t="shared" si="63"/>
        <v>0</v>
      </c>
      <c r="DH146">
        <f t="shared" si="63"/>
        <v>0</v>
      </c>
      <c r="DI146">
        <f t="shared" si="63"/>
        <v>0</v>
      </c>
    </row>
    <row r="147" spans="2:113">
      <c r="B147" t="s">
        <v>2932</v>
      </c>
      <c r="D147">
        <v>1</v>
      </c>
      <c r="E147">
        <f t="shared" ref="E147:BP150" si="64">IF(COUNTIF($B$75:$B$78,E75)=1,1,0)</f>
        <v>0</v>
      </c>
      <c r="F147">
        <f t="shared" si="64"/>
        <v>0</v>
      </c>
      <c r="G147">
        <f t="shared" si="64"/>
        <v>0</v>
      </c>
      <c r="H147">
        <f t="shared" si="64"/>
        <v>0</v>
      </c>
      <c r="I147">
        <f t="shared" si="64"/>
        <v>0</v>
      </c>
      <c r="J147">
        <f t="shared" si="64"/>
        <v>0</v>
      </c>
      <c r="K147">
        <f t="shared" si="64"/>
        <v>0</v>
      </c>
      <c r="L147">
        <f t="shared" si="64"/>
        <v>0</v>
      </c>
      <c r="M147">
        <f t="shared" si="64"/>
        <v>0</v>
      </c>
      <c r="N147">
        <f t="shared" si="64"/>
        <v>0</v>
      </c>
      <c r="O147">
        <f t="shared" si="64"/>
        <v>0</v>
      </c>
      <c r="P147">
        <f t="shared" si="64"/>
        <v>0</v>
      </c>
      <c r="Q147">
        <f t="shared" si="64"/>
        <v>0</v>
      </c>
      <c r="R147">
        <f t="shared" si="64"/>
        <v>0</v>
      </c>
      <c r="S147">
        <f t="shared" si="64"/>
        <v>0</v>
      </c>
      <c r="T147">
        <f t="shared" si="64"/>
        <v>0</v>
      </c>
      <c r="U147">
        <f t="shared" si="64"/>
        <v>0</v>
      </c>
      <c r="V147">
        <f t="shared" si="64"/>
        <v>0</v>
      </c>
      <c r="W147">
        <f t="shared" si="64"/>
        <v>0</v>
      </c>
      <c r="X147">
        <f t="shared" si="64"/>
        <v>0</v>
      </c>
      <c r="Y147">
        <f t="shared" si="64"/>
        <v>0</v>
      </c>
      <c r="Z147">
        <f t="shared" si="64"/>
        <v>0</v>
      </c>
      <c r="AA147">
        <f t="shared" si="64"/>
        <v>0</v>
      </c>
      <c r="AB147">
        <f t="shared" si="64"/>
        <v>0</v>
      </c>
      <c r="AC147">
        <f t="shared" si="64"/>
        <v>0</v>
      </c>
      <c r="AD147">
        <f t="shared" si="64"/>
        <v>0</v>
      </c>
      <c r="AE147">
        <f t="shared" si="64"/>
        <v>0</v>
      </c>
      <c r="AF147">
        <f t="shared" si="64"/>
        <v>0</v>
      </c>
      <c r="AG147">
        <f t="shared" si="64"/>
        <v>0</v>
      </c>
      <c r="AH147">
        <f t="shared" si="64"/>
        <v>0</v>
      </c>
      <c r="AI147">
        <f t="shared" si="64"/>
        <v>0</v>
      </c>
      <c r="AJ147">
        <f t="shared" si="64"/>
        <v>0</v>
      </c>
      <c r="AK147">
        <f t="shared" si="64"/>
        <v>0</v>
      </c>
      <c r="AL147">
        <f t="shared" si="64"/>
        <v>0</v>
      </c>
      <c r="AM147">
        <f t="shared" si="64"/>
        <v>0</v>
      </c>
      <c r="AN147">
        <f t="shared" si="64"/>
        <v>0</v>
      </c>
      <c r="AO147">
        <f t="shared" si="64"/>
        <v>0</v>
      </c>
      <c r="AP147">
        <f t="shared" si="64"/>
        <v>0</v>
      </c>
      <c r="AQ147">
        <f t="shared" si="64"/>
        <v>0</v>
      </c>
      <c r="AR147">
        <f t="shared" si="64"/>
        <v>0</v>
      </c>
      <c r="AS147">
        <f t="shared" si="64"/>
        <v>0</v>
      </c>
      <c r="AT147">
        <f t="shared" si="64"/>
        <v>0</v>
      </c>
      <c r="AU147">
        <f t="shared" si="64"/>
        <v>0</v>
      </c>
      <c r="AV147">
        <f t="shared" si="64"/>
        <v>0</v>
      </c>
      <c r="AW147">
        <f t="shared" si="64"/>
        <v>0</v>
      </c>
      <c r="AX147">
        <f t="shared" si="64"/>
        <v>0</v>
      </c>
      <c r="AY147">
        <f t="shared" si="64"/>
        <v>0</v>
      </c>
      <c r="AZ147">
        <f t="shared" si="64"/>
        <v>0</v>
      </c>
      <c r="BA147">
        <f t="shared" si="64"/>
        <v>0</v>
      </c>
      <c r="BB147">
        <f t="shared" si="64"/>
        <v>0</v>
      </c>
      <c r="BC147">
        <f t="shared" si="64"/>
        <v>0</v>
      </c>
      <c r="BD147">
        <f t="shared" si="64"/>
        <v>0</v>
      </c>
      <c r="BE147">
        <f t="shared" si="64"/>
        <v>0</v>
      </c>
      <c r="BF147">
        <f t="shared" si="64"/>
        <v>0</v>
      </c>
      <c r="BG147">
        <f t="shared" si="64"/>
        <v>0</v>
      </c>
      <c r="BH147">
        <f t="shared" si="64"/>
        <v>0</v>
      </c>
      <c r="BI147">
        <f t="shared" si="64"/>
        <v>0</v>
      </c>
      <c r="BJ147">
        <f t="shared" si="64"/>
        <v>0</v>
      </c>
      <c r="BK147">
        <f t="shared" si="64"/>
        <v>0</v>
      </c>
      <c r="BL147">
        <f t="shared" si="64"/>
        <v>0</v>
      </c>
      <c r="BM147">
        <f t="shared" si="64"/>
        <v>0</v>
      </c>
      <c r="BN147">
        <f t="shared" si="64"/>
        <v>0</v>
      </c>
      <c r="BO147">
        <f t="shared" si="64"/>
        <v>0</v>
      </c>
      <c r="BP147">
        <f t="shared" si="64"/>
        <v>0</v>
      </c>
      <c r="BQ147">
        <f t="shared" ref="BQ147:DI150" si="65">IF(COUNTIF($B$75:$B$78,BQ75)=1,1,0)</f>
        <v>0</v>
      </c>
      <c r="BR147">
        <f t="shared" si="65"/>
        <v>0</v>
      </c>
      <c r="BS147">
        <f t="shared" si="65"/>
        <v>0</v>
      </c>
      <c r="BT147">
        <f t="shared" si="65"/>
        <v>0</v>
      </c>
      <c r="BU147">
        <f t="shared" si="65"/>
        <v>0</v>
      </c>
      <c r="BV147">
        <f t="shared" si="65"/>
        <v>0</v>
      </c>
      <c r="BW147">
        <f t="shared" si="65"/>
        <v>0</v>
      </c>
      <c r="BX147">
        <f t="shared" si="65"/>
        <v>0</v>
      </c>
      <c r="BY147">
        <f t="shared" si="65"/>
        <v>0</v>
      </c>
      <c r="BZ147">
        <f t="shared" si="65"/>
        <v>0</v>
      </c>
      <c r="CA147">
        <f t="shared" si="65"/>
        <v>0</v>
      </c>
      <c r="CB147">
        <f t="shared" si="65"/>
        <v>0</v>
      </c>
      <c r="CC147">
        <f t="shared" si="65"/>
        <v>0</v>
      </c>
      <c r="CD147">
        <f t="shared" si="65"/>
        <v>0</v>
      </c>
      <c r="CE147">
        <f t="shared" si="65"/>
        <v>0</v>
      </c>
      <c r="CF147">
        <f t="shared" si="65"/>
        <v>0</v>
      </c>
      <c r="CG147">
        <f t="shared" si="65"/>
        <v>0</v>
      </c>
      <c r="CH147">
        <f t="shared" si="65"/>
        <v>0</v>
      </c>
      <c r="CI147">
        <f t="shared" si="65"/>
        <v>0</v>
      </c>
      <c r="CJ147">
        <f t="shared" si="65"/>
        <v>0</v>
      </c>
      <c r="CK147">
        <f t="shared" si="65"/>
        <v>0</v>
      </c>
      <c r="CL147">
        <f t="shared" si="65"/>
        <v>0</v>
      </c>
      <c r="CM147">
        <f t="shared" si="65"/>
        <v>0</v>
      </c>
      <c r="CN147">
        <f t="shared" si="65"/>
        <v>0</v>
      </c>
      <c r="CO147">
        <f t="shared" si="65"/>
        <v>0</v>
      </c>
      <c r="CP147">
        <f t="shared" si="65"/>
        <v>0</v>
      </c>
      <c r="CQ147">
        <f t="shared" si="65"/>
        <v>0</v>
      </c>
      <c r="CR147">
        <f t="shared" si="65"/>
        <v>0</v>
      </c>
      <c r="CS147">
        <f t="shared" si="65"/>
        <v>0</v>
      </c>
      <c r="CT147">
        <f t="shared" si="65"/>
        <v>0</v>
      </c>
      <c r="CU147">
        <f t="shared" si="65"/>
        <v>0</v>
      </c>
      <c r="CV147">
        <f t="shared" si="65"/>
        <v>0</v>
      </c>
      <c r="CW147">
        <f t="shared" si="65"/>
        <v>0</v>
      </c>
      <c r="CX147">
        <f t="shared" si="65"/>
        <v>0</v>
      </c>
      <c r="CY147">
        <f t="shared" si="65"/>
        <v>0</v>
      </c>
      <c r="CZ147">
        <f t="shared" si="65"/>
        <v>0</v>
      </c>
      <c r="DA147">
        <f t="shared" si="65"/>
        <v>0</v>
      </c>
      <c r="DB147">
        <f t="shared" si="65"/>
        <v>0</v>
      </c>
      <c r="DC147">
        <f t="shared" si="65"/>
        <v>0</v>
      </c>
      <c r="DD147">
        <f t="shared" si="65"/>
        <v>0</v>
      </c>
      <c r="DE147">
        <f t="shared" si="65"/>
        <v>0</v>
      </c>
      <c r="DF147">
        <f t="shared" si="65"/>
        <v>0</v>
      </c>
      <c r="DG147">
        <f t="shared" si="65"/>
        <v>0</v>
      </c>
      <c r="DH147">
        <f t="shared" si="65"/>
        <v>0</v>
      </c>
      <c r="DI147">
        <f t="shared" si="65"/>
        <v>0</v>
      </c>
    </row>
    <row r="148" spans="2:113">
      <c r="D148">
        <v>2</v>
      </c>
      <c r="E148">
        <f t="shared" si="64"/>
        <v>0</v>
      </c>
      <c r="F148">
        <f t="shared" si="64"/>
        <v>0</v>
      </c>
      <c r="G148">
        <f t="shared" si="64"/>
        <v>0</v>
      </c>
      <c r="H148">
        <f t="shared" si="64"/>
        <v>0</v>
      </c>
      <c r="I148">
        <f t="shared" si="64"/>
        <v>0</v>
      </c>
      <c r="J148">
        <f t="shared" si="64"/>
        <v>0</v>
      </c>
      <c r="K148">
        <f t="shared" si="64"/>
        <v>0</v>
      </c>
      <c r="L148">
        <f t="shared" si="64"/>
        <v>0</v>
      </c>
      <c r="M148">
        <f t="shared" si="64"/>
        <v>0</v>
      </c>
      <c r="N148">
        <f t="shared" si="64"/>
        <v>0</v>
      </c>
      <c r="O148">
        <f t="shared" si="64"/>
        <v>0</v>
      </c>
      <c r="P148">
        <f t="shared" si="64"/>
        <v>0</v>
      </c>
      <c r="Q148">
        <f t="shared" si="64"/>
        <v>0</v>
      </c>
      <c r="R148">
        <f t="shared" si="64"/>
        <v>0</v>
      </c>
      <c r="S148">
        <f t="shared" si="64"/>
        <v>0</v>
      </c>
      <c r="T148">
        <f t="shared" si="64"/>
        <v>0</v>
      </c>
      <c r="U148">
        <f t="shared" si="64"/>
        <v>0</v>
      </c>
      <c r="V148">
        <f t="shared" si="64"/>
        <v>0</v>
      </c>
      <c r="W148">
        <f t="shared" si="64"/>
        <v>0</v>
      </c>
      <c r="X148">
        <f t="shared" si="64"/>
        <v>0</v>
      </c>
      <c r="Y148">
        <f t="shared" si="64"/>
        <v>0</v>
      </c>
      <c r="Z148">
        <f t="shared" si="64"/>
        <v>0</v>
      </c>
      <c r="AA148">
        <f t="shared" si="64"/>
        <v>0</v>
      </c>
      <c r="AB148">
        <f t="shared" si="64"/>
        <v>0</v>
      </c>
      <c r="AC148">
        <f t="shared" si="64"/>
        <v>0</v>
      </c>
      <c r="AD148">
        <f t="shared" si="64"/>
        <v>0</v>
      </c>
      <c r="AE148">
        <f t="shared" si="64"/>
        <v>0</v>
      </c>
      <c r="AF148">
        <f t="shared" si="64"/>
        <v>0</v>
      </c>
      <c r="AG148">
        <f t="shared" si="64"/>
        <v>0</v>
      </c>
      <c r="AH148">
        <f t="shared" si="64"/>
        <v>0</v>
      </c>
      <c r="AI148">
        <f t="shared" si="64"/>
        <v>0</v>
      </c>
      <c r="AJ148">
        <f t="shared" si="64"/>
        <v>0</v>
      </c>
      <c r="AK148">
        <f t="shared" si="64"/>
        <v>0</v>
      </c>
      <c r="AL148">
        <f t="shared" si="64"/>
        <v>0</v>
      </c>
      <c r="AM148">
        <f t="shared" si="64"/>
        <v>0</v>
      </c>
      <c r="AN148">
        <f t="shared" si="64"/>
        <v>0</v>
      </c>
      <c r="AO148">
        <f t="shared" si="64"/>
        <v>0</v>
      </c>
      <c r="AP148">
        <f t="shared" si="64"/>
        <v>0</v>
      </c>
      <c r="AQ148">
        <f t="shared" si="64"/>
        <v>0</v>
      </c>
      <c r="AR148">
        <f t="shared" si="64"/>
        <v>0</v>
      </c>
      <c r="AS148">
        <f t="shared" si="64"/>
        <v>0</v>
      </c>
      <c r="AT148">
        <f t="shared" si="64"/>
        <v>0</v>
      </c>
      <c r="AU148">
        <f t="shared" si="64"/>
        <v>0</v>
      </c>
      <c r="AV148">
        <f t="shared" si="64"/>
        <v>0</v>
      </c>
      <c r="AW148">
        <f t="shared" si="64"/>
        <v>0</v>
      </c>
      <c r="AX148">
        <f t="shared" si="64"/>
        <v>0</v>
      </c>
      <c r="AY148">
        <f t="shared" si="64"/>
        <v>0</v>
      </c>
      <c r="AZ148">
        <f t="shared" si="64"/>
        <v>0</v>
      </c>
      <c r="BA148">
        <f t="shared" si="64"/>
        <v>0</v>
      </c>
      <c r="BB148">
        <f t="shared" si="64"/>
        <v>0</v>
      </c>
      <c r="BC148">
        <f t="shared" si="64"/>
        <v>0</v>
      </c>
      <c r="BD148">
        <f t="shared" si="64"/>
        <v>0</v>
      </c>
      <c r="BE148">
        <f t="shared" si="64"/>
        <v>0</v>
      </c>
      <c r="BF148">
        <f t="shared" si="64"/>
        <v>0</v>
      </c>
      <c r="BG148">
        <f t="shared" si="64"/>
        <v>0</v>
      </c>
      <c r="BH148">
        <f t="shared" si="64"/>
        <v>0</v>
      </c>
      <c r="BI148">
        <f t="shared" si="64"/>
        <v>0</v>
      </c>
      <c r="BJ148">
        <f t="shared" si="64"/>
        <v>0</v>
      </c>
      <c r="BK148">
        <f t="shared" si="64"/>
        <v>0</v>
      </c>
      <c r="BL148">
        <f t="shared" si="64"/>
        <v>0</v>
      </c>
      <c r="BM148">
        <f t="shared" si="64"/>
        <v>0</v>
      </c>
      <c r="BN148">
        <f t="shared" si="64"/>
        <v>0</v>
      </c>
      <c r="BO148">
        <f t="shared" si="64"/>
        <v>0</v>
      </c>
      <c r="BP148">
        <f t="shared" si="64"/>
        <v>0</v>
      </c>
      <c r="BQ148">
        <f t="shared" si="65"/>
        <v>0</v>
      </c>
      <c r="BR148">
        <f t="shared" si="65"/>
        <v>0</v>
      </c>
      <c r="BS148">
        <f t="shared" si="65"/>
        <v>0</v>
      </c>
      <c r="BT148">
        <f t="shared" si="65"/>
        <v>0</v>
      </c>
      <c r="BU148">
        <f t="shared" si="65"/>
        <v>0</v>
      </c>
      <c r="BV148">
        <f t="shared" si="65"/>
        <v>0</v>
      </c>
      <c r="BW148">
        <f t="shared" si="65"/>
        <v>0</v>
      </c>
      <c r="BX148">
        <f t="shared" si="65"/>
        <v>0</v>
      </c>
      <c r="BY148">
        <f t="shared" si="65"/>
        <v>0</v>
      </c>
      <c r="BZ148">
        <f t="shared" si="65"/>
        <v>0</v>
      </c>
      <c r="CA148">
        <f t="shared" si="65"/>
        <v>0</v>
      </c>
      <c r="CB148">
        <f t="shared" si="65"/>
        <v>0</v>
      </c>
      <c r="CC148">
        <f t="shared" si="65"/>
        <v>0</v>
      </c>
      <c r="CD148">
        <f t="shared" si="65"/>
        <v>0</v>
      </c>
      <c r="CE148">
        <f t="shared" si="65"/>
        <v>0</v>
      </c>
      <c r="CF148">
        <f t="shared" si="65"/>
        <v>0</v>
      </c>
      <c r="CG148">
        <f t="shared" si="65"/>
        <v>0</v>
      </c>
      <c r="CH148">
        <f t="shared" si="65"/>
        <v>0</v>
      </c>
      <c r="CI148">
        <f t="shared" si="65"/>
        <v>0</v>
      </c>
      <c r="CJ148">
        <f t="shared" si="65"/>
        <v>0</v>
      </c>
      <c r="CK148">
        <f t="shared" si="65"/>
        <v>0</v>
      </c>
      <c r="CL148">
        <f t="shared" si="65"/>
        <v>0</v>
      </c>
      <c r="CM148">
        <f t="shared" si="65"/>
        <v>0</v>
      </c>
      <c r="CN148">
        <f t="shared" si="65"/>
        <v>0</v>
      </c>
      <c r="CO148">
        <f t="shared" si="65"/>
        <v>0</v>
      </c>
      <c r="CP148">
        <f t="shared" si="65"/>
        <v>0</v>
      </c>
      <c r="CQ148">
        <f t="shared" si="65"/>
        <v>0</v>
      </c>
      <c r="CR148">
        <f t="shared" si="65"/>
        <v>0</v>
      </c>
      <c r="CS148">
        <f t="shared" si="65"/>
        <v>0</v>
      </c>
      <c r="CT148">
        <f t="shared" si="65"/>
        <v>0</v>
      </c>
      <c r="CU148">
        <f t="shared" si="65"/>
        <v>0</v>
      </c>
      <c r="CV148">
        <f t="shared" si="65"/>
        <v>0</v>
      </c>
      <c r="CW148">
        <f t="shared" si="65"/>
        <v>0</v>
      </c>
      <c r="CX148">
        <f t="shared" si="65"/>
        <v>0</v>
      </c>
      <c r="CY148">
        <f t="shared" si="65"/>
        <v>0</v>
      </c>
      <c r="CZ148">
        <f t="shared" si="65"/>
        <v>0</v>
      </c>
      <c r="DA148">
        <f t="shared" si="65"/>
        <v>0</v>
      </c>
      <c r="DB148">
        <f t="shared" si="65"/>
        <v>0</v>
      </c>
      <c r="DC148">
        <f t="shared" si="65"/>
        <v>0</v>
      </c>
      <c r="DD148">
        <f t="shared" si="65"/>
        <v>0</v>
      </c>
      <c r="DE148">
        <f t="shared" si="65"/>
        <v>0</v>
      </c>
      <c r="DF148">
        <f t="shared" si="65"/>
        <v>0</v>
      </c>
      <c r="DG148">
        <f t="shared" si="65"/>
        <v>0</v>
      </c>
      <c r="DH148">
        <f t="shared" si="65"/>
        <v>0</v>
      </c>
      <c r="DI148">
        <f t="shared" si="65"/>
        <v>0</v>
      </c>
    </row>
    <row r="149" spans="2:113">
      <c r="D149">
        <v>3</v>
      </c>
      <c r="E149">
        <f t="shared" si="64"/>
        <v>0</v>
      </c>
      <c r="F149">
        <f t="shared" si="64"/>
        <v>0</v>
      </c>
      <c r="G149">
        <f t="shared" si="64"/>
        <v>0</v>
      </c>
      <c r="H149">
        <f t="shared" si="64"/>
        <v>0</v>
      </c>
      <c r="I149">
        <f t="shared" si="64"/>
        <v>0</v>
      </c>
      <c r="J149">
        <f t="shared" si="64"/>
        <v>0</v>
      </c>
      <c r="K149">
        <f t="shared" si="64"/>
        <v>0</v>
      </c>
      <c r="L149">
        <f t="shared" si="64"/>
        <v>0</v>
      </c>
      <c r="M149">
        <f t="shared" si="64"/>
        <v>0</v>
      </c>
      <c r="N149">
        <f t="shared" si="64"/>
        <v>0</v>
      </c>
      <c r="O149">
        <f t="shared" si="64"/>
        <v>0</v>
      </c>
      <c r="P149">
        <f t="shared" si="64"/>
        <v>0</v>
      </c>
      <c r="Q149">
        <f t="shared" si="64"/>
        <v>0</v>
      </c>
      <c r="R149">
        <f t="shared" si="64"/>
        <v>0</v>
      </c>
      <c r="S149">
        <f t="shared" si="64"/>
        <v>0</v>
      </c>
      <c r="T149">
        <f t="shared" si="64"/>
        <v>0</v>
      </c>
      <c r="U149">
        <f t="shared" si="64"/>
        <v>0</v>
      </c>
      <c r="V149">
        <f t="shared" si="64"/>
        <v>0</v>
      </c>
      <c r="W149">
        <f t="shared" si="64"/>
        <v>0</v>
      </c>
      <c r="X149">
        <f t="shared" si="64"/>
        <v>0</v>
      </c>
      <c r="Y149">
        <f t="shared" si="64"/>
        <v>0</v>
      </c>
      <c r="Z149">
        <f t="shared" si="64"/>
        <v>0</v>
      </c>
      <c r="AA149">
        <f t="shared" si="64"/>
        <v>0</v>
      </c>
      <c r="AB149">
        <f t="shared" si="64"/>
        <v>0</v>
      </c>
      <c r="AC149">
        <f t="shared" si="64"/>
        <v>0</v>
      </c>
      <c r="AD149">
        <f t="shared" si="64"/>
        <v>0</v>
      </c>
      <c r="AE149">
        <f t="shared" si="64"/>
        <v>0</v>
      </c>
      <c r="AF149">
        <f t="shared" si="64"/>
        <v>0</v>
      </c>
      <c r="AG149">
        <f t="shared" si="64"/>
        <v>0</v>
      </c>
      <c r="AH149">
        <f t="shared" si="64"/>
        <v>0</v>
      </c>
      <c r="AI149">
        <f t="shared" si="64"/>
        <v>0</v>
      </c>
      <c r="AJ149">
        <f t="shared" si="64"/>
        <v>0</v>
      </c>
      <c r="AK149">
        <f t="shared" si="64"/>
        <v>0</v>
      </c>
      <c r="AL149">
        <f t="shared" si="64"/>
        <v>0</v>
      </c>
      <c r="AM149">
        <f t="shared" si="64"/>
        <v>0</v>
      </c>
      <c r="AN149">
        <f t="shared" si="64"/>
        <v>0</v>
      </c>
      <c r="AO149">
        <f t="shared" si="64"/>
        <v>0</v>
      </c>
      <c r="AP149">
        <f t="shared" si="64"/>
        <v>0</v>
      </c>
      <c r="AQ149">
        <f t="shared" si="64"/>
        <v>0</v>
      </c>
      <c r="AR149">
        <f t="shared" si="64"/>
        <v>0</v>
      </c>
      <c r="AS149">
        <f t="shared" si="64"/>
        <v>0</v>
      </c>
      <c r="AT149">
        <f t="shared" si="64"/>
        <v>0</v>
      </c>
      <c r="AU149">
        <f t="shared" si="64"/>
        <v>0</v>
      </c>
      <c r="AV149">
        <f t="shared" si="64"/>
        <v>0</v>
      </c>
      <c r="AW149">
        <f t="shared" si="64"/>
        <v>0</v>
      </c>
      <c r="AX149">
        <f t="shared" si="64"/>
        <v>0</v>
      </c>
      <c r="AY149">
        <f t="shared" si="64"/>
        <v>0</v>
      </c>
      <c r="AZ149">
        <f t="shared" si="64"/>
        <v>0</v>
      </c>
      <c r="BA149">
        <f t="shared" si="64"/>
        <v>0</v>
      </c>
      <c r="BB149">
        <f t="shared" si="64"/>
        <v>0</v>
      </c>
      <c r="BC149">
        <f t="shared" si="64"/>
        <v>0</v>
      </c>
      <c r="BD149">
        <f t="shared" si="64"/>
        <v>0</v>
      </c>
      <c r="BE149">
        <f t="shared" si="64"/>
        <v>0</v>
      </c>
      <c r="BF149">
        <f t="shared" si="64"/>
        <v>0</v>
      </c>
      <c r="BG149">
        <f t="shared" si="64"/>
        <v>0</v>
      </c>
      <c r="BH149">
        <f t="shared" si="64"/>
        <v>0</v>
      </c>
      <c r="BI149">
        <f t="shared" si="64"/>
        <v>0</v>
      </c>
      <c r="BJ149">
        <f t="shared" si="64"/>
        <v>0</v>
      </c>
      <c r="BK149">
        <f t="shared" si="64"/>
        <v>0</v>
      </c>
      <c r="BL149">
        <f t="shared" si="64"/>
        <v>0</v>
      </c>
      <c r="BM149">
        <f t="shared" si="64"/>
        <v>0</v>
      </c>
      <c r="BN149">
        <f t="shared" si="64"/>
        <v>0</v>
      </c>
      <c r="BO149">
        <f t="shared" si="64"/>
        <v>0</v>
      </c>
      <c r="BP149">
        <f t="shared" si="64"/>
        <v>0</v>
      </c>
      <c r="BQ149">
        <f t="shared" si="65"/>
        <v>0</v>
      </c>
      <c r="BR149">
        <f t="shared" si="65"/>
        <v>0</v>
      </c>
      <c r="BS149">
        <f t="shared" si="65"/>
        <v>0</v>
      </c>
      <c r="BT149">
        <f t="shared" si="65"/>
        <v>0</v>
      </c>
      <c r="BU149">
        <f t="shared" si="65"/>
        <v>0</v>
      </c>
      <c r="BV149">
        <f t="shared" si="65"/>
        <v>0</v>
      </c>
      <c r="BW149">
        <f t="shared" si="65"/>
        <v>0</v>
      </c>
      <c r="BX149">
        <f t="shared" si="65"/>
        <v>0</v>
      </c>
      <c r="BY149">
        <f t="shared" si="65"/>
        <v>0</v>
      </c>
      <c r="BZ149">
        <f t="shared" si="65"/>
        <v>0</v>
      </c>
      <c r="CA149">
        <f t="shared" si="65"/>
        <v>0</v>
      </c>
      <c r="CB149">
        <f t="shared" si="65"/>
        <v>0</v>
      </c>
      <c r="CC149">
        <f t="shared" si="65"/>
        <v>0</v>
      </c>
      <c r="CD149">
        <f t="shared" si="65"/>
        <v>0</v>
      </c>
      <c r="CE149">
        <f t="shared" si="65"/>
        <v>0</v>
      </c>
      <c r="CF149">
        <f t="shared" si="65"/>
        <v>0</v>
      </c>
      <c r="CG149">
        <f t="shared" si="65"/>
        <v>0</v>
      </c>
      <c r="CH149">
        <f t="shared" si="65"/>
        <v>0</v>
      </c>
      <c r="CI149">
        <f t="shared" si="65"/>
        <v>0</v>
      </c>
      <c r="CJ149">
        <f t="shared" si="65"/>
        <v>0</v>
      </c>
      <c r="CK149">
        <f t="shared" si="65"/>
        <v>0</v>
      </c>
      <c r="CL149">
        <f t="shared" si="65"/>
        <v>0</v>
      </c>
      <c r="CM149">
        <f t="shared" si="65"/>
        <v>0</v>
      </c>
      <c r="CN149">
        <f t="shared" si="65"/>
        <v>0</v>
      </c>
      <c r="CO149">
        <f t="shared" si="65"/>
        <v>0</v>
      </c>
      <c r="CP149">
        <f t="shared" si="65"/>
        <v>0</v>
      </c>
      <c r="CQ149">
        <f t="shared" si="65"/>
        <v>0</v>
      </c>
      <c r="CR149">
        <f t="shared" si="65"/>
        <v>0</v>
      </c>
      <c r="CS149">
        <f t="shared" si="65"/>
        <v>0</v>
      </c>
      <c r="CT149">
        <f t="shared" si="65"/>
        <v>0</v>
      </c>
      <c r="CU149">
        <f t="shared" si="65"/>
        <v>0</v>
      </c>
      <c r="CV149">
        <f t="shared" si="65"/>
        <v>0</v>
      </c>
      <c r="CW149">
        <f t="shared" si="65"/>
        <v>0</v>
      </c>
      <c r="CX149">
        <f t="shared" si="65"/>
        <v>0</v>
      </c>
      <c r="CY149">
        <f t="shared" si="65"/>
        <v>0</v>
      </c>
      <c r="CZ149">
        <f t="shared" si="65"/>
        <v>0</v>
      </c>
      <c r="DA149">
        <f t="shared" si="65"/>
        <v>0</v>
      </c>
      <c r="DB149">
        <f t="shared" si="65"/>
        <v>0</v>
      </c>
      <c r="DC149">
        <f t="shared" si="65"/>
        <v>0</v>
      </c>
      <c r="DD149">
        <f t="shared" si="65"/>
        <v>0</v>
      </c>
      <c r="DE149">
        <f t="shared" si="65"/>
        <v>0</v>
      </c>
      <c r="DF149">
        <f t="shared" si="65"/>
        <v>0</v>
      </c>
      <c r="DG149">
        <f t="shared" si="65"/>
        <v>0</v>
      </c>
      <c r="DH149">
        <f t="shared" si="65"/>
        <v>0</v>
      </c>
      <c r="DI149">
        <f t="shared" si="65"/>
        <v>0</v>
      </c>
    </row>
    <row r="150" spans="2:113">
      <c r="D150">
        <v>4</v>
      </c>
      <c r="E150">
        <f t="shared" si="64"/>
        <v>0</v>
      </c>
      <c r="F150">
        <f t="shared" si="64"/>
        <v>0</v>
      </c>
      <c r="G150">
        <f t="shared" si="64"/>
        <v>0</v>
      </c>
      <c r="H150">
        <f t="shared" si="64"/>
        <v>0</v>
      </c>
      <c r="I150">
        <f t="shared" si="64"/>
        <v>0</v>
      </c>
      <c r="J150">
        <f t="shared" si="64"/>
        <v>0</v>
      </c>
      <c r="K150">
        <f t="shared" si="64"/>
        <v>0</v>
      </c>
      <c r="L150">
        <f t="shared" si="64"/>
        <v>0</v>
      </c>
      <c r="M150">
        <f t="shared" si="64"/>
        <v>0</v>
      </c>
      <c r="N150">
        <f t="shared" si="64"/>
        <v>0</v>
      </c>
      <c r="O150">
        <f t="shared" si="64"/>
        <v>0</v>
      </c>
      <c r="P150">
        <f t="shared" si="64"/>
        <v>0</v>
      </c>
      <c r="Q150">
        <f t="shared" si="64"/>
        <v>0</v>
      </c>
      <c r="R150">
        <f t="shared" si="64"/>
        <v>0</v>
      </c>
      <c r="S150">
        <f t="shared" si="64"/>
        <v>0</v>
      </c>
      <c r="T150">
        <f t="shared" si="64"/>
        <v>0</v>
      </c>
      <c r="U150">
        <f t="shared" si="64"/>
        <v>0</v>
      </c>
      <c r="V150">
        <f t="shared" si="64"/>
        <v>0</v>
      </c>
      <c r="W150">
        <f t="shared" si="64"/>
        <v>0</v>
      </c>
      <c r="X150">
        <f t="shared" si="64"/>
        <v>0</v>
      </c>
      <c r="Y150">
        <f t="shared" si="64"/>
        <v>0</v>
      </c>
      <c r="Z150">
        <f t="shared" si="64"/>
        <v>0</v>
      </c>
      <c r="AA150">
        <f t="shared" si="64"/>
        <v>0</v>
      </c>
      <c r="AB150">
        <f t="shared" si="64"/>
        <v>0</v>
      </c>
      <c r="AC150">
        <f t="shared" si="64"/>
        <v>0</v>
      </c>
      <c r="AD150">
        <f t="shared" si="64"/>
        <v>0</v>
      </c>
      <c r="AE150">
        <f t="shared" si="64"/>
        <v>0</v>
      </c>
      <c r="AF150">
        <f t="shared" si="64"/>
        <v>0</v>
      </c>
      <c r="AG150">
        <f t="shared" si="64"/>
        <v>0</v>
      </c>
      <c r="AH150">
        <f t="shared" si="64"/>
        <v>0</v>
      </c>
      <c r="AI150">
        <f t="shared" si="64"/>
        <v>0</v>
      </c>
      <c r="AJ150">
        <f t="shared" si="64"/>
        <v>0</v>
      </c>
      <c r="AK150">
        <f t="shared" si="64"/>
        <v>0</v>
      </c>
      <c r="AL150">
        <f t="shared" si="64"/>
        <v>0</v>
      </c>
      <c r="AM150">
        <f t="shared" si="64"/>
        <v>0</v>
      </c>
      <c r="AN150">
        <f t="shared" si="64"/>
        <v>0</v>
      </c>
      <c r="AO150">
        <f t="shared" si="64"/>
        <v>0</v>
      </c>
      <c r="AP150">
        <f t="shared" si="64"/>
        <v>0</v>
      </c>
      <c r="AQ150">
        <f t="shared" si="64"/>
        <v>0</v>
      </c>
      <c r="AR150">
        <f t="shared" si="64"/>
        <v>0</v>
      </c>
      <c r="AS150">
        <f t="shared" si="64"/>
        <v>0</v>
      </c>
      <c r="AT150">
        <f t="shared" si="64"/>
        <v>0</v>
      </c>
      <c r="AU150">
        <f t="shared" si="64"/>
        <v>0</v>
      </c>
      <c r="AV150">
        <f t="shared" si="64"/>
        <v>0</v>
      </c>
      <c r="AW150">
        <f t="shared" si="64"/>
        <v>0</v>
      </c>
      <c r="AX150">
        <f t="shared" si="64"/>
        <v>0</v>
      </c>
      <c r="AY150">
        <f t="shared" si="64"/>
        <v>0</v>
      </c>
      <c r="AZ150">
        <f t="shared" si="64"/>
        <v>0</v>
      </c>
      <c r="BA150">
        <f t="shared" si="64"/>
        <v>0</v>
      </c>
      <c r="BB150">
        <f t="shared" si="64"/>
        <v>0</v>
      </c>
      <c r="BC150">
        <f t="shared" si="64"/>
        <v>0</v>
      </c>
      <c r="BD150">
        <f t="shared" si="64"/>
        <v>0</v>
      </c>
      <c r="BE150">
        <f t="shared" si="64"/>
        <v>0</v>
      </c>
      <c r="BF150">
        <f t="shared" si="64"/>
        <v>0</v>
      </c>
      <c r="BG150">
        <f t="shared" si="64"/>
        <v>0</v>
      </c>
      <c r="BH150">
        <f t="shared" si="64"/>
        <v>0</v>
      </c>
      <c r="BI150">
        <f t="shared" si="64"/>
        <v>0</v>
      </c>
      <c r="BJ150">
        <f t="shared" si="64"/>
        <v>0</v>
      </c>
      <c r="BK150">
        <f t="shared" si="64"/>
        <v>0</v>
      </c>
      <c r="BL150">
        <f t="shared" si="64"/>
        <v>0</v>
      </c>
      <c r="BM150">
        <f t="shared" si="64"/>
        <v>0</v>
      </c>
      <c r="BN150">
        <f t="shared" si="64"/>
        <v>0</v>
      </c>
      <c r="BO150">
        <f t="shared" si="64"/>
        <v>0</v>
      </c>
      <c r="BP150">
        <f t="shared" ref="BP150:CF150" si="66">IF(COUNTIF($B$75:$B$78,BP78)=1,1,0)</f>
        <v>0</v>
      </c>
      <c r="BQ150">
        <f t="shared" si="66"/>
        <v>0</v>
      </c>
      <c r="BR150">
        <f t="shared" si="66"/>
        <v>0</v>
      </c>
      <c r="BS150">
        <f t="shared" si="66"/>
        <v>0</v>
      </c>
      <c r="BT150">
        <f t="shared" si="66"/>
        <v>0</v>
      </c>
      <c r="BU150">
        <f t="shared" si="66"/>
        <v>0</v>
      </c>
      <c r="BV150">
        <f t="shared" si="66"/>
        <v>0</v>
      </c>
      <c r="BW150">
        <f t="shared" si="66"/>
        <v>0</v>
      </c>
      <c r="BX150">
        <f t="shared" si="66"/>
        <v>0</v>
      </c>
      <c r="BY150">
        <f t="shared" si="66"/>
        <v>0</v>
      </c>
      <c r="BZ150">
        <f t="shared" si="66"/>
        <v>0</v>
      </c>
      <c r="CA150">
        <f t="shared" si="66"/>
        <v>0</v>
      </c>
      <c r="CB150">
        <f t="shared" si="66"/>
        <v>0</v>
      </c>
      <c r="CC150">
        <f t="shared" si="66"/>
        <v>0</v>
      </c>
      <c r="CD150">
        <f t="shared" si="66"/>
        <v>0</v>
      </c>
      <c r="CE150">
        <f t="shared" si="66"/>
        <v>0</v>
      </c>
      <c r="CF150">
        <f t="shared" si="66"/>
        <v>0</v>
      </c>
      <c r="CG150">
        <f t="shared" si="65"/>
        <v>0</v>
      </c>
      <c r="CH150">
        <f t="shared" si="65"/>
        <v>0</v>
      </c>
      <c r="CI150">
        <f t="shared" si="65"/>
        <v>0</v>
      </c>
      <c r="CJ150">
        <f t="shared" si="65"/>
        <v>0</v>
      </c>
      <c r="CK150">
        <f t="shared" si="65"/>
        <v>0</v>
      </c>
      <c r="CL150">
        <f t="shared" si="65"/>
        <v>0</v>
      </c>
      <c r="CM150">
        <f t="shared" si="65"/>
        <v>0</v>
      </c>
      <c r="CN150">
        <f t="shared" si="65"/>
        <v>0</v>
      </c>
      <c r="CO150">
        <f t="shared" si="65"/>
        <v>0</v>
      </c>
      <c r="CP150">
        <f t="shared" si="65"/>
        <v>0</v>
      </c>
      <c r="CQ150">
        <f t="shared" si="65"/>
        <v>0</v>
      </c>
      <c r="CR150">
        <f t="shared" si="65"/>
        <v>0</v>
      </c>
      <c r="CS150">
        <f t="shared" si="65"/>
        <v>0</v>
      </c>
      <c r="CT150">
        <f t="shared" si="65"/>
        <v>0</v>
      </c>
      <c r="CU150">
        <f t="shared" si="65"/>
        <v>0</v>
      </c>
      <c r="CV150">
        <f t="shared" si="65"/>
        <v>0</v>
      </c>
      <c r="CW150">
        <f t="shared" si="65"/>
        <v>0</v>
      </c>
      <c r="CX150">
        <f t="shared" si="65"/>
        <v>0</v>
      </c>
      <c r="CY150">
        <f t="shared" si="65"/>
        <v>0</v>
      </c>
      <c r="CZ150">
        <f t="shared" si="65"/>
        <v>0</v>
      </c>
      <c r="DA150">
        <f t="shared" si="65"/>
        <v>0</v>
      </c>
      <c r="DB150">
        <f t="shared" si="65"/>
        <v>0</v>
      </c>
      <c r="DC150">
        <f t="shared" si="65"/>
        <v>0</v>
      </c>
      <c r="DD150">
        <f t="shared" si="65"/>
        <v>0</v>
      </c>
      <c r="DE150">
        <f t="shared" si="65"/>
        <v>0</v>
      </c>
      <c r="DF150">
        <f t="shared" si="65"/>
        <v>0</v>
      </c>
      <c r="DG150">
        <f t="shared" si="65"/>
        <v>0</v>
      </c>
      <c r="DH150">
        <f t="shared" si="65"/>
        <v>0</v>
      </c>
      <c r="DI150">
        <f t="shared" si="65"/>
        <v>0</v>
      </c>
    </row>
    <row r="151" spans="2:113">
      <c r="C151" t="s">
        <v>2936</v>
      </c>
      <c r="E151">
        <f t="shared" ref="E151:AT151" si="67">SUM(E147:E150)*$DM$5</f>
        <v>0</v>
      </c>
      <c r="F151">
        <f t="shared" si="67"/>
        <v>0</v>
      </c>
      <c r="G151">
        <f t="shared" si="67"/>
        <v>0</v>
      </c>
      <c r="H151">
        <f t="shared" si="67"/>
        <v>0</v>
      </c>
      <c r="I151">
        <f t="shared" si="67"/>
        <v>0</v>
      </c>
      <c r="J151">
        <f t="shared" si="67"/>
        <v>0</v>
      </c>
      <c r="K151">
        <f t="shared" si="67"/>
        <v>0</v>
      </c>
      <c r="L151">
        <f t="shared" si="67"/>
        <v>0</v>
      </c>
      <c r="M151">
        <f t="shared" si="67"/>
        <v>0</v>
      </c>
      <c r="N151">
        <f t="shared" si="67"/>
        <v>0</v>
      </c>
      <c r="O151">
        <f t="shared" si="67"/>
        <v>0</v>
      </c>
      <c r="P151">
        <f t="shared" si="67"/>
        <v>0</v>
      </c>
      <c r="Q151">
        <f t="shared" si="67"/>
        <v>0</v>
      </c>
      <c r="R151">
        <f t="shared" si="67"/>
        <v>0</v>
      </c>
      <c r="S151">
        <f t="shared" si="67"/>
        <v>0</v>
      </c>
      <c r="T151">
        <f t="shared" si="67"/>
        <v>0</v>
      </c>
      <c r="U151">
        <f t="shared" si="67"/>
        <v>0</v>
      </c>
      <c r="V151">
        <f t="shared" si="67"/>
        <v>0</v>
      </c>
      <c r="W151">
        <f t="shared" si="67"/>
        <v>0</v>
      </c>
      <c r="X151">
        <f t="shared" si="67"/>
        <v>0</v>
      </c>
      <c r="Y151">
        <f t="shared" si="67"/>
        <v>0</v>
      </c>
      <c r="Z151">
        <f t="shared" si="67"/>
        <v>0</v>
      </c>
      <c r="AA151">
        <f t="shared" si="67"/>
        <v>0</v>
      </c>
      <c r="AB151">
        <f t="shared" si="67"/>
        <v>0</v>
      </c>
      <c r="AC151">
        <f t="shared" si="67"/>
        <v>0</v>
      </c>
      <c r="AD151">
        <f t="shared" si="67"/>
        <v>0</v>
      </c>
      <c r="AE151">
        <f t="shared" si="67"/>
        <v>0</v>
      </c>
      <c r="AF151">
        <f t="shared" si="67"/>
        <v>0</v>
      </c>
      <c r="AG151">
        <f t="shared" si="67"/>
        <v>0</v>
      </c>
      <c r="AH151">
        <f t="shared" si="67"/>
        <v>0</v>
      </c>
      <c r="AI151">
        <f t="shared" si="67"/>
        <v>0</v>
      </c>
      <c r="AJ151">
        <f t="shared" si="67"/>
        <v>0</v>
      </c>
      <c r="AK151">
        <f t="shared" si="67"/>
        <v>0</v>
      </c>
      <c r="AL151">
        <f t="shared" si="67"/>
        <v>0</v>
      </c>
      <c r="AM151">
        <f t="shared" si="67"/>
        <v>0</v>
      </c>
      <c r="AN151">
        <f t="shared" si="67"/>
        <v>0</v>
      </c>
      <c r="AO151">
        <f t="shared" si="67"/>
        <v>0</v>
      </c>
      <c r="AP151">
        <f t="shared" si="67"/>
        <v>0</v>
      </c>
      <c r="AQ151">
        <f t="shared" si="67"/>
        <v>0</v>
      </c>
      <c r="AR151">
        <f t="shared" si="67"/>
        <v>0</v>
      </c>
      <c r="AS151">
        <f t="shared" si="67"/>
        <v>0</v>
      </c>
      <c r="AT151">
        <f t="shared" si="67"/>
        <v>0</v>
      </c>
      <c r="AU151">
        <f t="shared" ref="AU151:CE151" si="68">SUM(AU147:AU150)*$DM$5</f>
        <v>0</v>
      </c>
      <c r="AV151">
        <f t="shared" si="68"/>
        <v>0</v>
      </c>
      <c r="AW151">
        <f t="shared" si="68"/>
        <v>0</v>
      </c>
      <c r="AX151">
        <f t="shared" si="68"/>
        <v>0</v>
      </c>
      <c r="AY151">
        <f t="shared" si="68"/>
        <v>0</v>
      </c>
      <c r="AZ151">
        <f t="shared" si="68"/>
        <v>0</v>
      </c>
      <c r="BA151">
        <f t="shared" si="68"/>
        <v>0</v>
      </c>
      <c r="BB151">
        <f t="shared" si="68"/>
        <v>0</v>
      </c>
      <c r="BC151">
        <f t="shared" si="68"/>
        <v>0</v>
      </c>
      <c r="BD151">
        <f t="shared" si="68"/>
        <v>0</v>
      </c>
      <c r="BE151">
        <f t="shared" si="68"/>
        <v>0</v>
      </c>
      <c r="BF151">
        <f t="shared" si="68"/>
        <v>0</v>
      </c>
      <c r="BG151">
        <f t="shared" si="68"/>
        <v>0</v>
      </c>
      <c r="BH151">
        <f t="shared" si="68"/>
        <v>0</v>
      </c>
      <c r="BI151">
        <f t="shared" si="68"/>
        <v>0</v>
      </c>
      <c r="BJ151">
        <f t="shared" si="68"/>
        <v>0</v>
      </c>
      <c r="BK151">
        <f t="shared" si="68"/>
        <v>0</v>
      </c>
      <c r="BL151">
        <f t="shared" si="68"/>
        <v>0</v>
      </c>
      <c r="BM151">
        <f t="shared" si="68"/>
        <v>0</v>
      </c>
      <c r="BN151">
        <f t="shared" si="68"/>
        <v>0</v>
      </c>
      <c r="BO151">
        <f t="shared" si="68"/>
        <v>0</v>
      </c>
      <c r="BP151">
        <f t="shared" si="68"/>
        <v>0</v>
      </c>
      <c r="BQ151">
        <f t="shared" si="68"/>
        <v>0</v>
      </c>
      <c r="BR151">
        <f t="shared" si="68"/>
        <v>0</v>
      </c>
      <c r="BS151">
        <f t="shared" si="68"/>
        <v>0</v>
      </c>
      <c r="BT151">
        <f t="shared" si="68"/>
        <v>0</v>
      </c>
      <c r="BU151">
        <f t="shared" si="68"/>
        <v>0</v>
      </c>
      <c r="BV151">
        <f t="shared" si="68"/>
        <v>0</v>
      </c>
      <c r="BW151">
        <f t="shared" si="68"/>
        <v>0</v>
      </c>
      <c r="BX151">
        <f t="shared" si="68"/>
        <v>0</v>
      </c>
      <c r="BY151">
        <f t="shared" si="68"/>
        <v>0</v>
      </c>
      <c r="BZ151">
        <f t="shared" si="68"/>
        <v>0</v>
      </c>
      <c r="CA151">
        <f t="shared" si="68"/>
        <v>0</v>
      </c>
      <c r="CB151">
        <f t="shared" si="68"/>
        <v>0</v>
      </c>
      <c r="CC151">
        <f t="shared" si="68"/>
        <v>0</v>
      </c>
      <c r="CD151">
        <f t="shared" si="68"/>
        <v>0</v>
      </c>
      <c r="CE151">
        <f t="shared" si="68"/>
        <v>0</v>
      </c>
      <c r="CF151">
        <f>SUM(CF147:CF150)*$DM$5</f>
        <v>0</v>
      </c>
      <c r="CG151">
        <f t="shared" ref="CG151:DI151" si="69">SUM(CG147:CG150)*$DM$5</f>
        <v>0</v>
      </c>
      <c r="CH151">
        <f t="shared" si="69"/>
        <v>0</v>
      </c>
      <c r="CI151">
        <f t="shared" si="69"/>
        <v>0</v>
      </c>
      <c r="CJ151">
        <f t="shared" si="69"/>
        <v>0</v>
      </c>
      <c r="CK151">
        <f t="shared" si="69"/>
        <v>0</v>
      </c>
      <c r="CL151">
        <f t="shared" si="69"/>
        <v>0</v>
      </c>
      <c r="CM151">
        <f t="shared" si="69"/>
        <v>0</v>
      </c>
      <c r="CN151">
        <f t="shared" si="69"/>
        <v>0</v>
      </c>
      <c r="CO151">
        <f t="shared" si="69"/>
        <v>0</v>
      </c>
      <c r="CP151">
        <f t="shared" si="69"/>
        <v>0</v>
      </c>
      <c r="CQ151">
        <f t="shared" si="69"/>
        <v>0</v>
      </c>
      <c r="CR151">
        <f t="shared" si="69"/>
        <v>0</v>
      </c>
      <c r="CS151">
        <f t="shared" si="69"/>
        <v>0</v>
      </c>
      <c r="CT151">
        <f t="shared" si="69"/>
        <v>0</v>
      </c>
      <c r="CU151">
        <f t="shared" si="69"/>
        <v>0</v>
      </c>
      <c r="CV151">
        <f t="shared" si="69"/>
        <v>0</v>
      </c>
      <c r="CW151">
        <f t="shared" si="69"/>
        <v>0</v>
      </c>
      <c r="CX151">
        <f t="shared" si="69"/>
        <v>0</v>
      </c>
      <c r="CY151">
        <f t="shared" si="69"/>
        <v>0</v>
      </c>
      <c r="CZ151">
        <f t="shared" si="69"/>
        <v>0</v>
      </c>
      <c r="DA151">
        <f t="shared" si="69"/>
        <v>0</v>
      </c>
      <c r="DB151">
        <f t="shared" si="69"/>
        <v>0</v>
      </c>
      <c r="DC151">
        <f t="shared" si="69"/>
        <v>0</v>
      </c>
      <c r="DD151">
        <f t="shared" si="69"/>
        <v>0</v>
      </c>
      <c r="DE151">
        <f t="shared" si="69"/>
        <v>0</v>
      </c>
      <c r="DF151">
        <f t="shared" si="69"/>
        <v>0</v>
      </c>
      <c r="DG151">
        <f t="shared" si="69"/>
        <v>0</v>
      </c>
      <c r="DH151">
        <f t="shared" si="69"/>
        <v>0</v>
      </c>
      <c r="DI151">
        <f t="shared" si="69"/>
        <v>0</v>
      </c>
    </row>
    <row r="152" spans="2:113">
      <c r="B152" s="125" t="s">
        <v>245</v>
      </c>
      <c r="D152">
        <v>1</v>
      </c>
      <c r="E152">
        <f t="shared" ref="E152:BP153" si="70">IF(COUNTIF($B$79:$B$80,E79)=1,1,0)</f>
        <v>0</v>
      </c>
      <c r="F152">
        <f t="shared" si="70"/>
        <v>0</v>
      </c>
      <c r="G152">
        <f t="shared" si="70"/>
        <v>0</v>
      </c>
      <c r="H152">
        <f t="shared" si="70"/>
        <v>0</v>
      </c>
      <c r="I152">
        <f t="shared" si="70"/>
        <v>0</v>
      </c>
      <c r="J152">
        <f t="shared" si="70"/>
        <v>0</v>
      </c>
      <c r="K152">
        <f t="shared" si="70"/>
        <v>0</v>
      </c>
      <c r="L152">
        <f t="shared" si="70"/>
        <v>0</v>
      </c>
      <c r="M152">
        <f t="shared" si="70"/>
        <v>0</v>
      </c>
      <c r="N152">
        <f t="shared" si="70"/>
        <v>0</v>
      </c>
      <c r="O152">
        <f t="shared" si="70"/>
        <v>0</v>
      </c>
      <c r="P152">
        <f t="shared" si="70"/>
        <v>0</v>
      </c>
      <c r="Q152">
        <f t="shared" si="70"/>
        <v>0</v>
      </c>
      <c r="R152">
        <f t="shared" si="70"/>
        <v>0</v>
      </c>
      <c r="S152">
        <f t="shared" si="70"/>
        <v>0</v>
      </c>
      <c r="T152">
        <f t="shared" si="70"/>
        <v>0</v>
      </c>
      <c r="U152">
        <f t="shared" si="70"/>
        <v>0</v>
      </c>
      <c r="V152">
        <f t="shared" si="70"/>
        <v>0</v>
      </c>
      <c r="W152">
        <f t="shared" si="70"/>
        <v>0</v>
      </c>
      <c r="X152">
        <f t="shared" si="70"/>
        <v>0</v>
      </c>
      <c r="Y152">
        <f t="shared" si="70"/>
        <v>0</v>
      </c>
      <c r="Z152">
        <f t="shared" si="70"/>
        <v>0</v>
      </c>
      <c r="AA152">
        <f t="shared" si="70"/>
        <v>0</v>
      </c>
      <c r="AB152">
        <f t="shared" si="70"/>
        <v>0</v>
      </c>
      <c r="AC152">
        <f t="shared" si="70"/>
        <v>0</v>
      </c>
      <c r="AD152">
        <f t="shared" si="70"/>
        <v>0</v>
      </c>
      <c r="AE152">
        <f t="shared" si="70"/>
        <v>0</v>
      </c>
      <c r="AF152">
        <f t="shared" si="70"/>
        <v>0</v>
      </c>
      <c r="AG152">
        <f t="shared" si="70"/>
        <v>0</v>
      </c>
      <c r="AH152">
        <f t="shared" si="70"/>
        <v>0</v>
      </c>
      <c r="AI152">
        <f t="shared" si="70"/>
        <v>0</v>
      </c>
      <c r="AJ152">
        <f t="shared" si="70"/>
        <v>0</v>
      </c>
      <c r="AK152">
        <f t="shared" si="70"/>
        <v>0</v>
      </c>
      <c r="AL152">
        <f t="shared" si="70"/>
        <v>0</v>
      </c>
      <c r="AM152">
        <f t="shared" si="70"/>
        <v>0</v>
      </c>
      <c r="AN152">
        <f t="shared" si="70"/>
        <v>0</v>
      </c>
      <c r="AO152">
        <f t="shared" si="70"/>
        <v>0</v>
      </c>
      <c r="AP152">
        <f t="shared" si="70"/>
        <v>0</v>
      </c>
      <c r="AQ152">
        <f t="shared" si="70"/>
        <v>0</v>
      </c>
      <c r="AR152">
        <f t="shared" si="70"/>
        <v>0</v>
      </c>
      <c r="AS152">
        <f t="shared" si="70"/>
        <v>0</v>
      </c>
      <c r="AT152">
        <f t="shared" si="70"/>
        <v>0</v>
      </c>
      <c r="AU152">
        <f t="shared" si="70"/>
        <v>0</v>
      </c>
      <c r="AV152">
        <f t="shared" si="70"/>
        <v>0</v>
      </c>
      <c r="AW152">
        <f t="shared" si="70"/>
        <v>0</v>
      </c>
      <c r="AX152">
        <f t="shared" si="70"/>
        <v>0</v>
      </c>
      <c r="AY152">
        <f t="shared" si="70"/>
        <v>0</v>
      </c>
      <c r="AZ152">
        <f t="shared" si="70"/>
        <v>0</v>
      </c>
      <c r="BA152">
        <f t="shared" si="70"/>
        <v>0</v>
      </c>
      <c r="BB152">
        <f t="shared" si="70"/>
        <v>0</v>
      </c>
      <c r="BC152">
        <f t="shared" si="70"/>
        <v>0</v>
      </c>
      <c r="BD152">
        <f t="shared" si="70"/>
        <v>0</v>
      </c>
      <c r="BE152">
        <f t="shared" si="70"/>
        <v>0</v>
      </c>
      <c r="BF152">
        <f t="shared" si="70"/>
        <v>0</v>
      </c>
      <c r="BG152">
        <f t="shared" si="70"/>
        <v>0</v>
      </c>
      <c r="BH152">
        <f t="shared" si="70"/>
        <v>0</v>
      </c>
      <c r="BI152">
        <f t="shared" si="70"/>
        <v>0</v>
      </c>
      <c r="BJ152">
        <f t="shared" si="70"/>
        <v>0</v>
      </c>
      <c r="BK152">
        <f t="shared" si="70"/>
        <v>0</v>
      </c>
      <c r="BL152">
        <f t="shared" si="70"/>
        <v>0</v>
      </c>
      <c r="BM152">
        <f t="shared" si="70"/>
        <v>0</v>
      </c>
      <c r="BN152">
        <f t="shared" si="70"/>
        <v>0</v>
      </c>
      <c r="BO152">
        <f t="shared" si="70"/>
        <v>0</v>
      </c>
      <c r="BP152">
        <f t="shared" si="70"/>
        <v>0</v>
      </c>
      <c r="BQ152">
        <f t="shared" ref="BQ152:DI153" si="71">IF(COUNTIF($B$79:$B$80,BQ79)=1,1,0)</f>
        <v>0</v>
      </c>
      <c r="BR152">
        <f t="shared" si="71"/>
        <v>0</v>
      </c>
      <c r="BS152">
        <f t="shared" si="71"/>
        <v>0</v>
      </c>
      <c r="BT152">
        <f t="shared" si="71"/>
        <v>0</v>
      </c>
      <c r="BU152">
        <f t="shared" si="71"/>
        <v>0</v>
      </c>
      <c r="BV152">
        <f t="shared" si="71"/>
        <v>0</v>
      </c>
      <c r="BW152">
        <f t="shared" si="71"/>
        <v>0</v>
      </c>
      <c r="BX152">
        <f t="shared" si="71"/>
        <v>0</v>
      </c>
      <c r="BY152">
        <f t="shared" si="71"/>
        <v>0</v>
      </c>
      <c r="BZ152">
        <f t="shared" si="71"/>
        <v>0</v>
      </c>
      <c r="CA152">
        <f t="shared" si="71"/>
        <v>0</v>
      </c>
      <c r="CB152">
        <f t="shared" si="71"/>
        <v>0</v>
      </c>
      <c r="CC152">
        <f t="shared" si="71"/>
        <v>0</v>
      </c>
      <c r="CD152">
        <f t="shared" si="71"/>
        <v>0</v>
      </c>
      <c r="CE152">
        <f t="shared" si="71"/>
        <v>0</v>
      </c>
      <c r="CF152">
        <f t="shared" si="71"/>
        <v>0</v>
      </c>
      <c r="CG152">
        <f t="shared" si="71"/>
        <v>0</v>
      </c>
      <c r="CH152">
        <f t="shared" si="71"/>
        <v>0</v>
      </c>
      <c r="CI152">
        <f t="shared" si="71"/>
        <v>0</v>
      </c>
      <c r="CJ152">
        <f t="shared" si="71"/>
        <v>0</v>
      </c>
      <c r="CK152">
        <f t="shared" si="71"/>
        <v>0</v>
      </c>
      <c r="CL152">
        <f t="shared" si="71"/>
        <v>0</v>
      </c>
      <c r="CM152">
        <f t="shared" si="71"/>
        <v>0</v>
      </c>
      <c r="CN152">
        <f t="shared" si="71"/>
        <v>0</v>
      </c>
      <c r="CO152">
        <f t="shared" si="71"/>
        <v>0</v>
      </c>
      <c r="CP152">
        <f t="shared" si="71"/>
        <v>0</v>
      </c>
      <c r="CQ152">
        <f t="shared" si="71"/>
        <v>0</v>
      </c>
      <c r="CR152">
        <f t="shared" si="71"/>
        <v>0</v>
      </c>
      <c r="CS152">
        <f t="shared" si="71"/>
        <v>0</v>
      </c>
      <c r="CT152">
        <f t="shared" si="71"/>
        <v>0</v>
      </c>
      <c r="CU152">
        <f t="shared" si="71"/>
        <v>0</v>
      </c>
      <c r="CV152">
        <f t="shared" si="71"/>
        <v>0</v>
      </c>
      <c r="CW152">
        <f t="shared" si="71"/>
        <v>0</v>
      </c>
      <c r="CX152">
        <f t="shared" si="71"/>
        <v>0</v>
      </c>
      <c r="CY152">
        <f t="shared" si="71"/>
        <v>0</v>
      </c>
      <c r="CZ152">
        <f t="shared" si="71"/>
        <v>0</v>
      </c>
      <c r="DA152">
        <f t="shared" si="71"/>
        <v>0</v>
      </c>
      <c r="DB152">
        <f t="shared" si="71"/>
        <v>0</v>
      </c>
      <c r="DC152">
        <f t="shared" si="71"/>
        <v>0</v>
      </c>
      <c r="DD152">
        <f t="shared" si="71"/>
        <v>0</v>
      </c>
      <c r="DE152">
        <f t="shared" si="71"/>
        <v>0</v>
      </c>
      <c r="DF152">
        <f t="shared" si="71"/>
        <v>0</v>
      </c>
      <c r="DG152">
        <f t="shared" si="71"/>
        <v>0</v>
      </c>
      <c r="DH152">
        <f t="shared" si="71"/>
        <v>0</v>
      </c>
      <c r="DI152">
        <f t="shared" si="71"/>
        <v>0</v>
      </c>
    </row>
    <row r="153" spans="2:113">
      <c r="D153">
        <v>2</v>
      </c>
      <c r="E153">
        <f t="shared" si="70"/>
        <v>0</v>
      </c>
      <c r="F153">
        <f t="shared" si="70"/>
        <v>0</v>
      </c>
      <c r="G153">
        <f t="shared" si="70"/>
        <v>0</v>
      </c>
      <c r="H153">
        <f t="shared" si="70"/>
        <v>0</v>
      </c>
      <c r="I153">
        <f t="shared" si="70"/>
        <v>0</v>
      </c>
      <c r="J153">
        <f t="shared" si="70"/>
        <v>0</v>
      </c>
      <c r="K153">
        <f t="shared" si="70"/>
        <v>0</v>
      </c>
      <c r="L153">
        <f t="shared" si="70"/>
        <v>0</v>
      </c>
      <c r="M153">
        <f t="shared" si="70"/>
        <v>0</v>
      </c>
      <c r="N153">
        <f t="shared" si="70"/>
        <v>0</v>
      </c>
      <c r="O153">
        <f t="shared" si="70"/>
        <v>0</v>
      </c>
      <c r="P153">
        <f t="shared" si="70"/>
        <v>0</v>
      </c>
      <c r="Q153">
        <f t="shared" si="70"/>
        <v>0</v>
      </c>
      <c r="R153">
        <f t="shared" si="70"/>
        <v>0</v>
      </c>
      <c r="S153">
        <f t="shared" si="70"/>
        <v>0</v>
      </c>
      <c r="T153">
        <f t="shared" si="70"/>
        <v>0</v>
      </c>
      <c r="U153">
        <f t="shared" si="70"/>
        <v>0</v>
      </c>
      <c r="V153">
        <f t="shared" si="70"/>
        <v>0</v>
      </c>
      <c r="W153">
        <f t="shared" si="70"/>
        <v>0</v>
      </c>
      <c r="X153">
        <f t="shared" si="70"/>
        <v>0</v>
      </c>
      <c r="Y153">
        <f t="shared" si="70"/>
        <v>0</v>
      </c>
      <c r="Z153">
        <f t="shared" si="70"/>
        <v>0</v>
      </c>
      <c r="AA153">
        <f t="shared" si="70"/>
        <v>0</v>
      </c>
      <c r="AB153">
        <f t="shared" si="70"/>
        <v>0</v>
      </c>
      <c r="AC153">
        <f t="shared" si="70"/>
        <v>0</v>
      </c>
      <c r="AD153">
        <f t="shared" si="70"/>
        <v>0</v>
      </c>
      <c r="AE153">
        <f t="shared" si="70"/>
        <v>0</v>
      </c>
      <c r="AF153">
        <f t="shared" si="70"/>
        <v>0</v>
      </c>
      <c r="AG153">
        <f t="shared" si="70"/>
        <v>0</v>
      </c>
      <c r="AH153">
        <f t="shared" si="70"/>
        <v>0</v>
      </c>
      <c r="AI153">
        <f t="shared" si="70"/>
        <v>0</v>
      </c>
      <c r="AJ153">
        <f t="shared" si="70"/>
        <v>0</v>
      </c>
      <c r="AK153">
        <f t="shared" si="70"/>
        <v>0</v>
      </c>
      <c r="AL153">
        <f t="shared" si="70"/>
        <v>0</v>
      </c>
      <c r="AM153">
        <f t="shared" si="70"/>
        <v>0</v>
      </c>
      <c r="AN153">
        <f t="shared" si="70"/>
        <v>0</v>
      </c>
      <c r="AO153">
        <f t="shared" si="70"/>
        <v>0</v>
      </c>
      <c r="AP153">
        <f t="shared" si="70"/>
        <v>0</v>
      </c>
      <c r="AQ153">
        <f t="shared" si="70"/>
        <v>0</v>
      </c>
      <c r="AR153">
        <f t="shared" si="70"/>
        <v>0</v>
      </c>
      <c r="AS153">
        <f t="shared" si="70"/>
        <v>0</v>
      </c>
      <c r="AT153">
        <f t="shared" si="70"/>
        <v>0</v>
      </c>
      <c r="AU153">
        <f t="shared" si="70"/>
        <v>0</v>
      </c>
      <c r="AV153">
        <f t="shared" si="70"/>
        <v>0</v>
      </c>
      <c r="AW153">
        <f t="shared" si="70"/>
        <v>0</v>
      </c>
      <c r="AX153">
        <f t="shared" si="70"/>
        <v>0</v>
      </c>
      <c r="AY153">
        <f t="shared" si="70"/>
        <v>0</v>
      </c>
      <c r="AZ153">
        <f t="shared" si="70"/>
        <v>0</v>
      </c>
      <c r="BA153">
        <f t="shared" si="70"/>
        <v>0</v>
      </c>
      <c r="BB153">
        <f t="shared" si="70"/>
        <v>0</v>
      </c>
      <c r="BC153">
        <f t="shared" si="70"/>
        <v>0</v>
      </c>
      <c r="BD153">
        <f t="shared" si="70"/>
        <v>0</v>
      </c>
      <c r="BE153">
        <f t="shared" si="70"/>
        <v>0</v>
      </c>
      <c r="BF153">
        <f t="shared" si="70"/>
        <v>0</v>
      </c>
      <c r="BG153">
        <f t="shared" si="70"/>
        <v>0</v>
      </c>
      <c r="BH153">
        <f t="shared" si="70"/>
        <v>0</v>
      </c>
      <c r="BI153">
        <f t="shared" si="70"/>
        <v>0</v>
      </c>
      <c r="BJ153">
        <f t="shared" si="70"/>
        <v>0</v>
      </c>
      <c r="BK153">
        <f t="shared" si="70"/>
        <v>0</v>
      </c>
      <c r="BL153">
        <f t="shared" si="70"/>
        <v>0</v>
      </c>
      <c r="BM153">
        <f t="shared" si="70"/>
        <v>0</v>
      </c>
      <c r="BN153">
        <f t="shared" si="70"/>
        <v>0</v>
      </c>
      <c r="BO153">
        <f t="shared" si="70"/>
        <v>0</v>
      </c>
      <c r="BP153">
        <f t="shared" si="70"/>
        <v>0</v>
      </c>
      <c r="BQ153">
        <f t="shared" si="71"/>
        <v>0</v>
      </c>
      <c r="BR153">
        <f t="shared" si="71"/>
        <v>0</v>
      </c>
      <c r="BS153">
        <f t="shared" si="71"/>
        <v>0</v>
      </c>
      <c r="BT153">
        <f t="shared" si="71"/>
        <v>0</v>
      </c>
      <c r="BU153">
        <f t="shared" si="71"/>
        <v>0</v>
      </c>
      <c r="BV153">
        <f t="shared" si="71"/>
        <v>0</v>
      </c>
      <c r="BW153">
        <f t="shared" si="71"/>
        <v>0</v>
      </c>
      <c r="BX153">
        <f t="shared" si="71"/>
        <v>0</v>
      </c>
      <c r="BY153">
        <f t="shared" si="71"/>
        <v>0</v>
      </c>
      <c r="BZ153">
        <f t="shared" si="71"/>
        <v>0</v>
      </c>
      <c r="CA153">
        <f t="shared" si="71"/>
        <v>0</v>
      </c>
      <c r="CB153">
        <f t="shared" si="71"/>
        <v>0</v>
      </c>
      <c r="CC153">
        <f t="shared" si="71"/>
        <v>0</v>
      </c>
      <c r="CD153">
        <f t="shared" si="71"/>
        <v>0</v>
      </c>
      <c r="CE153">
        <f t="shared" si="71"/>
        <v>0</v>
      </c>
      <c r="CF153">
        <f t="shared" si="71"/>
        <v>0</v>
      </c>
      <c r="CG153">
        <f t="shared" si="71"/>
        <v>0</v>
      </c>
      <c r="CH153">
        <f t="shared" si="71"/>
        <v>0</v>
      </c>
      <c r="CI153">
        <f t="shared" si="71"/>
        <v>0</v>
      </c>
      <c r="CJ153">
        <f t="shared" si="71"/>
        <v>0</v>
      </c>
      <c r="CK153">
        <f t="shared" si="71"/>
        <v>0</v>
      </c>
      <c r="CL153">
        <f t="shared" si="71"/>
        <v>0</v>
      </c>
      <c r="CM153">
        <f t="shared" si="71"/>
        <v>0</v>
      </c>
      <c r="CN153">
        <f t="shared" si="71"/>
        <v>0</v>
      </c>
      <c r="CO153">
        <f t="shared" si="71"/>
        <v>0</v>
      </c>
      <c r="CP153">
        <f t="shared" si="71"/>
        <v>0</v>
      </c>
      <c r="CQ153">
        <f t="shared" si="71"/>
        <v>0</v>
      </c>
      <c r="CR153">
        <f t="shared" si="71"/>
        <v>0</v>
      </c>
      <c r="CS153">
        <f t="shared" si="71"/>
        <v>0</v>
      </c>
      <c r="CT153">
        <f t="shared" si="71"/>
        <v>0</v>
      </c>
      <c r="CU153">
        <f t="shared" si="71"/>
        <v>0</v>
      </c>
      <c r="CV153">
        <f t="shared" si="71"/>
        <v>0</v>
      </c>
      <c r="CW153">
        <f t="shared" si="71"/>
        <v>0</v>
      </c>
      <c r="CX153">
        <f t="shared" si="71"/>
        <v>0</v>
      </c>
      <c r="CY153">
        <f t="shared" si="71"/>
        <v>0</v>
      </c>
      <c r="CZ153">
        <f t="shared" si="71"/>
        <v>0</v>
      </c>
      <c r="DA153">
        <f t="shared" si="71"/>
        <v>0</v>
      </c>
      <c r="DB153">
        <f t="shared" si="71"/>
        <v>0</v>
      </c>
      <c r="DC153">
        <f t="shared" si="71"/>
        <v>0</v>
      </c>
      <c r="DD153">
        <f t="shared" si="71"/>
        <v>0</v>
      </c>
      <c r="DE153">
        <f t="shared" si="71"/>
        <v>0</v>
      </c>
      <c r="DF153">
        <f t="shared" si="71"/>
        <v>0</v>
      </c>
      <c r="DG153">
        <f t="shared" si="71"/>
        <v>0</v>
      </c>
      <c r="DH153">
        <f t="shared" si="71"/>
        <v>0</v>
      </c>
      <c r="DI153">
        <f t="shared" si="71"/>
        <v>0</v>
      </c>
    </row>
    <row r="154" spans="2:113">
      <c r="C154" t="s">
        <v>2936</v>
      </c>
      <c r="E154">
        <f t="shared" ref="E154:BP154" si="72">(E153+E152)*$DM$6</f>
        <v>0</v>
      </c>
      <c r="F154">
        <f t="shared" si="72"/>
        <v>0</v>
      </c>
      <c r="G154">
        <f t="shared" si="72"/>
        <v>0</v>
      </c>
      <c r="H154">
        <f t="shared" si="72"/>
        <v>0</v>
      </c>
      <c r="I154">
        <f t="shared" si="72"/>
        <v>0</v>
      </c>
      <c r="J154">
        <f t="shared" si="72"/>
        <v>0</v>
      </c>
      <c r="K154">
        <f t="shared" si="72"/>
        <v>0</v>
      </c>
      <c r="L154">
        <f t="shared" si="72"/>
        <v>0</v>
      </c>
      <c r="M154">
        <f t="shared" si="72"/>
        <v>0</v>
      </c>
      <c r="N154">
        <f t="shared" si="72"/>
        <v>0</v>
      </c>
      <c r="O154">
        <f t="shared" si="72"/>
        <v>0</v>
      </c>
      <c r="P154">
        <f t="shared" si="72"/>
        <v>0</v>
      </c>
      <c r="Q154">
        <f t="shared" si="72"/>
        <v>0</v>
      </c>
      <c r="R154">
        <f t="shared" si="72"/>
        <v>0</v>
      </c>
      <c r="S154">
        <f t="shared" si="72"/>
        <v>0</v>
      </c>
      <c r="T154">
        <f t="shared" si="72"/>
        <v>0</v>
      </c>
      <c r="U154">
        <f t="shared" si="72"/>
        <v>0</v>
      </c>
      <c r="V154">
        <f t="shared" si="72"/>
        <v>0</v>
      </c>
      <c r="W154">
        <f t="shared" si="72"/>
        <v>0</v>
      </c>
      <c r="X154">
        <f t="shared" si="72"/>
        <v>0</v>
      </c>
      <c r="Y154">
        <f t="shared" si="72"/>
        <v>0</v>
      </c>
      <c r="Z154">
        <f t="shared" si="72"/>
        <v>0</v>
      </c>
      <c r="AA154">
        <f t="shared" si="72"/>
        <v>0</v>
      </c>
      <c r="AB154">
        <f t="shared" si="72"/>
        <v>0</v>
      </c>
      <c r="AC154">
        <f t="shared" si="72"/>
        <v>0</v>
      </c>
      <c r="AD154">
        <f t="shared" si="72"/>
        <v>0</v>
      </c>
      <c r="AE154">
        <f t="shared" si="72"/>
        <v>0</v>
      </c>
      <c r="AF154">
        <f t="shared" si="72"/>
        <v>0</v>
      </c>
      <c r="AG154">
        <f t="shared" si="72"/>
        <v>0</v>
      </c>
      <c r="AH154">
        <f t="shared" si="72"/>
        <v>0</v>
      </c>
      <c r="AI154">
        <f t="shared" si="72"/>
        <v>0</v>
      </c>
      <c r="AJ154">
        <f t="shared" si="72"/>
        <v>0</v>
      </c>
      <c r="AK154">
        <f t="shared" si="72"/>
        <v>0</v>
      </c>
      <c r="AL154">
        <f t="shared" si="72"/>
        <v>0</v>
      </c>
      <c r="AM154">
        <f t="shared" si="72"/>
        <v>0</v>
      </c>
      <c r="AN154">
        <f t="shared" si="72"/>
        <v>0</v>
      </c>
      <c r="AO154">
        <f t="shared" si="72"/>
        <v>0</v>
      </c>
      <c r="AP154">
        <f t="shared" si="72"/>
        <v>0</v>
      </c>
      <c r="AQ154">
        <f t="shared" si="72"/>
        <v>0</v>
      </c>
      <c r="AR154">
        <f t="shared" si="72"/>
        <v>0</v>
      </c>
      <c r="AS154">
        <f t="shared" si="72"/>
        <v>0</v>
      </c>
      <c r="AT154">
        <f t="shared" si="72"/>
        <v>0</v>
      </c>
      <c r="AU154">
        <f t="shared" si="72"/>
        <v>0</v>
      </c>
      <c r="AV154">
        <f t="shared" si="72"/>
        <v>0</v>
      </c>
      <c r="AW154">
        <f t="shared" si="72"/>
        <v>0</v>
      </c>
      <c r="AX154">
        <f t="shared" si="72"/>
        <v>0</v>
      </c>
      <c r="AY154">
        <f t="shared" si="72"/>
        <v>0</v>
      </c>
      <c r="AZ154">
        <f t="shared" si="72"/>
        <v>0</v>
      </c>
      <c r="BA154">
        <f t="shared" si="72"/>
        <v>0</v>
      </c>
      <c r="BB154">
        <f t="shared" si="72"/>
        <v>0</v>
      </c>
      <c r="BC154">
        <f t="shared" si="72"/>
        <v>0</v>
      </c>
      <c r="BD154">
        <f t="shared" si="72"/>
        <v>0</v>
      </c>
      <c r="BE154">
        <f t="shared" si="72"/>
        <v>0</v>
      </c>
      <c r="BF154">
        <f t="shared" si="72"/>
        <v>0</v>
      </c>
      <c r="BG154">
        <f t="shared" si="72"/>
        <v>0</v>
      </c>
      <c r="BH154">
        <f t="shared" si="72"/>
        <v>0</v>
      </c>
      <c r="BI154">
        <f t="shared" si="72"/>
        <v>0</v>
      </c>
      <c r="BJ154">
        <f t="shared" si="72"/>
        <v>0</v>
      </c>
      <c r="BK154">
        <f t="shared" si="72"/>
        <v>0</v>
      </c>
      <c r="BL154">
        <f t="shared" si="72"/>
        <v>0</v>
      </c>
      <c r="BM154">
        <f t="shared" si="72"/>
        <v>0</v>
      </c>
      <c r="BN154">
        <f t="shared" si="72"/>
        <v>0</v>
      </c>
      <c r="BO154">
        <f t="shared" si="72"/>
        <v>0</v>
      </c>
      <c r="BP154">
        <f t="shared" si="72"/>
        <v>0</v>
      </c>
      <c r="BQ154">
        <f t="shared" ref="BQ154:CE154" si="73">(BQ153+BQ152)*$DM$6</f>
        <v>0</v>
      </c>
      <c r="BR154">
        <f t="shared" si="73"/>
        <v>0</v>
      </c>
      <c r="BS154">
        <f t="shared" si="73"/>
        <v>0</v>
      </c>
      <c r="BT154">
        <f t="shared" si="73"/>
        <v>0</v>
      </c>
      <c r="BU154">
        <f t="shared" si="73"/>
        <v>0</v>
      </c>
      <c r="BV154">
        <f t="shared" si="73"/>
        <v>0</v>
      </c>
      <c r="BW154">
        <f t="shared" si="73"/>
        <v>0</v>
      </c>
      <c r="BX154">
        <f t="shared" si="73"/>
        <v>0</v>
      </c>
      <c r="BY154">
        <f t="shared" si="73"/>
        <v>0</v>
      </c>
      <c r="BZ154">
        <f t="shared" si="73"/>
        <v>0</v>
      </c>
      <c r="CA154">
        <f t="shared" si="73"/>
        <v>0</v>
      </c>
      <c r="CB154">
        <f t="shared" si="73"/>
        <v>0</v>
      </c>
      <c r="CC154">
        <f t="shared" si="73"/>
        <v>0</v>
      </c>
      <c r="CD154">
        <f t="shared" si="73"/>
        <v>0</v>
      </c>
      <c r="CE154">
        <f t="shared" si="73"/>
        <v>0</v>
      </c>
      <c r="CF154">
        <f>(CF153+CF152)*$DM$6</f>
        <v>0</v>
      </c>
      <c r="CG154">
        <f t="shared" ref="CG154:DI154" si="74">(CG153+CG152)*$DM$6</f>
        <v>0</v>
      </c>
      <c r="CH154">
        <f t="shared" si="74"/>
        <v>0</v>
      </c>
      <c r="CI154">
        <f t="shared" si="74"/>
        <v>0</v>
      </c>
      <c r="CJ154">
        <f t="shared" si="74"/>
        <v>0</v>
      </c>
      <c r="CK154">
        <f t="shared" si="74"/>
        <v>0</v>
      </c>
      <c r="CL154">
        <f t="shared" si="74"/>
        <v>0</v>
      </c>
      <c r="CM154">
        <f t="shared" si="74"/>
        <v>0</v>
      </c>
      <c r="CN154">
        <f t="shared" si="74"/>
        <v>0</v>
      </c>
      <c r="CO154">
        <f t="shared" si="74"/>
        <v>0</v>
      </c>
      <c r="CP154">
        <f t="shared" si="74"/>
        <v>0</v>
      </c>
      <c r="CQ154">
        <f t="shared" si="74"/>
        <v>0</v>
      </c>
      <c r="CR154">
        <f t="shared" si="74"/>
        <v>0</v>
      </c>
      <c r="CS154">
        <f t="shared" si="74"/>
        <v>0</v>
      </c>
      <c r="CT154">
        <f t="shared" si="74"/>
        <v>0</v>
      </c>
      <c r="CU154">
        <f t="shared" si="74"/>
        <v>0</v>
      </c>
      <c r="CV154">
        <f t="shared" si="74"/>
        <v>0</v>
      </c>
      <c r="CW154">
        <f t="shared" si="74"/>
        <v>0</v>
      </c>
      <c r="CX154">
        <f t="shared" si="74"/>
        <v>0</v>
      </c>
      <c r="CY154">
        <f t="shared" si="74"/>
        <v>0</v>
      </c>
      <c r="CZ154">
        <f t="shared" si="74"/>
        <v>0</v>
      </c>
      <c r="DA154">
        <f t="shared" si="74"/>
        <v>0</v>
      </c>
      <c r="DB154">
        <f t="shared" si="74"/>
        <v>0</v>
      </c>
      <c r="DC154">
        <f t="shared" si="74"/>
        <v>0</v>
      </c>
      <c r="DD154">
        <f t="shared" si="74"/>
        <v>0</v>
      </c>
      <c r="DE154">
        <f t="shared" si="74"/>
        <v>0</v>
      </c>
      <c r="DF154">
        <f t="shared" si="74"/>
        <v>0</v>
      </c>
      <c r="DG154">
        <f t="shared" si="74"/>
        <v>0</v>
      </c>
      <c r="DH154">
        <f t="shared" si="74"/>
        <v>0</v>
      </c>
      <c r="DI154">
        <f t="shared" si="74"/>
        <v>0</v>
      </c>
    </row>
    <row r="155" spans="2:113">
      <c r="B155" t="s">
        <v>2935</v>
      </c>
      <c r="D155">
        <v>1</v>
      </c>
      <c r="E155">
        <f>IF(E81=$B$81,1,0)</f>
        <v>0</v>
      </c>
      <c r="F155">
        <f>IF(F81=$B$81,1,0)</f>
        <v>0</v>
      </c>
      <c r="G155">
        <f t="shared" ref="G155:BR155" si="75">IF(G81=$B$81,1,0)</f>
        <v>0</v>
      </c>
      <c r="H155">
        <f t="shared" si="75"/>
        <v>0</v>
      </c>
      <c r="I155">
        <f t="shared" si="75"/>
        <v>0</v>
      </c>
      <c r="J155">
        <f t="shared" si="75"/>
        <v>0</v>
      </c>
      <c r="K155">
        <f t="shared" si="75"/>
        <v>0</v>
      </c>
      <c r="L155">
        <f t="shared" si="75"/>
        <v>0</v>
      </c>
      <c r="M155">
        <f t="shared" si="75"/>
        <v>0</v>
      </c>
      <c r="N155">
        <f t="shared" si="75"/>
        <v>0</v>
      </c>
      <c r="O155">
        <f t="shared" si="75"/>
        <v>0</v>
      </c>
      <c r="P155">
        <f t="shared" si="75"/>
        <v>0</v>
      </c>
      <c r="Q155">
        <f t="shared" si="75"/>
        <v>0</v>
      </c>
      <c r="R155">
        <f t="shared" si="75"/>
        <v>0</v>
      </c>
      <c r="S155">
        <f t="shared" si="75"/>
        <v>0</v>
      </c>
      <c r="T155">
        <f t="shared" si="75"/>
        <v>0</v>
      </c>
      <c r="U155">
        <f t="shared" si="75"/>
        <v>1</v>
      </c>
      <c r="V155">
        <f t="shared" si="75"/>
        <v>1</v>
      </c>
      <c r="W155">
        <f t="shared" si="75"/>
        <v>1</v>
      </c>
      <c r="X155">
        <f t="shared" si="75"/>
        <v>1</v>
      </c>
      <c r="Y155">
        <f t="shared" si="75"/>
        <v>1</v>
      </c>
      <c r="Z155">
        <f t="shared" si="75"/>
        <v>1</v>
      </c>
      <c r="AA155">
        <f t="shared" si="75"/>
        <v>1</v>
      </c>
      <c r="AB155">
        <f t="shared" si="75"/>
        <v>1</v>
      </c>
      <c r="AC155">
        <f t="shared" si="75"/>
        <v>1</v>
      </c>
      <c r="AD155">
        <f t="shared" si="75"/>
        <v>1</v>
      </c>
      <c r="AE155">
        <f t="shared" si="75"/>
        <v>1</v>
      </c>
      <c r="AF155">
        <f t="shared" si="75"/>
        <v>1</v>
      </c>
      <c r="AG155">
        <f t="shared" si="75"/>
        <v>1</v>
      </c>
      <c r="AH155">
        <f t="shared" si="75"/>
        <v>1</v>
      </c>
      <c r="AI155">
        <f t="shared" si="75"/>
        <v>1</v>
      </c>
      <c r="AJ155">
        <f t="shared" si="75"/>
        <v>1</v>
      </c>
      <c r="AK155">
        <f t="shared" si="75"/>
        <v>1</v>
      </c>
      <c r="AL155">
        <f t="shared" si="75"/>
        <v>1</v>
      </c>
      <c r="AM155">
        <f t="shared" si="75"/>
        <v>1</v>
      </c>
      <c r="AN155">
        <f t="shared" si="75"/>
        <v>1</v>
      </c>
      <c r="AO155">
        <f t="shared" si="75"/>
        <v>1</v>
      </c>
      <c r="AP155">
        <f t="shared" si="75"/>
        <v>1</v>
      </c>
      <c r="AQ155">
        <f t="shared" si="75"/>
        <v>1</v>
      </c>
      <c r="AR155">
        <f t="shared" si="75"/>
        <v>1</v>
      </c>
      <c r="AS155">
        <f t="shared" si="75"/>
        <v>1</v>
      </c>
      <c r="AT155">
        <f t="shared" si="75"/>
        <v>1</v>
      </c>
      <c r="AU155">
        <f t="shared" si="75"/>
        <v>1</v>
      </c>
      <c r="AV155">
        <f t="shared" si="75"/>
        <v>1</v>
      </c>
      <c r="AW155">
        <f t="shared" si="75"/>
        <v>1</v>
      </c>
      <c r="AX155">
        <f t="shared" si="75"/>
        <v>1</v>
      </c>
      <c r="AY155">
        <f t="shared" si="75"/>
        <v>1</v>
      </c>
      <c r="AZ155">
        <f t="shared" si="75"/>
        <v>1</v>
      </c>
      <c r="BA155">
        <f t="shared" si="75"/>
        <v>1</v>
      </c>
      <c r="BB155">
        <f t="shared" si="75"/>
        <v>1</v>
      </c>
      <c r="BC155">
        <f t="shared" si="75"/>
        <v>1</v>
      </c>
      <c r="BD155">
        <f t="shared" si="75"/>
        <v>1</v>
      </c>
      <c r="BE155">
        <f t="shared" si="75"/>
        <v>1</v>
      </c>
      <c r="BF155">
        <f t="shared" si="75"/>
        <v>1</v>
      </c>
      <c r="BG155">
        <f t="shared" si="75"/>
        <v>1</v>
      </c>
      <c r="BH155">
        <f t="shared" si="75"/>
        <v>1</v>
      </c>
      <c r="BI155">
        <f t="shared" si="75"/>
        <v>1</v>
      </c>
      <c r="BJ155">
        <f t="shared" si="75"/>
        <v>1</v>
      </c>
      <c r="BK155">
        <f t="shared" si="75"/>
        <v>1</v>
      </c>
      <c r="BL155">
        <f t="shared" si="75"/>
        <v>1</v>
      </c>
      <c r="BM155">
        <f t="shared" si="75"/>
        <v>1</v>
      </c>
      <c r="BN155">
        <f t="shared" si="75"/>
        <v>1</v>
      </c>
      <c r="BO155">
        <f t="shared" si="75"/>
        <v>1</v>
      </c>
      <c r="BP155">
        <f t="shared" si="75"/>
        <v>1</v>
      </c>
      <c r="BQ155">
        <f t="shared" si="75"/>
        <v>1</v>
      </c>
      <c r="BR155">
        <f t="shared" si="75"/>
        <v>1</v>
      </c>
      <c r="BS155">
        <f t="shared" ref="BS155:DI155" si="76">IF(BS81=$B$81,1,0)</f>
        <v>1</v>
      </c>
      <c r="BT155">
        <f t="shared" si="76"/>
        <v>1</v>
      </c>
      <c r="BU155">
        <f t="shared" si="76"/>
        <v>1</v>
      </c>
      <c r="BV155">
        <f t="shared" si="76"/>
        <v>1</v>
      </c>
      <c r="BW155">
        <f t="shared" si="76"/>
        <v>1</v>
      </c>
      <c r="BX155">
        <f t="shared" si="76"/>
        <v>1</v>
      </c>
      <c r="BY155">
        <f t="shared" si="76"/>
        <v>1</v>
      </c>
      <c r="BZ155">
        <f t="shared" si="76"/>
        <v>1</v>
      </c>
      <c r="CA155">
        <f t="shared" si="76"/>
        <v>1</v>
      </c>
      <c r="CB155">
        <f t="shared" si="76"/>
        <v>1</v>
      </c>
      <c r="CC155">
        <f t="shared" si="76"/>
        <v>1</v>
      </c>
      <c r="CD155">
        <f t="shared" si="76"/>
        <v>1</v>
      </c>
      <c r="CE155">
        <f t="shared" si="76"/>
        <v>1</v>
      </c>
      <c r="CF155">
        <f t="shared" si="76"/>
        <v>1</v>
      </c>
      <c r="CG155">
        <f t="shared" si="76"/>
        <v>1</v>
      </c>
      <c r="CH155">
        <f t="shared" si="76"/>
        <v>1</v>
      </c>
      <c r="CI155">
        <f t="shared" si="76"/>
        <v>1</v>
      </c>
      <c r="CJ155">
        <f t="shared" si="76"/>
        <v>1</v>
      </c>
      <c r="CK155">
        <f t="shared" si="76"/>
        <v>1</v>
      </c>
      <c r="CL155">
        <f t="shared" si="76"/>
        <v>1</v>
      </c>
      <c r="CM155">
        <f t="shared" si="76"/>
        <v>1</v>
      </c>
      <c r="CN155">
        <f t="shared" si="76"/>
        <v>1</v>
      </c>
      <c r="CO155">
        <f t="shared" si="76"/>
        <v>1</v>
      </c>
      <c r="CP155">
        <f t="shared" si="76"/>
        <v>1</v>
      </c>
      <c r="CQ155">
        <f t="shared" si="76"/>
        <v>1</v>
      </c>
      <c r="CR155">
        <f t="shared" si="76"/>
        <v>1</v>
      </c>
      <c r="CS155">
        <f t="shared" si="76"/>
        <v>1</v>
      </c>
      <c r="CT155">
        <f t="shared" si="76"/>
        <v>1</v>
      </c>
      <c r="CU155">
        <f t="shared" si="76"/>
        <v>1</v>
      </c>
      <c r="CV155">
        <f t="shared" si="76"/>
        <v>1</v>
      </c>
      <c r="CW155">
        <f t="shared" si="76"/>
        <v>1</v>
      </c>
      <c r="CX155">
        <f t="shared" si="76"/>
        <v>1</v>
      </c>
      <c r="CY155">
        <f t="shared" si="76"/>
        <v>1</v>
      </c>
      <c r="CZ155">
        <f t="shared" si="76"/>
        <v>1</v>
      </c>
      <c r="DA155">
        <f t="shared" si="76"/>
        <v>1</v>
      </c>
      <c r="DB155">
        <f t="shared" si="76"/>
        <v>1</v>
      </c>
      <c r="DC155">
        <f t="shared" si="76"/>
        <v>1</v>
      </c>
      <c r="DD155">
        <f t="shared" si="76"/>
        <v>1</v>
      </c>
      <c r="DE155">
        <f t="shared" si="76"/>
        <v>1</v>
      </c>
      <c r="DF155">
        <f t="shared" si="76"/>
        <v>1</v>
      </c>
      <c r="DG155">
        <f t="shared" si="76"/>
        <v>1</v>
      </c>
      <c r="DH155">
        <f t="shared" si="76"/>
        <v>1</v>
      </c>
      <c r="DI155">
        <f t="shared" si="76"/>
        <v>1</v>
      </c>
    </row>
    <row r="156" spans="2:113">
      <c r="C156" t="s">
        <v>2968</v>
      </c>
      <c r="E156">
        <f>E155*$DM$7</f>
        <v>0</v>
      </c>
      <c r="F156">
        <f>F155*$DM$7</f>
        <v>0</v>
      </c>
      <c r="G156">
        <f t="shared" ref="G156:BR156" si="77">G155*$DM$7</f>
        <v>0</v>
      </c>
      <c r="H156">
        <f t="shared" si="77"/>
        <v>0</v>
      </c>
      <c r="I156">
        <f t="shared" si="77"/>
        <v>0</v>
      </c>
      <c r="J156">
        <f t="shared" si="77"/>
        <v>0</v>
      </c>
      <c r="K156">
        <f t="shared" si="77"/>
        <v>0</v>
      </c>
      <c r="L156">
        <f t="shared" si="77"/>
        <v>0</v>
      </c>
      <c r="M156">
        <f t="shared" si="77"/>
        <v>0</v>
      </c>
      <c r="N156">
        <f t="shared" si="77"/>
        <v>0</v>
      </c>
      <c r="O156">
        <f t="shared" si="77"/>
        <v>0</v>
      </c>
      <c r="P156">
        <f t="shared" si="77"/>
        <v>0</v>
      </c>
      <c r="Q156">
        <f t="shared" si="77"/>
        <v>0</v>
      </c>
      <c r="R156">
        <f t="shared" si="77"/>
        <v>0</v>
      </c>
      <c r="S156">
        <f t="shared" si="77"/>
        <v>0</v>
      </c>
      <c r="T156">
        <f t="shared" si="77"/>
        <v>0</v>
      </c>
      <c r="U156">
        <f t="shared" si="77"/>
        <v>20</v>
      </c>
      <c r="V156">
        <f t="shared" si="77"/>
        <v>20</v>
      </c>
      <c r="W156">
        <f t="shared" si="77"/>
        <v>20</v>
      </c>
      <c r="X156">
        <f t="shared" si="77"/>
        <v>20</v>
      </c>
      <c r="Y156">
        <f t="shared" si="77"/>
        <v>20</v>
      </c>
      <c r="Z156">
        <f t="shared" si="77"/>
        <v>20</v>
      </c>
      <c r="AA156">
        <f t="shared" si="77"/>
        <v>20</v>
      </c>
      <c r="AB156">
        <f t="shared" si="77"/>
        <v>20</v>
      </c>
      <c r="AC156">
        <f t="shared" si="77"/>
        <v>20</v>
      </c>
      <c r="AD156">
        <f t="shared" si="77"/>
        <v>20</v>
      </c>
      <c r="AE156">
        <f t="shared" si="77"/>
        <v>20</v>
      </c>
      <c r="AF156">
        <f t="shared" si="77"/>
        <v>20</v>
      </c>
      <c r="AG156">
        <f t="shared" si="77"/>
        <v>20</v>
      </c>
      <c r="AH156">
        <f t="shared" si="77"/>
        <v>20</v>
      </c>
      <c r="AI156">
        <f t="shared" si="77"/>
        <v>20</v>
      </c>
      <c r="AJ156">
        <f t="shared" si="77"/>
        <v>20</v>
      </c>
      <c r="AK156">
        <f t="shared" si="77"/>
        <v>20</v>
      </c>
      <c r="AL156">
        <f t="shared" si="77"/>
        <v>20</v>
      </c>
      <c r="AM156">
        <f t="shared" si="77"/>
        <v>20</v>
      </c>
      <c r="AN156">
        <f t="shared" si="77"/>
        <v>20</v>
      </c>
      <c r="AO156">
        <f t="shared" si="77"/>
        <v>20</v>
      </c>
      <c r="AP156">
        <f t="shared" si="77"/>
        <v>20</v>
      </c>
      <c r="AQ156">
        <f t="shared" si="77"/>
        <v>20</v>
      </c>
      <c r="AR156">
        <f t="shared" si="77"/>
        <v>20</v>
      </c>
      <c r="AS156">
        <f t="shared" si="77"/>
        <v>20</v>
      </c>
      <c r="AT156">
        <f t="shared" si="77"/>
        <v>20</v>
      </c>
      <c r="AU156">
        <f t="shared" si="77"/>
        <v>20</v>
      </c>
      <c r="AV156">
        <f t="shared" si="77"/>
        <v>20</v>
      </c>
      <c r="AW156">
        <f t="shared" si="77"/>
        <v>20</v>
      </c>
      <c r="AX156">
        <f t="shared" si="77"/>
        <v>20</v>
      </c>
      <c r="AY156">
        <f t="shared" si="77"/>
        <v>20</v>
      </c>
      <c r="AZ156">
        <f t="shared" si="77"/>
        <v>20</v>
      </c>
      <c r="BA156">
        <f t="shared" si="77"/>
        <v>20</v>
      </c>
      <c r="BB156">
        <f t="shared" si="77"/>
        <v>20</v>
      </c>
      <c r="BC156">
        <f t="shared" si="77"/>
        <v>20</v>
      </c>
      <c r="BD156">
        <f t="shared" si="77"/>
        <v>20</v>
      </c>
      <c r="BE156">
        <f t="shared" si="77"/>
        <v>20</v>
      </c>
      <c r="BF156">
        <f t="shared" si="77"/>
        <v>20</v>
      </c>
      <c r="BG156">
        <f t="shared" si="77"/>
        <v>20</v>
      </c>
      <c r="BH156">
        <f t="shared" si="77"/>
        <v>20</v>
      </c>
      <c r="BI156">
        <f t="shared" si="77"/>
        <v>20</v>
      </c>
      <c r="BJ156">
        <f t="shared" si="77"/>
        <v>20</v>
      </c>
      <c r="BK156">
        <f t="shared" si="77"/>
        <v>20</v>
      </c>
      <c r="BL156">
        <f t="shared" si="77"/>
        <v>20</v>
      </c>
      <c r="BM156">
        <f t="shared" si="77"/>
        <v>20</v>
      </c>
      <c r="BN156">
        <f t="shared" si="77"/>
        <v>20</v>
      </c>
      <c r="BO156">
        <f t="shared" si="77"/>
        <v>20</v>
      </c>
      <c r="BP156">
        <f t="shared" si="77"/>
        <v>20</v>
      </c>
      <c r="BQ156">
        <f t="shared" si="77"/>
        <v>20</v>
      </c>
      <c r="BR156">
        <f t="shared" si="77"/>
        <v>20</v>
      </c>
      <c r="BS156">
        <f t="shared" ref="BS156:DI156" si="78">BS155*$DM$7</f>
        <v>20</v>
      </c>
      <c r="BT156">
        <f t="shared" si="78"/>
        <v>20</v>
      </c>
      <c r="BU156">
        <f t="shared" si="78"/>
        <v>20</v>
      </c>
      <c r="BV156">
        <f t="shared" si="78"/>
        <v>20</v>
      </c>
      <c r="BW156">
        <f t="shared" si="78"/>
        <v>20</v>
      </c>
      <c r="BX156">
        <f t="shared" si="78"/>
        <v>20</v>
      </c>
      <c r="BY156">
        <f t="shared" si="78"/>
        <v>20</v>
      </c>
      <c r="BZ156">
        <f t="shared" si="78"/>
        <v>20</v>
      </c>
      <c r="CA156">
        <f t="shared" si="78"/>
        <v>20</v>
      </c>
      <c r="CB156">
        <f t="shared" si="78"/>
        <v>20</v>
      </c>
      <c r="CC156">
        <f t="shared" si="78"/>
        <v>20</v>
      </c>
      <c r="CD156">
        <f t="shared" si="78"/>
        <v>20</v>
      </c>
      <c r="CE156">
        <f t="shared" si="78"/>
        <v>20</v>
      </c>
      <c r="CF156">
        <f t="shared" si="78"/>
        <v>20</v>
      </c>
      <c r="CG156">
        <f t="shared" si="78"/>
        <v>20</v>
      </c>
      <c r="CH156">
        <f t="shared" si="78"/>
        <v>20</v>
      </c>
      <c r="CI156">
        <f t="shared" si="78"/>
        <v>20</v>
      </c>
      <c r="CJ156">
        <f t="shared" si="78"/>
        <v>20</v>
      </c>
      <c r="CK156">
        <f t="shared" si="78"/>
        <v>20</v>
      </c>
      <c r="CL156">
        <f t="shared" si="78"/>
        <v>20</v>
      </c>
      <c r="CM156">
        <f t="shared" si="78"/>
        <v>20</v>
      </c>
      <c r="CN156">
        <f t="shared" si="78"/>
        <v>20</v>
      </c>
      <c r="CO156">
        <f t="shared" si="78"/>
        <v>20</v>
      </c>
      <c r="CP156">
        <f t="shared" si="78"/>
        <v>20</v>
      </c>
      <c r="CQ156">
        <f t="shared" si="78"/>
        <v>20</v>
      </c>
      <c r="CR156">
        <f t="shared" si="78"/>
        <v>20</v>
      </c>
      <c r="CS156">
        <f t="shared" si="78"/>
        <v>20</v>
      </c>
      <c r="CT156">
        <f t="shared" si="78"/>
        <v>20</v>
      </c>
      <c r="CU156">
        <f t="shared" si="78"/>
        <v>20</v>
      </c>
      <c r="CV156">
        <f t="shared" si="78"/>
        <v>20</v>
      </c>
      <c r="CW156">
        <f t="shared" si="78"/>
        <v>20</v>
      </c>
      <c r="CX156">
        <f t="shared" si="78"/>
        <v>20</v>
      </c>
      <c r="CY156">
        <f t="shared" si="78"/>
        <v>20</v>
      </c>
      <c r="CZ156">
        <f t="shared" si="78"/>
        <v>20</v>
      </c>
      <c r="DA156">
        <f t="shared" si="78"/>
        <v>20</v>
      </c>
      <c r="DB156">
        <f t="shared" si="78"/>
        <v>20</v>
      </c>
      <c r="DC156">
        <f t="shared" si="78"/>
        <v>20</v>
      </c>
      <c r="DD156">
        <f t="shared" si="78"/>
        <v>20</v>
      </c>
      <c r="DE156">
        <f t="shared" si="78"/>
        <v>20</v>
      </c>
      <c r="DF156">
        <f t="shared" si="78"/>
        <v>20</v>
      </c>
      <c r="DG156">
        <f t="shared" si="78"/>
        <v>20</v>
      </c>
      <c r="DH156">
        <f t="shared" si="78"/>
        <v>20</v>
      </c>
      <c r="DI156">
        <f t="shared" si="78"/>
        <v>20</v>
      </c>
    </row>
    <row r="157" spans="2:113">
      <c r="B157" t="s">
        <v>2976</v>
      </c>
      <c r="E157">
        <f>E156+E154+E151+E146+E137+E120</f>
        <v>12</v>
      </c>
      <c r="F157">
        <f t="shared" ref="F157:BQ157" si="79">F156+F154+F151+F146+F137+F120</f>
        <v>7</v>
      </c>
      <c r="G157">
        <f t="shared" si="79"/>
        <v>15</v>
      </c>
      <c r="H157">
        <f t="shared" si="79"/>
        <v>15</v>
      </c>
      <c r="I157">
        <f t="shared" si="79"/>
        <v>7</v>
      </c>
      <c r="J157">
        <f t="shared" si="79"/>
        <v>8</v>
      </c>
      <c r="K157">
        <f t="shared" si="79"/>
        <v>11</v>
      </c>
      <c r="L157">
        <f t="shared" si="79"/>
        <v>11</v>
      </c>
      <c r="M157">
        <f t="shared" si="79"/>
        <v>14</v>
      </c>
      <c r="N157">
        <f t="shared" si="79"/>
        <v>8</v>
      </c>
      <c r="O157">
        <f t="shared" si="79"/>
        <v>15</v>
      </c>
      <c r="P157">
        <f t="shared" si="79"/>
        <v>12</v>
      </c>
      <c r="Q157">
        <f t="shared" si="79"/>
        <v>9</v>
      </c>
      <c r="R157">
        <f t="shared" si="79"/>
        <v>15</v>
      </c>
      <c r="S157">
        <f t="shared" si="79"/>
        <v>12</v>
      </c>
      <c r="T157">
        <f t="shared" si="79"/>
        <v>11</v>
      </c>
      <c r="U157">
        <f t="shared" si="79"/>
        <v>20</v>
      </c>
      <c r="V157">
        <f t="shared" si="79"/>
        <v>20</v>
      </c>
      <c r="W157">
        <f t="shared" si="79"/>
        <v>20</v>
      </c>
      <c r="X157">
        <f t="shared" si="79"/>
        <v>20</v>
      </c>
      <c r="Y157">
        <f t="shared" si="79"/>
        <v>20</v>
      </c>
      <c r="Z157">
        <f t="shared" si="79"/>
        <v>20</v>
      </c>
      <c r="AA157">
        <f t="shared" si="79"/>
        <v>20</v>
      </c>
      <c r="AB157">
        <f t="shared" si="79"/>
        <v>20</v>
      </c>
      <c r="AC157">
        <f t="shared" si="79"/>
        <v>20</v>
      </c>
      <c r="AD157">
        <f t="shared" si="79"/>
        <v>20</v>
      </c>
      <c r="AE157">
        <f t="shared" si="79"/>
        <v>20</v>
      </c>
      <c r="AF157">
        <f t="shared" si="79"/>
        <v>20</v>
      </c>
      <c r="AG157">
        <f t="shared" si="79"/>
        <v>20</v>
      </c>
      <c r="AH157">
        <f t="shared" si="79"/>
        <v>20</v>
      </c>
      <c r="AI157">
        <f t="shared" si="79"/>
        <v>20</v>
      </c>
      <c r="AJ157">
        <f t="shared" si="79"/>
        <v>20</v>
      </c>
      <c r="AK157">
        <f t="shared" si="79"/>
        <v>20</v>
      </c>
      <c r="AL157">
        <f t="shared" si="79"/>
        <v>20</v>
      </c>
      <c r="AM157">
        <f t="shared" si="79"/>
        <v>20</v>
      </c>
      <c r="AN157">
        <f t="shared" si="79"/>
        <v>20</v>
      </c>
      <c r="AO157">
        <f t="shared" si="79"/>
        <v>20</v>
      </c>
      <c r="AP157">
        <f t="shared" si="79"/>
        <v>20</v>
      </c>
      <c r="AQ157">
        <f t="shared" si="79"/>
        <v>20</v>
      </c>
      <c r="AR157">
        <f t="shared" si="79"/>
        <v>20</v>
      </c>
      <c r="AS157">
        <f t="shared" si="79"/>
        <v>20</v>
      </c>
      <c r="AT157">
        <f t="shared" si="79"/>
        <v>20</v>
      </c>
      <c r="AU157">
        <f t="shared" si="79"/>
        <v>20</v>
      </c>
      <c r="AV157">
        <f t="shared" si="79"/>
        <v>20</v>
      </c>
      <c r="AW157">
        <f t="shared" si="79"/>
        <v>20</v>
      </c>
      <c r="AX157">
        <f t="shared" si="79"/>
        <v>20</v>
      </c>
      <c r="AY157">
        <f t="shared" si="79"/>
        <v>20</v>
      </c>
      <c r="AZ157">
        <f t="shared" si="79"/>
        <v>20</v>
      </c>
      <c r="BA157">
        <f t="shared" si="79"/>
        <v>20</v>
      </c>
      <c r="BB157">
        <f t="shared" si="79"/>
        <v>20</v>
      </c>
      <c r="BC157">
        <f t="shared" si="79"/>
        <v>20</v>
      </c>
      <c r="BD157">
        <f t="shared" si="79"/>
        <v>20</v>
      </c>
      <c r="BE157">
        <f t="shared" si="79"/>
        <v>20</v>
      </c>
      <c r="BF157">
        <f t="shared" si="79"/>
        <v>20</v>
      </c>
      <c r="BG157">
        <f t="shared" si="79"/>
        <v>20</v>
      </c>
      <c r="BH157">
        <f t="shared" si="79"/>
        <v>20</v>
      </c>
      <c r="BI157">
        <f t="shared" si="79"/>
        <v>20</v>
      </c>
      <c r="BJ157">
        <f t="shared" si="79"/>
        <v>20</v>
      </c>
      <c r="BK157">
        <f t="shared" si="79"/>
        <v>20</v>
      </c>
      <c r="BL157">
        <f t="shared" si="79"/>
        <v>20</v>
      </c>
      <c r="BM157">
        <f t="shared" si="79"/>
        <v>20</v>
      </c>
      <c r="BN157">
        <f t="shared" si="79"/>
        <v>20</v>
      </c>
      <c r="BO157">
        <f t="shared" si="79"/>
        <v>20</v>
      </c>
      <c r="BP157">
        <f t="shared" si="79"/>
        <v>20</v>
      </c>
      <c r="BQ157">
        <f t="shared" si="79"/>
        <v>20</v>
      </c>
      <c r="BR157">
        <f t="shared" ref="BR157:DI157" si="80">BR156+BR154+BR151+BR146+BR137+BR120</f>
        <v>20</v>
      </c>
      <c r="BS157">
        <f t="shared" si="80"/>
        <v>20</v>
      </c>
      <c r="BT157">
        <f t="shared" si="80"/>
        <v>20</v>
      </c>
      <c r="BU157">
        <f t="shared" si="80"/>
        <v>20</v>
      </c>
      <c r="BV157">
        <f t="shared" si="80"/>
        <v>20</v>
      </c>
      <c r="BW157">
        <f t="shared" si="80"/>
        <v>20</v>
      </c>
      <c r="BX157">
        <f t="shared" si="80"/>
        <v>20</v>
      </c>
      <c r="BY157">
        <f t="shared" si="80"/>
        <v>20</v>
      </c>
      <c r="BZ157">
        <f t="shared" si="80"/>
        <v>20</v>
      </c>
      <c r="CA157">
        <f t="shared" si="80"/>
        <v>20</v>
      </c>
      <c r="CB157">
        <f t="shared" si="80"/>
        <v>20</v>
      </c>
      <c r="CC157">
        <f t="shared" si="80"/>
        <v>20</v>
      </c>
      <c r="CD157">
        <f t="shared" si="80"/>
        <v>20</v>
      </c>
      <c r="CE157">
        <f t="shared" si="80"/>
        <v>20</v>
      </c>
      <c r="CF157">
        <f t="shared" si="80"/>
        <v>20</v>
      </c>
      <c r="CG157">
        <f t="shared" si="80"/>
        <v>20</v>
      </c>
      <c r="CH157">
        <f t="shared" si="80"/>
        <v>20</v>
      </c>
      <c r="CI157">
        <f t="shared" si="80"/>
        <v>20</v>
      </c>
      <c r="CJ157">
        <f t="shared" si="80"/>
        <v>20</v>
      </c>
      <c r="CK157">
        <f t="shared" si="80"/>
        <v>20</v>
      </c>
      <c r="CL157">
        <f t="shared" si="80"/>
        <v>20</v>
      </c>
      <c r="CM157">
        <f t="shared" si="80"/>
        <v>20</v>
      </c>
      <c r="CN157">
        <f t="shared" si="80"/>
        <v>20</v>
      </c>
      <c r="CO157">
        <f t="shared" si="80"/>
        <v>20</v>
      </c>
      <c r="CP157">
        <f t="shared" si="80"/>
        <v>20</v>
      </c>
      <c r="CQ157">
        <f t="shared" si="80"/>
        <v>20</v>
      </c>
      <c r="CR157">
        <f t="shared" si="80"/>
        <v>20</v>
      </c>
      <c r="CS157">
        <f t="shared" si="80"/>
        <v>20</v>
      </c>
      <c r="CT157">
        <f t="shared" si="80"/>
        <v>20</v>
      </c>
      <c r="CU157">
        <f t="shared" si="80"/>
        <v>20</v>
      </c>
      <c r="CV157">
        <f t="shared" si="80"/>
        <v>20</v>
      </c>
      <c r="CW157">
        <f t="shared" si="80"/>
        <v>20</v>
      </c>
      <c r="CX157">
        <f t="shared" si="80"/>
        <v>20</v>
      </c>
      <c r="CY157">
        <f t="shared" si="80"/>
        <v>20</v>
      </c>
      <c r="CZ157">
        <f t="shared" si="80"/>
        <v>20</v>
      </c>
      <c r="DA157">
        <f t="shared" si="80"/>
        <v>20</v>
      </c>
      <c r="DB157">
        <f t="shared" si="80"/>
        <v>20</v>
      </c>
      <c r="DC157">
        <f t="shared" si="80"/>
        <v>20</v>
      </c>
      <c r="DD157">
        <f t="shared" si="80"/>
        <v>20</v>
      </c>
      <c r="DE157">
        <f t="shared" si="80"/>
        <v>20</v>
      </c>
      <c r="DF157">
        <f t="shared" si="80"/>
        <v>20</v>
      </c>
      <c r="DG157">
        <f t="shared" si="80"/>
        <v>20</v>
      </c>
      <c r="DH157">
        <f t="shared" si="80"/>
        <v>20</v>
      </c>
      <c r="DI157">
        <f t="shared" si="80"/>
        <v>20</v>
      </c>
    </row>
    <row r="171" spans="4:113">
      <c r="E171" s="160">
        <f t="shared" ref="E171:BP171" si="81">E172/48</f>
        <v>1.5416666666666667</v>
      </c>
      <c r="F171" s="160">
        <f t="shared" si="81"/>
        <v>1.2083333333333333</v>
      </c>
      <c r="G171" s="160">
        <f t="shared" si="81"/>
        <v>1.8958333333333333</v>
      </c>
      <c r="H171" s="160">
        <f t="shared" si="81"/>
        <v>1.8958333333333333</v>
      </c>
      <c r="I171" s="160">
        <f t="shared" si="81"/>
        <v>1.9375</v>
      </c>
      <c r="J171" s="160">
        <f t="shared" si="81"/>
        <v>1.9791666666666667</v>
      </c>
      <c r="K171" s="160">
        <f t="shared" si="81"/>
        <v>1.3125</v>
      </c>
      <c r="L171">
        <f t="shared" si="81"/>
        <v>1.6666666666666667</v>
      </c>
      <c r="M171">
        <f t="shared" si="81"/>
        <v>1.2083333333333333</v>
      </c>
      <c r="N171">
        <f t="shared" si="81"/>
        <v>1.6875</v>
      </c>
      <c r="O171">
        <f t="shared" si="81"/>
        <v>1.4166666666666667</v>
      </c>
      <c r="P171">
        <f t="shared" si="81"/>
        <v>1.5625</v>
      </c>
      <c r="Q171">
        <f t="shared" si="81"/>
        <v>1.1458333333333333</v>
      </c>
      <c r="R171">
        <f t="shared" si="81"/>
        <v>1.8333333333333333</v>
      </c>
      <c r="S171">
        <f t="shared" si="81"/>
        <v>2.25</v>
      </c>
      <c r="T171">
        <f t="shared" si="81"/>
        <v>1.6041666666666667</v>
      </c>
      <c r="U171" t="e">
        <f t="shared" si="81"/>
        <v>#VALUE!</v>
      </c>
      <c r="V171" t="e">
        <f t="shared" si="81"/>
        <v>#VALUE!</v>
      </c>
      <c r="W171" t="e">
        <f t="shared" si="81"/>
        <v>#VALUE!</v>
      </c>
      <c r="X171" t="e">
        <f t="shared" si="81"/>
        <v>#VALUE!</v>
      </c>
      <c r="Y171" t="e">
        <f t="shared" si="81"/>
        <v>#VALUE!</v>
      </c>
      <c r="Z171" t="e">
        <f t="shared" si="81"/>
        <v>#VALUE!</v>
      </c>
      <c r="AA171" t="e">
        <f t="shared" si="81"/>
        <v>#VALUE!</v>
      </c>
      <c r="AB171" t="e">
        <f t="shared" si="81"/>
        <v>#VALUE!</v>
      </c>
      <c r="AC171" t="e">
        <f t="shared" si="81"/>
        <v>#VALUE!</v>
      </c>
      <c r="AD171" t="e">
        <f t="shared" si="81"/>
        <v>#VALUE!</v>
      </c>
      <c r="AE171" t="e">
        <f t="shared" si="81"/>
        <v>#VALUE!</v>
      </c>
      <c r="AF171" t="e">
        <f t="shared" si="81"/>
        <v>#VALUE!</v>
      </c>
      <c r="AG171" t="e">
        <f t="shared" si="81"/>
        <v>#VALUE!</v>
      </c>
      <c r="AH171" t="e">
        <f t="shared" si="81"/>
        <v>#VALUE!</v>
      </c>
      <c r="AI171" t="e">
        <f t="shared" si="81"/>
        <v>#VALUE!</v>
      </c>
      <c r="AJ171" t="e">
        <f t="shared" si="81"/>
        <v>#VALUE!</v>
      </c>
      <c r="AK171" t="e">
        <f t="shared" si="81"/>
        <v>#VALUE!</v>
      </c>
      <c r="AL171" t="e">
        <f t="shared" si="81"/>
        <v>#VALUE!</v>
      </c>
      <c r="AM171" t="e">
        <f t="shared" si="81"/>
        <v>#VALUE!</v>
      </c>
      <c r="AN171" t="e">
        <f t="shared" si="81"/>
        <v>#VALUE!</v>
      </c>
      <c r="AO171" t="e">
        <f t="shared" si="81"/>
        <v>#VALUE!</v>
      </c>
      <c r="AP171" t="e">
        <f t="shared" si="81"/>
        <v>#VALUE!</v>
      </c>
      <c r="AQ171" t="e">
        <f t="shared" si="81"/>
        <v>#VALUE!</v>
      </c>
      <c r="AR171" t="e">
        <f t="shared" si="81"/>
        <v>#VALUE!</v>
      </c>
      <c r="AS171" t="e">
        <f t="shared" si="81"/>
        <v>#VALUE!</v>
      </c>
      <c r="AT171" t="e">
        <f t="shared" si="81"/>
        <v>#VALUE!</v>
      </c>
      <c r="AU171" t="e">
        <f t="shared" si="81"/>
        <v>#VALUE!</v>
      </c>
      <c r="AV171" t="e">
        <f t="shared" si="81"/>
        <v>#VALUE!</v>
      </c>
      <c r="AW171" t="e">
        <f t="shared" si="81"/>
        <v>#VALUE!</v>
      </c>
      <c r="AX171" t="e">
        <f t="shared" si="81"/>
        <v>#VALUE!</v>
      </c>
      <c r="AY171" t="e">
        <f t="shared" si="81"/>
        <v>#VALUE!</v>
      </c>
      <c r="AZ171" t="e">
        <f t="shared" si="81"/>
        <v>#VALUE!</v>
      </c>
      <c r="BA171" t="e">
        <f t="shared" si="81"/>
        <v>#VALUE!</v>
      </c>
      <c r="BB171" t="e">
        <f t="shared" si="81"/>
        <v>#VALUE!</v>
      </c>
      <c r="BC171" t="e">
        <f t="shared" si="81"/>
        <v>#VALUE!</v>
      </c>
      <c r="BD171" t="e">
        <f t="shared" si="81"/>
        <v>#VALUE!</v>
      </c>
      <c r="BE171" t="e">
        <f t="shared" si="81"/>
        <v>#VALUE!</v>
      </c>
      <c r="BF171" t="e">
        <f t="shared" si="81"/>
        <v>#VALUE!</v>
      </c>
      <c r="BG171" t="e">
        <f t="shared" si="81"/>
        <v>#VALUE!</v>
      </c>
      <c r="BH171" t="e">
        <f t="shared" si="81"/>
        <v>#VALUE!</v>
      </c>
      <c r="BI171" t="e">
        <f t="shared" si="81"/>
        <v>#VALUE!</v>
      </c>
      <c r="BJ171" t="e">
        <f t="shared" si="81"/>
        <v>#VALUE!</v>
      </c>
      <c r="BK171" t="e">
        <f t="shared" si="81"/>
        <v>#VALUE!</v>
      </c>
      <c r="BL171" t="e">
        <f t="shared" si="81"/>
        <v>#VALUE!</v>
      </c>
      <c r="BM171" t="e">
        <f t="shared" si="81"/>
        <v>#VALUE!</v>
      </c>
      <c r="BN171" t="e">
        <f t="shared" si="81"/>
        <v>#VALUE!</v>
      </c>
      <c r="BO171" t="e">
        <f t="shared" si="81"/>
        <v>#VALUE!</v>
      </c>
      <c r="BP171" t="e">
        <f t="shared" si="81"/>
        <v>#VALUE!</v>
      </c>
      <c r="BQ171" t="e">
        <f t="shared" ref="BQ171:DI171" si="82">BQ172/48</f>
        <v>#VALUE!</v>
      </c>
      <c r="BR171" t="e">
        <f t="shared" si="82"/>
        <v>#VALUE!</v>
      </c>
      <c r="BS171" t="e">
        <f t="shared" si="82"/>
        <v>#VALUE!</v>
      </c>
      <c r="BT171" t="e">
        <f t="shared" si="82"/>
        <v>#VALUE!</v>
      </c>
      <c r="BU171" t="e">
        <f t="shared" si="82"/>
        <v>#VALUE!</v>
      </c>
      <c r="BV171" t="e">
        <f t="shared" si="82"/>
        <v>#VALUE!</v>
      </c>
      <c r="BW171" t="e">
        <f t="shared" si="82"/>
        <v>#VALUE!</v>
      </c>
      <c r="BX171" t="e">
        <f t="shared" si="82"/>
        <v>#VALUE!</v>
      </c>
      <c r="BY171" t="e">
        <f t="shared" si="82"/>
        <v>#VALUE!</v>
      </c>
      <c r="BZ171" t="e">
        <f t="shared" si="82"/>
        <v>#VALUE!</v>
      </c>
      <c r="CA171" t="e">
        <f t="shared" si="82"/>
        <v>#VALUE!</v>
      </c>
      <c r="CB171" t="e">
        <f t="shared" si="82"/>
        <v>#VALUE!</v>
      </c>
      <c r="CC171" t="e">
        <f t="shared" si="82"/>
        <v>#VALUE!</v>
      </c>
      <c r="CD171" t="e">
        <f t="shared" si="82"/>
        <v>#VALUE!</v>
      </c>
      <c r="CE171" t="e">
        <f t="shared" si="82"/>
        <v>#VALUE!</v>
      </c>
      <c r="CF171" t="e">
        <f t="shared" si="82"/>
        <v>#VALUE!</v>
      </c>
      <c r="CG171" t="e">
        <f t="shared" si="82"/>
        <v>#VALUE!</v>
      </c>
      <c r="CH171" t="e">
        <f t="shared" si="82"/>
        <v>#VALUE!</v>
      </c>
      <c r="CI171" t="e">
        <f t="shared" si="82"/>
        <v>#VALUE!</v>
      </c>
      <c r="CJ171" t="e">
        <f t="shared" si="82"/>
        <v>#VALUE!</v>
      </c>
      <c r="CK171" t="e">
        <f t="shared" si="82"/>
        <v>#VALUE!</v>
      </c>
      <c r="CL171" t="e">
        <f t="shared" si="82"/>
        <v>#VALUE!</v>
      </c>
      <c r="CM171" t="e">
        <f t="shared" si="82"/>
        <v>#VALUE!</v>
      </c>
      <c r="CN171" t="e">
        <f t="shared" si="82"/>
        <v>#VALUE!</v>
      </c>
      <c r="CO171" t="e">
        <f t="shared" si="82"/>
        <v>#VALUE!</v>
      </c>
      <c r="CP171" t="e">
        <f t="shared" si="82"/>
        <v>#VALUE!</v>
      </c>
      <c r="CQ171" t="e">
        <f t="shared" si="82"/>
        <v>#VALUE!</v>
      </c>
      <c r="CR171" t="e">
        <f t="shared" si="82"/>
        <v>#VALUE!</v>
      </c>
      <c r="CS171" t="e">
        <f t="shared" si="82"/>
        <v>#VALUE!</v>
      </c>
      <c r="CT171" t="e">
        <f t="shared" si="82"/>
        <v>#VALUE!</v>
      </c>
      <c r="CU171" t="e">
        <f t="shared" si="82"/>
        <v>#VALUE!</v>
      </c>
      <c r="CV171" t="e">
        <f t="shared" si="82"/>
        <v>#VALUE!</v>
      </c>
      <c r="CW171" t="e">
        <f t="shared" si="82"/>
        <v>#VALUE!</v>
      </c>
      <c r="CX171" t="e">
        <f t="shared" si="82"/>
        <v>#VALUE!</v>
      </c>
      <c r="CY171" t="e">
        <f t="shared" si="82"/>
        <v>#VALUE!</v>
      </c>
      <c r="CZ171" t="e">
        <f t="shared" si="82"/>
        <v>#VALUE!</v>
      </c>
      <c r="DA171" t="e">
        <f t="shared" si="82"/>
        <v>#VALUE!</v>
      </c>
      <c r="DB171" t="e">
        <f t="shared" si="82"/>
        <v>#VALUE!</v>
      </c>
      <c r="DC171" t="e">
        <f t="shared" si="82"/>
        <v>#VALUE!</v>
      </c>
      <c r="DD171" t="e">
        <f t="shared" si="82"/>
        <v>#VALUE!</v>
      </c>
      <c r="DE171" t="e">
        <f t="shared" si="82"/>
        <v>#VALUE!</v>
      </c>
      <c r="DF171" t="e">
        <f t="shared" si="82"/>
        <v>#VALUE!</v>
      </c>
      <c r="DG171" t="e">
        <f t="shared" si="82"/>
        <v>#VALUE!</v>
      </c>
      <c r="DH171" t="e">
        <f t="shared" si="82"/>
        <v>#VALUE!</v>
      </c>
      <c r="DI171" t="e">
        <f t="shared" si="82"/>
        <v>#VALUE!</v>
      </c>
    </row>
    <row r="172" spans="4:113">
      <c r="D172" t="s">
        <v>2969</v>
      </c>
      <c r="E172">
        <f>SUM(E173:E220)</f>
        <v>74</v>
      </c>
      <c r="F172">
        <f t="shared" ref="F172:BQ172" si="83">SUM(F173:F220)</f>
        <v>58</v>
      </c>
      <c r="G172">
        <f t="shared" si="83"/>
        <v>91</v>
      </c>
      <c r="H172">
        <f t="shared" si="83"/>
        <v>91</v>
      </c>
      <c r="I172">
        <f t="shared" si="83"/>
        <v>93</v>
      </c>
      <c r="J172">
        <f t="shared" si="83"/>
        <v>95</v>
      </c>
      <c r="K172">
        <f t="shared" si="83"/>
        <v>63</v>
      </c>
      <c r="L172">
        <f t="shared" si="83"/>
        <v>80</v>
      </c>
      <c r="M172">
        <f t="shared" si="83"/>
        <v>58</v>
      </c>
      <c r="N172">
        <f t="shared" si="83"/>
        <v>81</v>
      </c>
      <c r="O172">
        <f t="shared" si="83"/>
        <v>68</v>
      </c>
      <c r="P172">
        <f t="shared" si="83"/>
        <v>75</v>
      </c>
      <c r="Q172">
        <f t="shared" si="83"/>
        <v>55</v>
      </c>
      <c r="R172">
        <f t="shared" si="83"/>
        <v>88</v>
      </c>
      <c r="S172">
        <f t="shared" si="83"/>
        <v>108</v>
      </c>
      <c r="T172">
        <f t="shared" si="83"/>
        <v>77</v>
      </c>
      <c r="U172" t="e">
        <f t="shared" si="83"/>
        <v>#VALUE!</v>
      </c>
      <c r="V172" t="e">
        <f t="shared" si="83"/>
        <v>#VALUE!</v>
      </c>
      <c r="W172" t="e">
        <f t="shared" si="83"/>
        <v>#VALUE!</v>
      </c>
      <c r="X172" t="e">
        <f t="shared" si="83"/>
        <v>#VALUE!</v>
      </c>
      <c r="Y172" t="e">
        <f t="shared" si="83"/>
        <v>#VALUE!</v>
      </c>
      <c r="Z172" t="e">
        <f t="shared" si="83"/>
        <v>#VALUE!</v>
      </c>
      <c r="AA172" t="e">
        <f t="shared" si="83"/>
        <v>#VALUE!</v>
      </c>
      <c r="AB172" t="e">
        <f t="shared" si="83"/>
        <v>#VALUE!</v>
      </c>
      <c r="AC172" t="e">
        <f t="shared" si="83"/>
        <v>#VALUE!</v>
      </c>
      <c r="AD172" t="e">
        <f t="shared" si="83"/>
        <v>#VALUE!</v>
      </c>
      <c r="AE172" t="e">
        <f t="shared" si="83"/>
        <v>#VALUE!</v>
      </c>
      <c r="AF172" t="e">
        <f t="shared" si="83"/>
        <v>#VALUE!</v>
      </c>
      <c r="AG172" t="e">
        <f t="shared" si="83"/>
        <v>#VALUE!</v>
      </c>
      <c r="AH172" t="e">
        <f t="shared" si="83"/>
        <v>#VALUE!</v>
      </c>
      <c r="AI172" t="e">
        <f t="shared" si="83"/>
        <v>#VALUE!</v>
      </c>
      <c r="AJ172" t="e">
        <f t="shared" si="83"/>
        <v>#VALUE!</v>
      </c>
      <c r="AK172" t="e">
        <f t="shared" si="83"/>
        <v>#VALUE!</v>
      </c>
      <c r="AL172" t="e">
        <f t="shared" si="83"/>
        <v>#VALUE!</v>
      </c>
      <c r="AM172" t="e">
        <f t="shared" si="83"/>
        <v>#VALUE!</v>
      </c>
      <c r="AN172" t="e">
        <f t="shared" si="83"/>
        <v>#VALUE!</v>
      </c>
      <c r="AO172" t="e">
        <f t="shared" si="83"/>
        <v>#VALUE!</v>
      </c>
      <c r="AP172" t="e">
        <f t="shared" si="83"/>
        <v>#VALUE!</v>
      </c>
      <c r="AQ172" t="e">
        <f t="shared" si="83"/>
        <v>#VALUE!</v>
      </c>
      <c r="AR172" t="e">
        <f t="shared" si="83"/>
        <v>#VALUE!</v>
      </c>
      <c r="AS172" t="e">
        <f t="shared" si="83"/>
        <v>#VALUE!</v>
      </c>
      <c r="AT172" t="e">
        <f t="shared" si="83"/>
        <v>#VALUE!</v>
      </c>
      <c r="AU172" t="e">
        <f t="shared" si="83"/>
        <v>#VALUE!</v>
      </c>
      <c r="AV172" t="e">
        <f t="shared" si="83"/>
        <v>#VALUE!</v>
      </c>
      <c r="AW172" t="e">
        <f t="shared" si="83"/>
        <v>#VALUE!</v>
      </c>
      <c r="AX172" t="e">
        <f t="shared" si="83"/>
        <v>#VALUE!</v>
      </c>
      <c r="AY172" t="e">
        <f t="shared" si="83"/>
        <v>#VALUE!</v>
      </c>
      <c r="AZ172" t="e">
        <f t="shared" si="83"/>
        <v>#VALUE!</v>
      </c>
      <c r="BA172" t="e">
        <f t="shared" si="83"/>
        <v>#VALUE!</v>
      </c>
      <c r="BB172" t="e">
        <f t="shared" si="83"/>
        <v>#VALUE!</v>
      </c>
      <c r="BC172" t="e">
        <f t="shared" si="83"/>
        <v>#VALUE!</v>
      </c>
      <c r="BD172" t="e">
        <f t="shared" si="83"/>
        <v>#VALUE!</v>
      </c>
      <c r="BE172" t="e">
        <f t="shared" si="83"/>
        <v>#VALUE!</v>
      </c>
      <c r="BF172" t="e">
        <f t="shared" si="83"/>
        <v>#VALUE!</v>
      </c>
      <c r="BG172" t="e">
        <f t="shared" si="83"/>
        <v>#VALUE!</v>
      </c>
      <c r="BH172" t="e">
        <f t="shared" si="83"/>
        <v>#VALUE!</v>
      </c>
      <c r="BI172" t="e">
        <f t="shared" si="83"/>
        <v>#VALUE!</v>
      </c>
      <c r="BJ172" t="e">
        <f t="shared" si="83"/>
        <v>#VALUE!</v>
      </c>
      <c r="BK172" t="e">
        <f t="shared" si="83"/>
        <v>#VALUE!</v>
      </c>
      <c r="BL172" t="e">
        <f t="shared" si="83"/>
        <v>#VALUE!</v>
      </c>
      <c r="BM172" t="e">
        <f t="shared" si="83"/>
        <v>#VALUE!</v>
      </c>
      <c r="BN172" t="e">
        <f t="shared" si="83"/>
        <v>#VALUE!</v>
      </c>
      <c r="BO172" t="e">
        <f t="shared" si="83"/>
        <v>#VALUE!</v>
      </c>
      <c r="BP172" t="e">
        <f t="shared" si="83"/>
        <v>#VALUE!</v>
      </c>
      <c r="BQ172" t="e">
        <f t="shared" si="83"/>
        <v>#VALUE!</v>
      </c>
      <c r="BR172" t="e">
        <f t="shared" ref="BR172:DI172" si="84">SUM(BR173:BR220)</f>
        <v>#VALUE!</v>
      </c>
      <c r="BS172" t="e">
        <f t="shared" si="84"/>
        <v>#VALUE!</v>
      </c>
      <c r="BT172" t="e">
        <f t="shared" si="84"/>
        <v>#VALUE!</v>
      </c>
      <c r="BU172" t="e">
        <f t="shared" si="84"/>
        <v>#VALUE!</v>
      </c>
      <c r="BV172" t="e">
        <f t="shared" si="84"/>
        <v>#VALUE!</v>
      </c>
      <c r="BW172" t="e">
        <f t="shared" si="84"/>
        <v>#VALUE!</v>
      </c>
      <c r="BX172" t="e">
        <f t="shared" si="84"/>
        <v>#VALUE!</v>
      </c>
      <c r="BY172" t="e">
        <f t="shared" si="84"/>
        <v>#VALUE!</v>
      </c>
      <c r="BZ172" t="e">
        <f t="shared" si="84"/>
        <v>#VALUE!</v>
      </c>
      <c r="CA172" t="e">
        <f t="shared" si="84"/>
        <v>#VALUE!</v>
      </c>
      <c r="CB172" t="e">
        <f t="shared" si="84"/>
        <v>#VALUE!</v>
      </c>
      <c r="CC172" t="e">
        <f t="shared" si="84"/>
        <v>#VALUE!</v>
      </c>
      <c r="CD172" t="e">
        <f t="shared" si="84"/>
        <v>#VALUE!</v>
      </c>
      <c r="CE172" t="e">
        <f t="shared" si="84"/>
        <v>#VALUE!</v>
      </c>
      <c r="CF172" t="e">
        <f t="shared" si="84"/>
        <v>#VALUE!</v>
      </c>
      <c r="CG172" t="e">
        <f t="shared" si="84"/>
        <v>#VALUE!</v>
      </c>
      <c r="CH172" t="e">
        <f t="shared" si="84"/>
        <v>#VALUE!</v>
      </c>
      <c r="CI172" t="e">
        <f t="shared" si="84"/>
        <v>#VALUE!</v>
      </c>
      <c r="CJ172" t="e">
        <f t="shared" si="84"/>
        <v>#VALUE!</v>
      </c>
      <c r="CK172" t="e">
        <f t="shared" si="84"/>
        <v>#VALUE!</v>
      </c>
      <c r="CL172" t="e">
        <f t="shared" si="84"/>
        <v>#VALUE!</v>
      </c>
      <c r="CM172" t="e">
        <f t="shared" si="84"/>
        <v>#VALUE!</v>
      </c>
      <c r="CN172" t="e">
        <f t="shared" si="84"/>
        <v>#VALUE!</v>
      </c>
      <c r="CO172" t="e">
        <f t="shared" si="84"/>
        <v>#VALUE!</v>
      </c>
      <c r="CP172" t="e">
        <f t="shared" si="84"/>
        <v>#VALUE!</v>
      </c>
      <c r="CQ172" t="e">
        <f t="shared" si="84"/>
        <v>#VALUE!</v>
      </c>
      <c r="CR172" t="e">
        <f t="shared" si="84"/>
        <v>#VALUE!</v>
      </c>
      <c r="CS172" t="e">
        <f t="shared" si="84"/>
        <v>#VALUE!</v>
      </c>
      <c r="CT172" t="e">
        <f t="shared" si="84"/>
        <v>#VALUE!</v>
      </c>
      <c r="CU172" t="e">
        <f t="shared" si="84"/>
        <v>#VALUE!</v>
      </c>
      <c r="CV172" t="e">
        <f t="shared" si="84"/>
        <v>#VALUE!</v>
      </c>
      <c r="CW172" t="e">
        <f t="shared" si="84"/>
        <v>#VALUE!</v>
      </c>
      <c r="CX172" t="e">
        <f t="shared" si="84"/>
        <v>#VALUE!</v>
      </c>
      <c r="CY172" t="e">
        <f t="shared" si="84"/>
        <v>#VALUE!</v>
      </c>
      <c r="CZ172" t="e">
        <f t="shared" si="84"/>
        <v>#VALUE!</v>
      </c>
      <c r="DA172" t="e">
        <f t="shared" si="84"/>
        <v>#VALUE!</v>
      </c>
      <c r="DB172" t="e">
        <f t="shared" si="84"/>
        <v>#VALUE!</v>
      </c>
      <c r="DC172" t="e">
        <f t="shared" si="84"/>
        <v>#VALUE!</v>
      </c>
      <c r="DD172" t="e">
        <f t="shared" si="84"/>
        <v>#VALUE!</v>
      </c>
      <c r="DE172" t="e">
        <f t="shared" si="84"/>
        <v>#VALUE!</v>
      </c>
      <c r="DF172" t="e">
        <f t="shared" si="84"/>
        <v>#VALUE!</v>
      </c>
      <c r="DG172" t="e">
        <f t="shared" si="84"/>
        <v>#VALUE!</v>
      </c>
      <c r="DH172" t="e">
        <f t="shared" si="84"/>
        <v>#VALUE!</v>
      </c>
      <c r="DI172" t="e">
        <f t="shared" si="84"/>
        <v>#VALUE!</v>
      </c>
    </row>
    <row r="173" spans="4:113">
      <c r="E173">
        <f t="shared" ref="E173:BP176" si="85">LEFT(E15)+RIGHT(E15)</f>
        <v>2</v>
      </c>
      <c r="F173">
        <f t="shared" si="85"/>
        <v>1</v>
      </c>
      <c r="G173">
        <f t="shared" si="85"/>
        <v>5</v>
      </c>
      <c r="H173">
        <f t="shared" si="85"/>
        <v>4</v>
      </c>
      <c r="I173">
        <f t="shared" si="85"/>
        <v>2</v>
      </c>
      <c r="J173">
        <f t="shared" si="85"/>
        <v>2</v>
      </c>
      <c r="K173">
        <f t="shared" si="85"/>
        <v>2</v>
      </c>
      <c r="L173">
        <f t="shared" si="85"/>
        <v>4</v>
      </c>
      <c r="M173">
        <f t="shared" si="85"/>
        <v>2</v>
      </c>
      <c r="N173">
        <f t="shared" si="85"/>
        <v>3</v>
      </c>
      <c r="O173">
        <f t="shared" si="85"/>
        <v>2</v>
      </c>
      <c r="P173">
        <f t="shared" si="85"/>
        <v>2</v>
      </c>
      <c r="Q173">
        <f t="shared" si="85"/>
        <v>2</v>
      </c>
      <c r="R173">
        <f t="shared" si="85"/>
        <v>3</v>
      </c>
      <c r="S173">
        <f t="shared" si="85"/>
        <v>3</v>
      </c>
      <c r="T173">
        <f t="shared" si="85"/>
        <v>2</v>
      </c>
      <c r="U173" t="e">
        <f t="shared" si="85"/>
        <v>#VALUE!</v>
      </c>
      <c r="V173" t="e">
        <f t="shared" si="85"/>
        <v>#VALUE!</v>
      </c>
      <c r="W173" t="e">
        <f t="shared" si="85"/>
        <v>#VALUE!</v>
      </c>
      <c r="X173" t="e">
        <f t="shared" si="85"/>
        <v>#VALUE!</v>
      </c>
      <c r="Y173" t="e">
        <f t="shared" si="85"/>
        <v>#VALUE!</v>
      </c>
      <c r="Z173" t="e">
        <f t="shared" si="85"/>
        <v>#VALUE!</v>
      </c>
      <c r="AA173" t="e">
        <f t="shared" si="85"/>
        <v>#VALUE!</v>
      </c>
      <c r="AB173" t="e">
        <f t="shared" si="85"/>
        <v>#VALUE!</v>
      </c>
      <c r="AC173" t="e">
        <f t="shared" si="85"/>
        <v>#VALUE!</v>
      </c>
      <c r="AD173" t="e">
        <f t="shared" si="85"/>
        <v>#VALUE!</v>
      </c>
      <c r="AE173" t="e">
        <f t="shared" si="85"/>
        <v>#VALUE!</v>
      </c>
      <c r="AF173" t="e">
        <f t="shared" si="85"/>
        <v>#VALUE!</v>
      </c>
      <c r="AG173" t="e">
        <f t="shared" si="85"/>
        <v>#VALUE!</v>
      </c>
      <c r="AH173" t="e">
        <f t="shared" si="85"/>
        <v>#VALUE!</v>
      </c>
      <c r="AI173" t="e">
        <f t="shared" si="85"/>
        <v>#VALUE!</v>
      </c>
      <c r="AJ173" t="e">
        <f t="shared" si="85"/>
        <v>#VALUE!</v>
      </c>
      <c r="AK173" t="e">
        <f t="shared" si="85"/>
        <v>#VALUE!</v>
      </c>
      <c r="AL173" t="e">
        <f t="shared" si="85"/>
        <v>#VALUE!</v>
      </c>
      <c r="AM173" t="e">
        <f t="shared" si="85"/>
        <v>#VALUE!</v>
      </c>
      <c r="AN173" t="e">
        <f t="shared" si="85"/>
        <v>#VALUE!</v>
      </c>
      <c r="AO173" t="e">
        <f t="shared" si="85"/>
        <v>#VALUE!</v>
      </c>
      <c r="AP173" t="e">
        <f t="shared" si="85"/>
        <v>#VALUE!</v>
      </c>
      <c r="AQ173" t="e">
        <f t="shared" si="85"/>
        <v>#VALUE!</v>
      </c>
      <c r="AR173" t="e">
        <f t="shared" si="85"/>
        <v>#VALUE!</v>
      </c>
      <c r="AS173" t="e">
        <f t="shared" si="85"/>
        <v>#VALUE!</v>
      </c>
      <c r="AT173" t="e">
        <f t="shared" si="85"/>
        <v>#VALUE!</v>
      </c>
      <c r="AU173" t="e">
        <f t="shared" si="85"/>
        <v>#VALUE!</v>
      </c>
      <c r="AV173" t="e">
        <f t="shared" si="85"/>
        <v>#VALUE!</v>
      </c>
      <c r="AW173" t="e">
        <f t="shared" si="85"/>
        <v>#VALUE!</v>
      </c>
      <c r="AX173" t="e">
        <f t="shared" si="85"/>
        <v>#VALUE!</v>
      </c>
      <c r="AY173" t="e">
        <f t="shared" si="85"/>
        <v>#VALUE!</v>
      </c>
      <c r="AZ173" t="e">
        <f t="shared" si="85"/>
        <v>#VALUE!</v>
      </c>
      <c r="BA173" t="e">
        <f t="shared" si="85"/>
        <v>#VALUE!</v>
      </c>
      <c r="BB173" t="e">
        <f t="shared" si="85"/>
        <v>#VALUE!</v>
      </c>
      <c r="BC173" t="e">
        <f t="shared" si="85"/>
        <v>#VALUE!</v>
      </c>
      <c r="BD173" t="e">
        <f t="shared" si="85"/>
        <v>#VALUE!</v>
      </c>
      <c r="BE173" t="e">
        <f t="shared" si="85"/>
        <v>#VALUE!</v>
      </c>
      <c r="BF173" t="e">
        <f t="shared" si="85"/>
        <v>#VALUE!</v>
      </c>
      <c r="BG173" t="e">
        <f t="shared" si="85"/>
        <v>#VALUE!</v>
      </c>
      <c r="BH173" t="e">
        <f t="shared" si="85"/>
        <v>#VALUE!</v>
      </c>
      <c r="BI173" t="e">
        <f t="shared" si="85"/>
        <v>#VALUE!</v>
      </c>
      <c r="BJ173" t="e">
        <f t="shared" si="85"/>
        <v>#VALUE!</v>
      </c>
      <c r="BK173" t="e">
        <f t="shared" si="85"/>
        <v>#VALUE!</v>
      </c>
      <c r="BL173" t="e">
        <f t="shared" si="85"/>
        <v>#VALUE!</v>
      </c>
      <c r="BM173" t="e">
        <f t="shared" si="85"/>
        <v>#VALUE!</v>
      </c>
      <c r="BN173" t="e">
        <f t="shared" si="85"/>
        <v>#VALUE!</v>
      </c>
      <c r="BO173" t="e">
        <f t="shared" si="85"/>
        <v>#VALUE!</v>
      </c>
      <c r="BP173" t="e">
        <f t="shared" si="85"/>
        <v>#VALUE!</v>
      </c>
      <c r="BQ173" t="e">
        <f t="shared" ref="BQ173:DI180" si="86">LEFT(BQ15)+RIGHT(BQ15)</f>
        <v>#VALUE!</v>
      </c>
      <c r="BR173" t="e">
        <f t="shared" si="86"/>
        <v>#VALUE!</v>
      </c>
      <c r="BS173" t="e">
        <f t="shared" si="86"/>
        <v>#VALUE!</v>
      </c>
      <c r="BT173" t="e">
        <f t="shared" si="86"/>
        <v>#VALUE!</v>
      </c>
      <c r="BU173" t="e">
        <f t="shared" si="86"/>
        <v>#VALUE!</v>
      </c>
      <c r="BV173" t="e">
        <f t="shared" si="86"/>
        <v>#VALUE!</v>
      </c>
      <c r="BW173" t="e">
        <f t="shared" si="86"/>
        <v>#VALUE!</v>
      </c>
      <c r="BX173" t="e">
        <f t="shared" si="86"/>
        <v>#VALUE!</v>
      </c>
      <c r="BY173" t="e">
        <f t="shared" si="86"/>
        <v>#VALUE!</v>
      </c>
      <c r="BZ173" t="e">
        <f t="shared" si="86"/>
        <v>#VALUE!</v>
      </c>
      <c r="CA173" t="e">
        <f t="shared" si="86"/>
        <v>#VALUE!</v>
      </c>
      <c r="CB173" t="e">
        <f t="shared" si="86"/>
        <v>#VALUE!</v>
      </c>
      <c r="CC173" t="e">
        <f t="shared" si="86"/>
        <v>#VALUE!</v>
      </c>
      <c r="CD173" t="e">
        <f t="shared" si="86"/>
        <v>#VALUE!</v>
      </c>
      <c r="CE173" t="e">
        <f t="shared" si="86"/>
        <v>#VALUE!</v>
      </c>
      <c r="CF173" t="e">
        <f t="shared" si="86"/>
        <v>#VALUE!</v>
      </c>
      <c r="CG173" t="e">
        <f t="shared" si="86"/>
        <v>#VALUE!</v>
      </c>
      <c r="CH173" t="e">
        <f t="shared" si="86"/>
        <v>#VALUE!</v>
      </c>
      <c r="CI173" t="e">
        <f t="shared" si="86"/>
        <v>#VALUE!</v>
      </c>
      <c r="CJ173" t="e">
        <f t="shared" si="86"/>
        <v>#VALUE!</v>
      </c>
      <c r="CK173" t="e">
        <f t="shared" si="86"/>
        <v>#VALUE!</v>
      </c>
      <c r="CL173" t="e">
        <f t="shared" si="86"/>
        <v>#VALUE!</v>
      </c>
      <c r="CM173" t="e">
        <f t="shared" si="86"/>
        <v>#VALUE!</v>
      </c>
      <c r="CN173" t="e">
        <f t="shared" si="86"/>
        <v>#VALUE!</v>
      </c>
      <c r="CO173" t="e">
        <f t="shared" si="86"/>
        <v>#VALUE!</v>
      </c>
      <c r="CP173" t="e">
        <f t="shared" si="86"/>
        <v>#VALUE!</v>
      </c>
      <c r="CQ173" t="e">
        <f t="shared" si="86"/>
        <v>#VALUE!</v>
      </c>
      <c r="CR173" t="e">
        <f t="shared" si="86"/>
        <v>#VALUE!</v>
      </c>
      <c r="CS173" t="e">
        <f t="shared" si="86"/>
        <v>#VALUE!</v>
      </c>
      <c r="CT173" t="e">
        <f t="shared" si="86"/>
        <v>#VALUE!</v>
      </c>
      <c r="CU173" t="e">
        <f t="shared" si="86"/>
        <v>#VALUE!</v>
      </c>
      <c r="CV173" t="e">
        <f t="shared" si="86"/>
        <v>#VALUE!</v>
      </c>
      <c r="CW173" t="e">
        <f t="shared" si="86"/>
        <v>#VALUE!</v>
      </c>
      <c r="CX173" t="e">
        <f t="shared" si="86"/>
        <v>#VALUE!</v>
      </c>
      <c r="CY173" t="e">
        <f t="shared" si="86"/>
        <v>#VALUE!</v>
      </c>
      <c r="CZ173" t="e">
        <f t="shared" si="86"/>
        <v>#VALUE!</v>
      </c>
      <c r="DA173" t="e">
        <f t="shared" si="86"/>
        <v>#VALUE!</v>
      </c>
      <c r="DB173" t="e">
        <f t="shared" si="86"/>
        <v>#VALUE!</v>
      </c>
      <c r="DC173" t="e">
        <f t="shared" si="86"/>
        <v>#VALUE!</v>
      </c>
      <c r="DD173" t="e">
        <f t="shared" si="86"/>
        <v>#VALUE!</v>
      </c>
      <c r="DE173" t="e">
        <f t="shared" si="86"/>
        <v>#VALUE!</v>
      </c>
      <c r="DF173" t="e">
        <f t="shared" si="86"/>
        <v>#VALUE!</v>
      </c>
      <c r="DG173" t="e">
        <f t="shared" si="86"/>
        <v>#VALUE!</v>
      </c>
      <c r="DH173" t="e">
        <f t="shared" si="86"/>
        <v>#VALUE!</v>
      </c>
      <c r="DI173" t="e">
        <f t="shared" si="86"/>
        <v>#VALUE!</v>
      </c>
    </row>
    <row r="174" spans="4:113">
      <c r="E174">
        <f t="shared" si="85"/>
        <v>1</v>
      </c>
      <c r="F174">
        <f t="shared" si="85"/>
        <v>2</v>
      </c>
      <c r="G174">
        <f t="shared" si="85"/>
        <v>3</v>
      </c>
      <c r="H174">
        <f t="shared" si="85"/>
        <v>3</v>
      </c>
      <c r="I174">
        <f t="shared" si="85"/>
        <v>1</v>
      </c>
      <c r="J174">
        <f t="shared" si="85"/>
        <v>3</v>
      </c>
      <c r="K174">
        <f t="shared" si="85"/>
        <v>1</v>
      </c>
      <c r="L174">
        <f t="shared" si="85"/>
        <v>1</v>
      </c>
      <c r="M174">
        <f t="shared" si="85"/>
        <v>1</v>
      </c>
      <c r="N174">
        <f t="shared" si="85"/>
        <v>3</v>
      </c>
      <c r="O174">
        <f t="shared" si="85"/>
        <v>3</v>
      </c>
      <c r="P174">
        <f t="shared" si="85"/>
        <v>1</v>
      </c>
      <c r="Q174">
        <f t="shared" si="85"/>
        <v>1</v>
      </c>
      <c r="R174">
        <f t="shared" si="85"/>
        <v>3</v>
      </c>
      <c r="S174">
        <f t="shared" si="85"/>
        <v>4</v>
      </c>
      <c r="T174">
        <f t="shared" si="85"/>
        <v>2</v>
      </c>
      <c r="U174" t="e">
        <f t="shared" si="85"/>
        <v>#VALUE!</v>
      </c>
      <c r="V174" t="e">
        <f t="shared" si="85"/>
        <v>#VALUE!</v>
      </c>
      <c r="W174" t="e">
        <f t="shared" si="85"/>
        <v>#VALUE!</v>
      </c>
      <c r="X174" t="e">
        <f t="shared" si="85"/>
        <v>#VALUE!</v>
      </c>
      <c r="Y174" t="e">
        <f t="shared" si="85"/>
        <v>#VALUE!</v>
      </c>
      <c r="Z174" t="e">
        <f t="shared" si="85"/>
        <v>#VALUE!</v>
      </c>
      <c r="AA174" t="e">
        <f t="shared" si="85"/>
        <v>#VALUE!</v>
      </c>
      <c r="AB174" t="e">
        <f t="shared" si="85"/>
        <v>#VALUE!</v>
      </c>
      <c r="AC174" t="e">
        <f t="shared" si="85"/>
        <v>#VALUE!</v>
      </c>
      <c r="AD174" t="e">
        <f t="shared" si="85"/>
        <v>#VALUE!</v>
      </c>
      <c r="AE174" t="e">
        <f t="shared" si="85"/>
        <v>#VALUE!</v>
      </c>
      <c r="AF174" t="e">
        <f t="shared" si="85"/>
        <v>#VALUE!</v>
      </c>
      <c r="AG174" t="e">
        <f t="shared" si="85"/>
        <v>#VALUE!</v>
      </c>
      <c r="AH174" t="e">
        <f t="shared" si="85"/>
        <v>#VALUE!</v>
      </c>
      <c r="AI174" t="e">
        <f t="shared" si="85"/>
        <v>#VALUE!</v>
      </c>
      <c r="AJ174" t="e">
        <f t="shared" si="85"/>
        <v>#VALUE!</v>
      </c>
      <c r="AK174" t="e">
        <f t="shared" si="85"/>
        <v>#VALUE!</v>
      </c>
      <c r="AL174" t="e">
        <f t="shared" si="85"/>
        <v>#VALUE!</v>
      </c>
      <c r="AM174" t="e">
        <f t="shared" si="85"/>
        <v>#VALUE!</v>
      </c>
      <c r="AN174" t="e">
        <f t="shared" si="85"/>
        <v>#VALUE!</v>
      </c>
      <c r="AO174" t="e">
        <f t="shared" si="85"/>
        <v>#VALUE!</v>
      </c>
      <c r="AP174" t="e">
        <f t="shared" si="85"/>
        <v>#VALUE!</v>
      </c>
      <c r="AQ174" t="e">
        <f t="shared" si="85"/>
        <v>#VALUE!</v>
      </c>
      <c r="AR174" t="e">
        <f t="shared" si="85"/>
        <v>#VALUE!</v>
      </c>
      <c r="AS174" t="e">
        <f t="shared" si="85"/>
        <v>#VALUE!</v>
      </c>
      <c r="AT174" t="e">
        <f t="shared" si="85"/>
        <v>#VALUE!</v>
      </c>
      <c r="AU174" t="e">
        <f t="shared" si="85"/>
        <v>#VALUE!</v>
      </c>
      <c r="AV174" t="e">
        <f t="shared" si="85"/>
        <v>#VALUE!</v>
      </c>
      <c r="AW174" t="e">
        <f t="shared" si="85"/>
        <v>#VALUE!</v>
      </c>
      <c r="AX174" t="e">
        <f t="shared" si="85"/>
        <v>#VALUE!</v>
      </c>
      <c r="AY174" t="e">
        <f t="shared" si="85"/>
        <v>#VALUE!</v>
      </c>
      <c r="AZ174" t="e">
        <f t="shared" si="85"/>
        <v>#VALUE!</v>
      </c>
      <c r="BA174" t="e">
        <f t="shared" si="85"/>
        <v>#VALUE!</v>
      </c>
      <c r="BB174" t="e">
        <f t="shared" si="85"/>
        <v>#VALUE!</v>
      </c>
      <c r="BC174" t="e">
        <f t="shared" si="85"/>
        <v>#VALUE!</v>
      </c>
      <c r="BD174" t="e">
        <f t="shared" si="85"/>
        <v>#VALUE!</v>
      </c>
      <c r="BE174" t="e">
        <f t="shared" si="85"/>
        <v>#VALUE!</v>
      </c>
      <c r="BF174" t="e">
        <f t="shared" si="85"/>
        <v>#VALUE!</v>
      </c>
      <c r="BG174" t="e">
        <f t="shared" si="85"/>
        <v>#VALUE!</v>
      </c>
      <c r="BH174" t="e">
        <f t="shared" si="85"/>
        <v>#VALUE!</v>
      </c>
      <c r="BI174" t="e">
        <f t="shared" si="85"/>
        <v>#VALUE!</v>
      </c>
      <c r="BJ174" t="e">
        <f t="shared" si="85"/>
        <v>#VALUE!</v>
      </c>
      <c r="BK174" t="e">
        <f t="shared" si="85"/>
        <v>#VALUE!</v>
      </c>
      <c r="BL174" t="e">
        <f t="shared" si="85"/>
        <v>#VALUE!</v>
      </c>
      <c r="BM174" t="e">
        <f t="shared" si="85"/>
        <v>#VALUE!</v>
      </c>
      <c r="BN174" t="e">
        <f t="shared" si="85"/>
        <v>#VALUE!</v>
      </c>
      <c r="BO174" t="e">
        <f t="shared" si="85"/>
        <v>#VALUE!</v>
      </c>
      <c r="BP174" t="e">
        <f t="shared" si="85"/>
        <v>#VALUE!</v>
      </c>
      <c r="BQ174" t="e">
        <f t="shared" si="86"/>
        <v>#VALUE!</v>
      </c>
      <c r="BR174" t="e">
        <f t="shared" si="86"/>
        <v>#VALUE!</v>
      </c>
      <c r="BS174" t="e">
        <f t="shared" si="86"/>
        <v>#VALUE!</v>
      </c>
      <c r="BT174" t="e">
        <f t="shared" si="86"/>
        <v>#VALUE!</v>
      </c>
      <c r="BU174" t="e">
        <f t="shared" si="86"/>
        <v>#VALUE!</v>
      </c>
      <c r="BV174" t="e">
        <f t="shared" si="86"/>
        <v>#VALUE!</v>
      </c>
      <c r="BW174" t="e">
        <f t="shared" si="86"/>
        <v>#VALUE!</v>
      </c>
      <c r="BX174" t="e">
        <f t="shared" si="86"/>
        <v>#VALUE!</v>
      </c>
      <c r="BY174" t="e">
        <f t="shared" si="86"/>
        <v>#VALUE!</v>
      </c>
      <c r="BZ174" t="e">
        <f t="shared" si="86"/>
        <v>#VALUE!</v>
      </c>
      <c r="CA174" t="e">
        <f t="shared" si="86"/>
        <v>#VALUE!</v>
      </c>
      <c r="CB174" t="e">
        <f t="shared" si="86"/>
        <v>#VALUE!</v>
      </c>
      <c r="CC174" t="e">
        <f t="shared" si="86"/>
        <v>#VALUE!</v>
      </c>
      <c r="CD174" t="e">
        <f t="shared" si="86"/>
        <v>#VALUE!</v>
      </c>
      <c r="CE174" t="e">
        <f t="shared" si="86"/>
        <v>#VALUE!</v>
      </c>
      <c r="CF174" t="e">
        <f t="shared" si="86"/>
        <v>#VALUE!</v>
      </c>
      <c r="CG174" t="e">
        <f t="shared" si="86"/>
        <v>#VALUE!</v>
      </c>
      <c r="CH174" t="e">
        <f t="shared" si="86"/>
        <v>#VALUE!</v>
      </c>
      <c r="CI174" t="e">
        <f t="shared" si="86"/>
        <v>#VALUE!</v>
      </c>
      <c r="CJ174" t="e">
        <f t="shared" si="86"/>
        <v>#VALUE!</v>
      </c>
      <c r="CK174" t="e">
        <f t="shared" si="86"/>
        <v>#VALUE!</v>
      </c>
      <c r="CL174" t="e">
        <f t="shared" si="86"/>
        <v>#VALUE!</v>
      </c>
      <c r="CM174" t="e">
        <f t="shared" si="86"/>
        <v>#VALUE!</v>
      </c>
      <c r="CN174" t="e">
        <f t="shared" si="86"/>
        <v>#VALUE!</v>
      </c>
      <c r="CO174" t="e">
        <f t="shared" si="86"/>
        <v>#VALUE!</v>
      </c>
      <c r="CP174" t="e">
        <f t="shared" si="86"/>
        <v>#VALUE!</v>
      </c>
      <c r="CQ174" t="e">
        <f t="shared" si="86"/>
        <v>#VALUE!</v>
      </c>
      <c r="CR174" t="e">
        <f t="shared" si="86"/>
        <v>#VALUE!</v>
      </c>
      <c r="CS174" t="e">
        <f t="shared" si="86"/>
        <v>#VALUE!</v>
      </c>
      <c r="CT174" t="e">
        <f t="shared" si="86"/>
        <v>#VALUE!</v>
      </c>
      <c r="CU174" t="e">
        <f t="shared" si="86"/>
        <v>#VALUE!</v>
      </c>
      <c r="CV174" t="e">
        <f t="shared" si="86"/>
        <v>#VALUE!</v>
      </c>
      <c r="CW174" t="e">
        <f t="shared" si="86"/>
        <v>#VALUE!</v>
      </c>
      <c r="CX174" t="e">
        <f t="shared" si="86"/>
        <v>#VALUE!</v>
      </c>
      <c r="CY174" t="e">
        <f t="shared" si="86"/>
        <v>#VALUE!</v>
      </c>
      <c r="CZ174" t="e">
        <f t="shared" si="86"/>
        <v>#VALUE!</v>
      </c>
      <c r="DA174" t="e">
        <f t="shared" si="86"/>
        <v>#VALUE!</v>
      </c>
      <c r="DB174" t="e">
        <f t="shared" si="86"/>
        <v>#VALUE!</v>
      </c>
      <c r="DC174" t="e">
        <f t="shared" si="86"/>
        <v>#VALUE!</v>
      </c>
      <c r="DD174" t="e">
        <f t="shared" si="86"/>
        <v>#VALUE!</v>
      </c>
      <c r="DE174" t="e">
        <f t="shared" si="86"/>
        <v>#VALUE!</v>
      </c>
      <c r="DF174" t="e">
        <f t="shared" si="86"/>
        <v>#VALUE!</v>
      </c>
      <c r="DG174" t="e">
        <f t="shared" si="86"/>
        <v>#VALUE!</v>
      </c>
      <c r="DH174" t="e">
        <f t="shared" si="86"/>
        <v>#VALUE!</v>
      </c>
      <c r="DI174" t="e">
        <f t="shared" si="86"/>
        <v>#VALUE!</v>
      </c>
    </row>
    <row r="175" spans="4:113">
      <c r="E175">
        <f t="shared" si="85"/>
        <v>3</v>
      </c>
      <c r="F175">
        <f t="shared" si="85"/>
        <v>2</v>
      </c>
      <c r="G175">
        <f t="shared" si="85"/>
        <v>3</v>
      </c>
      <c r="H175">
        <f t="shared" si="85"/>
        <v>3</v>
      </c>
      <c r="I175">
        <f t="shared" si="85"/>
        <v>2</v>
      </c>
      <c r="J175">
        <f t="shared" si="85"/>
        <v>2</v>
      </c>
      <c r="K175">
        <f t="shared" si="85"/>
        <v>3</v>
      </c>
      <c r="L175">
        <f t="shared" si="85"/>
        <v>2</v>
      </c>
      <c r="M175">
        <f t="shared" si="85"/>
        <v>1</v>
      </c>
      <c r="N175">
        <f t="shared" si="85"/>
        <v>4</v>
      </c>
      <c r="O175">
        <f t="shared" si="85"/>
        <v>2</v>
      </c>
      <c r="P175">
        <f t="shared" si="85"/>
        <v>3</v>
      </c>
      <c r="Q175">
        <f t="shared" si="85"/>
        <v>2</v>
      </c>
      <c r="R175">
        <f t="shared" si="85"/>
        <v>3</v>
      </c>
      <c r="S175">
        <f t="shared" si="85"/>
        <v>5</v>
      </c>
      <c r="T175">
        <f t="shared" si="85"/>
        <v>1</v>
      </c>
      <c r="U175" t="e">
        <f t="shared" si="85"/>
        <v>#VALUE!</v>
      </c>
      <c r="V175" t="e">
        <f t="shared" si="85"/>
        <v>#VALUE!</v>
      </c>
      <c r="W175" t="e">
        <f t="shared" si="85"/>
        <v>#VALUE!</v>
      </c>
      <c r="X175" t="e">
        <f t="shared" si="85"/>
        <v>#VALUE!</v>
      </c>
      <c r="Y175" t="e">
        <f t="shared" si="85"/>
        <v>#VALUE!</v>
      </c>
      <c r="Z175" t="e">
        <f t="shared" si="85"/>
        <v>#VALUE!</v>
      </c>
      <c r="AA175" t="e">
        <f t="shared" si="85"/>
        <v>#VALUE!</v>
      </c>
      <c r="AB175" t="e">
        <f t="shared" si="85"/>
        <v>#VALUE!</v>
      </c>
      <c r="AC175" t="e">
        <f t="shared" si="85"/>
        <v>#VALUE!</v>
      </c>
      <c r="AD175" t="e">
        <f t="shared" si="85"/>
        <v>#VALUE!</v>
      </c>
      <c r="AE175" t="e">
        <f t="shared" si="85"/>
        <v>#VALUE!</v>
      </c>
      <c r="AF175" t="e">
        <f t="shared" si="85"/>
        <v>#VALUE!</v>
      </c>
      <c r="AG175" t="e">
        <f t="shared" si="85"/>
        <v>#VALUE!</v>
      </c>
      <c r="AH175" t="e">
        <f t="shared" si="85"/>
        <v>#VALUE!</v>
      </c>
      <c r="AI175" t="e">
        <f t="shared" si="85"/>
        <v>#VALUE!</v>
      </c>
      <c r="AJ175" t="e">
        <f t="shared" si="85"/>
        <v>#VALUE!</v>
      </c>
      <c r="AK175" t="e">
        <f t="shared" si="85"/>
        <v>#VALUE!</v>
      </c>
      <c r="AL175" t="e">
        <f t="shared" si="85"/>
        <v>#VALUE!</v>
      </c>
      <c r="AM175" t="e">
        <f t="shared" si="85"/>
        <v>#VALUE!</v>
      </c>
      <c r="AN175" t="e">
        <f t="shared" si="85"/>
        <v>#VALUE!</v>
      </c>
      <c r="AO175" t="e">
        <f t="shared" si="85"/>
        <v>#VALUE!</v>
      </c>
      <c r="AP175" t="e">
        <f t="shared" si="85"/>
        <v>#VALUE!</v>
      </c>
      <c r="AQ175" t="e">
        <f t="shared" si="85"/>
        <v>#VALUE!</v>
      </c>
      <c r="AR175" t="e">
        <f t="shared" si="85"/>
        <v>#VALUE!</v>
      </c>
      <c r="AS175" t="e">
        <f t="shared" si="85"/>
        <v>#VALUE!</v>
      </c>
      <c r="AT175" t="e">
        <f t="shared" si="85"/>
        <v>#VALUE!</v>
      </c>
      <c r="AU175" t="e">
        <f t="shared" si="85"/>
        <v>#VALUE!</v>
      </c>
      <c r="AV175" t="e">
        <f t="shared" si="85"/>
        <v>#VALUE!</v>
      </c>
      <c r="AW175" t="e">
        <f t="shared" si="85"/>
        <v>#VALUE!</v>
      </c>
      <c r="AX175" t="e">
        <f t="shared" si="85"/>
        <v>#VALUE!</v>
      </c>
      <c r="AY175" t="e">
        <f t="shared" si="85"/>
        <v>#VALUE!</v>
      </c>
      <c r="AZ175" t="e">
        <f t="shared" si="85"/>
        <v>#VALUE!</v>
      </c>
      <c r="BA175" t="e">
        <f t="shared" si="85"/>
        <v>#VALUE!</v>
      </c>
      <c r="BB175" t="e">
        <f t="shared" si="85"/>
        <v>#VALUE!</v>
      </c>
      <c r="BC175" t="e">
        <f t="shared" si="85"/>
        <v>#VALUE!</v>
      </c>
      <c r="BD175" t="e">
        <f t="shared" si="85"/>
        <v>#VALUE!</v>
      </c>
      <c r="BE175" t="e">
        <f t="shared" si="85"/>
        <v>#VALUE!</v>
      </c>
      <c r="BF175" t="e">
        <f t="shared" si="85"/>
        <v>#VALUE!</v>
      </c>
      <c r="BG175" t="e">
        <f t="shared" si="85"/>
        <v>#VALUE!</v>
      </c>
      <c r="BH175" t="e">
        <f t="shared" si="85"/>
        <v>#VALUE!</v>
      </c>
      <c r="BI175" t="e">
        <f t="shared" si="85"/>
        <v>#VALUE!</v>
      </c>
      <c r="BJ175" t="e">
        <f t="shared" si="85"/>
        <v>#VALUE!</v>
      </c>
      <c r="BK175" t="e">
        <f t="shared" si="85"/>
        <v>#VALUE!</v>
      </c>
      <c r="BL175" t="e">
        <f t="shared" si="85"/>
        <v>#VALUE!</v>
      </c>
      <c r="BM175" t="e">
        <f t="shared" si="85"/>
        <v>#VALUE!</v>
      </c>
      <c r="BN175" t="e">
        <f t="shared" si="85"/>
        <v>#VALUE!</v>
      </c>
      <c r="BO175" t="e">
        <f t="shared" si="85"/>
        <v>#VALUE!</v>
      </c>
      <c r="BP175" t="e">
        <f t="shared" si="85"/>
        <v>#VALUE!</v>
      </c>
      <c r="BQ175" t="e">
        <f t="shared" si="86"/>
        <v>#VALUE!</v>
      </c>
      <c r="BR175" t="e">
        <f t="shared" si="86"/>
        <v>#VALUE!</v>
      </c>
      <c r="BS175" t="e">
        <f t="shared" si="86"/>
        <v>#VALUE!</v>
      </c>
      <c r="BT175" t="e">
        <f t="shared" si="86"/>
        <v>#VALUE!</v>
      </c>
      <c r="BU175" t="e">
        <f t="shared" si="86"/>
        <v>#VALUE!</v>
      </c>
      <c r="BV175" t="e">
        <f t="shared" si="86"/>
        <v>#VALUE!</v>
      </c>
      <c r="BW175" t="e">
        <f t="shared" si="86"/>
        <v>#VALUE!</v>
      </c>
      <c r="BX175" t="e">
        <f t="shared" si="86"/>
        <v>#VALUE!</v>
      </c>
      <c r="BY175" t="e">
        <f t="shared" si="86"/>
        <v>#VALUE!</v>
      </c>
      <c r="BZ175" t="e">
        <f t="shared" si="86"/>
        <v>#VALUE!</v>
      </c>
      <c r="CA175" t="e">
        <f t="shared" si="86"/>
        <v>#VALUE!</v>
      </c>
      <c r="CB175" t="e">
        <f t="shared" si="86"/>
        <v>#VALUE!</v>
      </c>
      <c r="CC175" t="e">
        <f t="shared" si="86"/>
        <v>#VALUE!</v>
      </c>
      <c r="CD175" t="e">
        <f t="shared" si="86"/>
        <v>#VALUE!</v>
      </c>
      <c r="CE175" t="e">
        <f t="shared" si="86"/>
        <v>#VALUE!</v>
      </c>
      <c r="CF175" t="e">
        <f t="shared" si="86"/>
        <v>#VALUE!</v>
      </c>
      <c r="CG175" t="e">
        <f t="shared" si="86"/>
        <v>#VALUE!</v>
      </c>
      <c r="CH175" t="e">
        <f t="shared" si="86"/>
        <v>#VALUE!</v>
      </c>
      <c r="CI175" t="e">
        <f t="shared" si="86"/>
        <v>#VALUE!</v>
      </c>
      <c r="CJ175" t="e">
        <f t="shared" si="86"/>
        <v>#VALUE!</v>
      </c>
      <c r="CK175" t="e">
        <f t="shared" si="86"/>
        <v>#VALUE!</v>
      </c>
      <c r="CL175" t="e">
        <f t="shared" si="86"/>
        <v>#VALUE!</v>
      </c>
      <c r="CM175" t="e">
        <f t="shared" si="86"/>
        <v>#VALUE!</v>
      </c>
      <c r="CN175" t="e">
        <f t="shared" si="86"/>
        <v>#VALUE!</v>
      </c>
      <c r="CO175" t="e">
        <f t="shared" si="86"/>
        <v>#VALUE!</v>
      </c>
      <c r="CP175" t="e">
        <f t="shared" si="86"/>
        <v>#VALUE!</v>
      </c>
      <c r="CQ175" t="e">
        <f t="shared" si="86"/>
        <v>#VALUE!</v>
      </c>
      <c r="CR175" t="e">
        <f t="shared" si="86"/>
        <v>#VALUE!</v>
      </c>
      <c r="CS175" t="e">
        <f t="shared" si="86"/>
        <v>#VALUE!</v>
      </c>
      <c r="CT175" t="e">
        <f t="shared" si="86"/>
        <v>#VALUE!</v>
      </c>
      <c r="CU175" t="e">
        <f t="shared" si="86"/>
        <v>#VALUE!</v>
      </c>
      <c r="CV175" t="e">
        <f t="shared" si="86"/>
        <v>#VALUE!</v>
      </c>
      <c r="CW175" t="e">
        <f t="shared" si="86"/>
        <v>#VALUE!</v>
      </c>
      <c r="CX175" t="e">
        <f t="shared" si="86"/>
        <v>#VALUE!</v>
      </c>
      <c r="CY175" t="e">
        <f t="shared" si="86"/>
        <v>#VALUE!</v>
      </c>
      <c r="CZ175" t="e">
        <f t="shared" si="86"/>
        <v>#VALUE!</v>
      </c>
      <c r="DA175" t="e">
        <f t="shared" si="86"/>
        <v>#VALUE!</v>
      </c>
      <c r="DB175" t="e">
        <f t="shared" si="86"/>
        <v>#VALUE!</v>
      </c>
      <c r="DC175" t="e">
        <f t="shared" si="86"/>
        <v>#VALUE!</v>
      </c>
      <c r="DD175" t="e">
        <f t="shared" si="86"/>
        <v>#VALUE!</v>
      </c>
      <c r="DE175" t="e">
        <f t="shared" si="86"/>
        <v>#VALUE!</v>
      </c>
      <c r="DF175" t="e">
        <f t="shared" si="86"/>
        <v>#VALUE!</v>
      </c>
      <c r="DG175" t="e">
        <f t="shared" si="86"/>
        <v>#VALUE!</v>
      </c>
      <c r="DH175" t="e">
        <f t="shared" si="86"/>
        <v>#VALUE!</v>
      </c>
      <c r="DI175" t="e">
        <f t="shared" si="86"/>
        <v>#VALUE!</v>
      </c>
    </row>
    <row r="176" spans="4:113">
      <c r="E176">
        <f t="shared" si="85"/>
        <v>1</v>
      </c>
      <c r="F176">
        <f t="shared" si="85"/>
        <v>1</v>
      </c>
      <c r="G176">
        <f t="shared" si="85"/>
        <v>2</v>
      </c>
      <c r="H176">
        <f t="shared" si="85"/>
        <v>2</v>
      </c>
      <c r="I176">
        <f t="shared" si="85"/>
        <v>3</v>
      </c>
      <c r="J176">
        <f t="shared" si="85"/>
        <v>2</v>
      </c>
      <c r="K176">
        <f t="shared" si="85"/>
        <v>2</v>
      </c>
      <c r="L176">
        <f t="shared" si="85"/>
        <v>2</v>
      </c>
      <c r="M176">
        <f t="shared" si="85"/>
        <v>2</v>
      </c>
      <c r="N176">
        <f t="shared" si="85"/>
        <v>2</v>
      </c>
      <c r="O176">
        <f t="shared" si="85"/>
        <v>2</v>
      </c>
      <c r="P176">
        <f t="shared" si="85"/>
        <v>1</v>
      </c>
      <c r="Q176">
        <f t="shared" si="85"/>
        <v>1</v>
      </c>
      <c r="R176">
        <f t="shared" si="85"/>
        <v>2</v>
      </c>
      <c r="S176">
        <f t="shared" si="85"/>
        <v>3</v>
      </c>
      <c r="T176">
        <f t="shared" si="85"/>
        <v>1</v>
      </c>
      <c r="U176" t="e">
        <f t="shared" si="85"/>
        <v>#VALUE!</v>
      </c>
      <c r="V176" t="e">
        <f t="shared" si="85"/>
        <v>#VALUE!</v>
      </c>
      <c r="W176" t="e">
        <f t="shared" si="85"/>
        <v>#VALUE!</v>
      </c>
      <c r="X176" t="e">
        <f t="shared" si="85"/>
        <v>#VALUE!</v>
      </c>
      <c r="Y176" t="e">
        <f t="shared" si="85"/>
        <v>#VALUE!</v>
      </c>
      <c r="Z176" t="e">
        <f t="shared" si="85"/>
        <v>#VALUE!</v>
      </c>
      <c r="AA176" t="e">
        <f t="shared" si="85"/>
        <v>#VALUE!</v>
      </c>
      <c r="AB176" t="e">
        <f t="shared" si="85"/>
        <v>#VALUE!</v>
      </c>
      <c r="AC176" t="e">
        <f t="shared" si="85"/>
        <v>#VALUE!</v>
      </c>
      <c r="AD176" t="e">
        <f t="shared" si="85"/>
        <v>#VALUE!</v>
      </c>
      <c r="AE176" t="e">
        <f t="shared" si="85"/>
        <v>#VALUE!</v>
      </c>
      <c r="AF176" t="e">
        <f t="shared" si="85"/>
        <v>#VALUE!</v>
      </c>
      <c r="AG176" t="e">
        <f t="shared" si="85"/>
        <v>#VALUE!</v>
      </c>
      <c r="AH176" t="e">
        <f t="shared" si="85"/>
        <v>#VALUE!</v>
      </c>
      <c r="AI176" t="e">
        <f t="shared" si="85"/>
        <v>#VALUE!</v>
      </c>
      <c r="AJ176" t="e">
        <f t="shared" si="85"/>
        <v>#VALUE!</v>
      </c>
      <c r="AK176" t="e">
        <f t="shared" si="85"/>
        <v>#VALUE!</v>
      </c>
      <c r="AL176" t="e">
        <f t="shared" si="85"/>
        <v>#VALUE!</v>
      </c>
      <c r="AM176" t="e">
        <f t="shared" si="85"/>
        <v>#VALUE!</v>
      </c>
      <c r="AN176" t="e">
        <f t="shared" si="85"/>
        <v>#VALUE!</v>
      </c>
      <c r="AO176" t="e">
        <f t="shared" si="85"/>
        <v>#VALUE!</v>
      </c>
      <c r="AP176" t="e">
        <f t="shared" si="85"/>
        <v>#VALUE!</v>
      </c>
      <c r="AQ176" t="e">
        <f t="shared" si="85"/>
        <v>#VALUE!</v>
      </c>
      <c r="AR176" t="e">
        <f t="shared" si="85"/>
        <v>#VALUE!</v>
      </c>
      <c r="AS176" t="e">
        <f t="shared" si="85"/>
        <v>#VALUE!</v>
      </c>
      <c r="AT176" t="e">
        <f t="shared" si="85"/>
        <v>#VALUE!</v>
      </c>
      <c r="AU176" t="e">
        <f t="shared" si="85"/>
        <v>#VALUE!</v>
      </c>
      <c r="AV176" t="e">
        <f t="shared" si="85"/>
        <v>#VALUE!</v>
      </c>
      <c r="AW176" t="e">
        <f t="shared" si="85"/>
        <v>#VALUE!</v>
      </c>
      <c r="AX176" t="e">
        <f t="shared" si="85"/>
        <v>#VALUE!</v>
      </c>
      <c r="AY176" t="e">
        <f t="shared" si="85"/>
        <v>#VALUE!</v>
      </c>
      <c r="AZ176" t="e">
        <f t="shared" si="85"/>
        <v>#VALUE!</v>
      </c>
      <c r="BA176" t="e">
        <f t="shared" si="85"/>
        <v>#VALUE!</v>
      </c>
      <c r="BB176" t="e">
        <f t="shared" si="85"/>
        <v>#VALUE!</v>
      </c>
      <c r="BC176" t="e">
        <f t="shared" si="85"/>
        <v>#VALUE!</v>
      </c>
      <c r="BD176" t="e">
        <f t="shared" si="85"/>
        <v>#VALUE!</v>
      </c>
      <c r="BE176" t="e">
        <f t="shared" si="85"/>
        <v>#VALUE!</v>
      </c>
      <c r="BF176" t="e">
        <f t="shared" si="85"/>
        <v>#VALUE!</v>
      </c>
      <c r="BG176" t="e">
        <f t="shared" si="85"/>
        <v>#VALUE!</v>
      </c>
      <c r="BH176" t="e">
        <f t="shared" si="85"/>
        <v>#VALUE!</v>
      </c>
      <c r="BI176" t="e">
        <f t="shared" si="85"/>
        <v>#VALUE!</v>
      </c>
      <c r="BJ176" t="e">
        <f t="shared" si="85"/>
        <v>#VALUE!</v>
      </c>
      <c r="BK176" t="e">
        <f t="shared" si="85"/>
        <v>#VALUE!</v>
      </c>
      <c r="BL176" t="e">
        <f t="shared" si="85"/>
        <v>#VALUE!</v>
      </c>
      <c r="BM176" t="e">
        <f t="shared" si="85"/>
        <v>#VALUE!</v>
      </c>
      <c r="BN176" t="e">
        <f t="shared" si="85"/>
        <v>#VALUE!</v>
      </c>
      <c r="BO176" t="e">
        <f t="shared" si="85"/>
        <v>#VALUE!</v>
      </c>
      <c r="BP176" t="e">
        <f t="shared" ref="BP176:CF179" si="87">LEFT(BP18)+RIGHT(BP18)</f>
        <v>#VALUE!</v>
      </c>
      <c r="BQ176" t="e">
        <f t="shared" si="87"/>
        <v>#VALUE!</v>
      </c>
      <c r="BR176" t="e">
        <f t="shared" si="87"/>
        <v>#VALUE!</v>
      </c>
      <c r="BS176" t="e">
        <f t="shared" si="87"/>
        <v>#VALUE!</v>
      </c>
      <c r="BT176" t="e">
        <f t="shared" si="87"/>
        <v>#VALUE!</v>
      </c>
      <c r="BU176" t="e">
        <f t="shared" si="87"/>
        <v>#VALUE!</v>
      </c>
      <c r="BV176" t="e">
        <f t="shared" si="87"/>
        <v>#VALUE!</v>
      </c>
      <c r="BW176" t="e">
        <f t="shared" si="87"/>
        <v>#VALUE!</v>
      </c>
      <c r="BX176" t="e">
        <f t="shared" si="87"/>
        <v>#VALUE!</v>
      </c>
      <c r="BY176" t="e">
        <f t="shared" si="87"/>
        <v>#VALUE!</v>
      </c>
      <c r="BZ176" t="e">
        <f t="shared" si="87"/>
        <v>#VALUE!</v>
      </c>
      <c r="CA176" t="e">
        <f t="shared" si="87"/>
        <v>#VALUE!</v>
      </c>
      <c r="CB176" t="e">
        <f t="shared" si="87"/>
        <v>#VALUE!</v>
      </c>
      <c r="CC176" t="e">
        <f t="shared" si="87"/>
        <v>#VALUE!</v>
      </c>
      <c r="CD176" t="e">
        <f t="shared" si="87"/>
        <v>#VALUE!</v>
      </c>
      <c r="CE176" t="e">
        <f t="shared" si="87"/>
        <v>#VALUE!</v>
      </c>
      <c r="CF176" t="e">
        <f t="shared" si="87"/>
        <v>#VALUE!</v>
      </c>
      <c r="CG176" t="e">
        <f t="shared" si="86"/>
        <v>#VALUE!</v>
      </c>
      <c r="CH176" t="e">
        <f t="shared" si="86"/>
        <v>#VALUE!</v>
      </c>
      <c r="CI176" t="e">
        <f t="shared" si="86"/>
        <v>#VALUE!</v>
      </c>
      <c r="CJ176" t="e">
        <f t="shared" si="86"/>
        <v>#VALUE!</v>
      </c>
      <c r="CK176" t="e">
        <f t="shared" si="86"/>
        <v>#VALUE!</v>
      </c>
      <c r="CL176" t="e">
        <f t="shared" si="86"/>
        <v>#VALUE!</v>
      </c>
      <c r="CM176" t="e">
        <f t="shared" si="86"/>
        <v>#VALUE!</v>
      </c>
      <c r="CN176" t="e">
        <f t="shared" si="86"/>
        <v>#VALUE!</v>
      </c>
      <c r="CO176" t="e">
        <f t="shared" si="86"/>
        <v>#VALUE!</v>
      </c>
      <c r="CP176" t="e">
        <f t="shared" si="86"/>
        <v>#VALUE!</v>
      </c>
      <c r="CQ176" t="e">
        <f t="shared" si="86"/>
        <v>#VALUE!</v>
      </c>
      <c r="CR176" t="e">
        <f t="shared" si="86"/>
        <v>#VALUE!</v>
      </c>
      <c r="CS176" t="e">
        <f t="shared" si="86"/>
        <v>#VALUE!</v>
      </c>
      <c r="CT176" t="e">
        <f t="shared" si="86"/>
        <v>#VALUE!</v>
      </c>
      <c r="CU176" t="e">
        <f t="shared" si="86"/>
        <v>#VALUE!</v>
      </c>
      <c r="CV176" t="e">
        <f t="shared" si="86"/>
        <v>#VALUE!</v>
      </c>
      <c r="CW176" t="e">
        <f t="shared" si="86"/>
        <v>#VALUE!</v>
      </c>
      <c r="CX176" t="e">
        <f t="shared" si="86"/>
        <v>#VALUE!</v>
      </c>
      <c r="CY176" t="e">
        <f t="shared" si="86"/>
        <v>#VALUE!</v>
      </c>
      <c r="CZ176" t="e">
        <f t="shared" si="86"/>
        <v>#VALUE!</v>
      </c>
      <c r="DA176" t="e">
        <f t="shared" si="86"/>
        <v>#VALUE!</v>
      </c>
      <c r="DB176" t="e">
        <f t="shared" si="86"/>
        <v>#VALUE!</v>
      </c>
      <c r="DC176" t="e">
        <f t="shared" si="86"/>
        <v>#VALUE!</v>
      </c>
      <c r="DD176" t="e">
        <f t="shared" si="86"/>
        <v>#VALUE!</v>
      </c>
      <c r="DE176" t="e">
        <f t="shared" si="86"/>
        <v>#VALUE!</v>
      </c>
      <c r="DF176" t="e">
        <f t="shared" si="86"/>
        <v>#VALUE!</v>
      </c>
      <c r="DG176" t="e">
        <f t="shared" si="86"/>
        <v>#VALUE!</v>
      </c>
      <c r="DH176" t="e">
        <f t="shared" si="86"/>
        <v>#VALUE!</v>
      </c>
      <c r="DI176" t="e">
        <f t="shared" si="86"/>
        <v>#VALUE!</v>
      </c>
    </row>
    <row r="177" spans="5:113">
      <c r="E177">
        <f t="shared" ref="E177:BP180" si="88">LEFT(E19)+RIGHT(E19)</f>
        <v>2</v>
      </c>
      <c r="F177">
        <f t="shared" si="88"/>
        <v>2</v>
      </c>
      <c r="G177">
        <f t="shared" si="88"/>
        <v>4</v>
      </c>
      <c r="H177">
        <f t="shared" si="88"/>
        <v>3</v>
      </c>
      <c r="I177">
        <f t="shared" si="88"/>
        <v>2</v>
      </c>
      <c r="J177">
        <f t="shared" si="88"/>
        <v>3</v>
      </c>
      <c r="K177">
        <f t="shared" si="88"/>
        <v>2</v>
      </c>
      <c r="L177">
        <f t="shared" si="88"/>
        <v>2</v>
      </c>
      <c r="M177">
        <f t="shared" si="88"/>
        <v>3</v>
      </c>
      <c r="N177">
        <f t="shared" si="88"/>
        <v>3</v>
      </c>
      <c r="O177">
        <f t="shared" si="88"/>
        <v>1</v>
      </c>
      <c r="P177">
        <f t="shared" si="88"/>
        <v>1</v>
      </c>
      <c r="Q177">
        <f t="shared" si="88"/>
        <v>1</v>
      </c>
      <c r="R177">
        <f t="shared" si="88"/>
        <v>3</v>
      </c>
      <c r="S177">
        <f t="shared" si="88"/>
        <v>2</v>
      </c>
      <c r="T177">
        <f t="shared" si="88"/>
        <v>2</v>
      </c>
      <c r="U177" t="e">
        <f t="shared" si="88"/>
        <v>#VALUE!</v>
      </c>
      <c r="V177" t="e">
        <f t="shared" si="88"/>
        <v>#VALUE!</v>
      </c>
      <c r="W177" t="e">
        <f t="shared" si="88"/>
        <v>#VALUE!</v>
      </c>
      <c r="X177" t="e">
        <f t="shared" si="88"/>
        <v>#VALUE!</v>
      </c>
      <c r="Y177" t="e">
        <f t="shared" si="88"/>
        <v>#VALUE!</v>
      </c>
      <c r="Z177" t="e">
        <f t="shared" si="88"/>
        <v>#VALUE!</v>
      </c>
      <c r="AA177" t="e">
        <f t="shared" si="88"/>
        <v>#VALUE!</v>
      </c>
      <c r="AB177" t="e">
        <f t="shared" si="88"/>
        <v>#VALUE!</v>
      </c>
      <c r="AC177" t="e">
        <f t="shared" si="88"/>
        <v>#VALUE!</v>
      </c>
      <c r="AD177" t="e">
        <f t="shared" si="88"/>
        <v>#VALUE!</v>
      </c>
      <c r="AE177" t="e">
        <f t="shared" si="88"/>
        <v>#VALUE!</v>
      </c>
      <c r="AF177" t="e">
        <f t="shared" si="88"/>
        <v>#VALUE!</v>
      </c>
      <c r="AG177" t="e">
        <f t="shared" si="88"/>
        <v>#VALUE!</v>
      </c>
      <c r="AH177" t="e">
        <f t="shared" si="88"/>
        <v>#VALUE!</v>
      </c>
      <c r="AI177" t="e">
        <f t="shared" si="88"/>
        <v>#VALUE!</v>
      </c>
      <c r="AJ177" t="e">
        <f t="shared" si="88"/>
        <v>#VALUE!</v>
      </c>
      <c r="AK177" t="e">
        <f t="shared" si="88"/>
        <v>#VALUE!</v>
      </c>
      <c r="AL177" t="e">
        <f t="shared" si="88"/>
        <v>#VALUE!</v>
      </c>
      <c r="AM177" t="e">
        <f t="shared" si="88"/>
        <v>#VALUE!</v>
      </c>
      <c r="AN177" t="e">
        <f t="shared" si="88"/>
        <v>#VALUE!</v>
      </c>
      <c r="AO177" t="e">
        <f t="shared" si="88"/>
        <v>#VALUE!</v>
      </c>
      <c r="AP177" t="e">
        <f t="shared" si="88"/>
        <v>#VALUE!</v>
      </c>
      <c r="AQ177" t="e">
        <f t="shared" si="88"/>
        <v>#VALUE!</v>
      </c>
      <c r="AR177" t="e">
        <f t="shared" si="88"/>
        <v>#VALUE!</v>
      </c>
      <c r="AS177" t="e">
        <f t="shared" si="88"/>
        <v>#VALUE!</v>
      </c>
      <c r="AT177" t="e">
        <f t="shared" si="88"/>
        <v>#VALUE!</v>
      </c>
      <c r="AU177" t="e">
        <f t="shared" si="88"/>
        <v>#VALUE!</v>
      </c>
      <c r="AV177" t="e">
        <f t="shared" si="88"/>
        <v>#VALUE!</v>
      </c>
      <c r="AW177" t="e">
        <f t="shared" si="88"/>
        <v>#VALUE!</v>
      </c>
      <c r="AX177" t="e">
        <f t="shared" si="88"/>
        <v>#VALUE!</v>
      </c>
      <c r="AY177" t="e">
        <f t="shared" si="88"/>
        <v>#VALUE!</v>
      </c>
      <c r="AZ177" t="e">
        <f t="shared" si="88"/>
        <v>#VALUE!</v>
      </c>
      <c r="BA177" t="e">
        <f t="shared" si="88"/>
        <v>#VALUE!</v>
      </c>
      <c r="BB177" t="e">
        <f t="shared" si="88"/>
        <v>#VALUE!</v>
      </c>
      <c r="BC177" t="e">
        <f t="shared" si="88"/>
        <v>#VALUE!</v>
      </c>
      <c r="BD177" t="e">
        <f t="shared" si="88"/>
        <v>#VALUE!</v>
      </c>
      <c r="BE177" t="e">
        <f t="shared" si="88"/>
        <v>#VALUE!</v>
      </c>
      <c r="BF177" t="e">
        <f t="shared" si="88"/>
        <v>#VALUE!</v>
      </c>
      <c r="BG177" t="e">
        <f t="shared" si="88"/>
        <v>#VALUE!</v>
      </c>
      <c r="BH177" t="e">
        <f t="shared" si="88"/>
        <v>#VALUE!</v>
      </c>
      <c r="BI177" t="e">
        <f t="shared" si="88"/>
        <v>#VALUE!</v>
      </c>
      <c r="BJ177" t="e">
        <f t="shared" si="88"/>
        <v>#VALUE!</v>
      </c>
      <c r="BK177" t="e">
        <f t="shared" si="88"/>
        <v>#VALUE!</v>
      </c>
      <c r="BL177" t="e">
        <f t="shared" si="88"/>
        <v>#VALUE!</v>
      </c>
      <c r="BM177" t="e">
        <f t="shared" si="88"/>
        <v>#VALUE!</v>
      </c>
      <c r="BN177" t="e">
        <f t="shared" si="88"/>
        <v>#VALUE!</v>
      </c>
      <c r="BO177" t="e">
        <f t="shared" si="88"/>
        <v>#VALUE!</v>
      </c>
      <c r="BP177" t="e">
        <f t="shared" si="88"/>
        <v>#VALUE!</v>
      </c>
      <c r="BQ177" t="e">
        <f t="shared" si="87"/>
        <v>#VALUE!</v>
      </c>
      <c r="BR177" t="e">
        <f t="shared" si="87"/>
        <v>#VALUE!</v>
      </c>
      <c r="BS177" t="e">
        <f t="shared" si="87"/>
        <v>#VALUE!</v>
      </c>
      <c r="BT177" t="e">
        <f t="shared" si="87"/>
        <v>#VALUE!</v>
      </c>
      <c r="BU177" t="e">
        <f t="shared" si="87"/>
        <v>#VALUE!</v>
      </c>
      <c r="BV177" t="e">
        <f t="shared" si="87"/>
        <v>#VALUE!</v>
      </c>
      <c r="BW177" t="e">
        <f t="shared" si="87"/>
        <v>#VALUE!</v>
      </c>
      <c r="BX177" t="e">
        <f t="shared" si="87"/>
        <v>#VALUE!</v>
      </c>
      <c r="BY177" t="e">
        <f t="shared" si="87"/>
        <v>#VALUE!</v>
      </c>
      <c r="BZ177" t="e">
        <f t="shared" si="87"/>
        <v>#VALUE!</v>
      </c>
      <c r="CA177" t="e">
        <f t="shared" si="87"/>
        <v>#VALUE!</v>
      </c>
      <c r="CB177" t="e">
        <f t="shared" si="87"/>
        <v>#VALUE!</v>
      </c>
      <c r="CC177" t="e">
        <f t="shared" si="87"/>
        <v>#VALUE!</v>
      </c>
      <c r="CD177" t="e">
        <f t="shared" si="87"/>
        <v>#VALUE!</v>
      </c>
      <c r="CE177" t="e">
        <f t="shared" si="87"/>
        <v>#VALUE!</v>
      </c>
      <c r="CF177" t="e">
        <f t="shared" si="87"/>
        <v>#VALUE!</v>
      </c>
      <c r="CG177" t="e">
        <f t="shared" si="86"/>
        <v>#VALUE!</v>
      </c>
      <c r="CH177" t="e">
        <f t="shared" si="86"/>
        <v>#VALUE!</v>
      </c>
      <c r="CI177" t="e">
        <f t="shared" si="86"/>
        <v>#VALUE!</v>
      </c>
      <c r="CJ177" t="e">
        <f t="shared" si="86"/>
        <v>#VALUE!</v>
      </c>
      <c r="CK177" t="e">
        <f t="shared" si="86"/>
        <v>#VALUE!</v>
      </c>
      <c r="CL177" t="e">
        <f t="shared" si="86"/>
        <v>#VALUE!</v>
      </c>
      <c r="CM177" t="e">
        <f t="shared" si="86"/>
        <v>#VALUE!</v>
      </c>
      <c r="CN177" t="e">
        <f t="shared" si="86"/>
        <v>#VALUE!</v>
      </c>
      <c r="CO177" t="e">
        <f t="shared" si="86"/>
        <v>#VALUE!</v>
      </c>
      <c r="CP177" t="e">
        <f t="shared" si="86"/>
        <v>#VALUE!</v>
      </c>
      <c r="CQ177" t="e">
        <f t="shared" si="86"/>
        <v>#VALUE!</v>
      </c>
      <c r="CR177" t="e">
        <f t="shared" si="86"/>
        <v>#VALUE!</v>
      </c>
      <c r="CS177" t="e">
        <f t="shared" si="86"/>
        <v>#VALUE!</v>
      </c>
      <c r="CT177" t="e">
        <f t="shared" si="86"/>
        <v>#VALUE!</v>
      </c>
      <c r="CU177" t="e">
        <f t="shared" si="86"/>
        <v>#VALUE!</v>
      </c>
      <c r="CV177" t="e">
        <f t="shared" si="86"/>
        <v>#VALUE!</v>
      </c>
      <c r="CW177" t="e">
        <f t="shared" si="86"/>
        <v>#VALUE!</v>
      </c>
      <c r="CX177" t="e">
        <f t="shared" si="86"/>
        <v>#VALUE!</v>
      </c>
      <c r="CY177" t="e">
        <f t="shared" si="86"/>
        <v>#VALUE!</v>
      </c>
      <c r="CZ177" t="e">
        <f t="shared" si="86"/>
        <v>#VALUE!</v>
      </c>
      <c r="DA177" t="e">
        <f t="shared" si="86"/>
        <v>#VALUE!</v>
      </c>
      <c r="DB177" t="e">
        <f t="shared" si="86"/>
        <v>#VALUE!</v>
      </c>
      <c r="DC177" t="e">
        <f t="shared" si="86"/>
        <v>#VALUE!</v>
      </c>
      <c r="DD177" t="e">
        <f t="shared" si="86"/>
        <v>#VALUE!</v>
      </c>
      <c r="DE177" t="e">
        <f t="shared" si="86"/>
        <v>#VALUE!</v>
      </c>
      <c r="DF177" t="e">
        <f t="shared" si="86"/>
        <v>#VALUE!</v>
      </c>
      <c r="DG177" t="e">
        <f t="shared" si="86"/>
        <v>#VALUE!</v>
      </c>
      <c r="DH177" t="e">
        <f t="shared" si="86"/>
        <v>#VALUE!</v>
      </c>
      <c r="DI177" t="e">
        <f t="shared" si="86"/>
        <v>#VALUE!</v>
      </c>
    </row>
    <row r="178" spans="5:113">
      <c r="E178">
        <f t="shared" si="88"/>
        <v>1</v>
      </c>
      <c r="F178">
        <f t="shared" si="88"/>
        <v>1</v>
      </c>
      <c r="G178">
        <f t="shared" si="88"/>
        <v>3</v>
      </c>
      <c r="H178">
        <f t="shared" si="88"/>
        <v>2</v>
      </c>
      <c r="I178">
        <f t="shared" si="88"/>
        <v>4</v>
      </c>
      <c r="J178">
        <f t="shared" si="88"/>
        <v>3</v>
      </c>
      <c r="K178">
        <f t="shared" si="88"/>
        <v>1</v>
      </c>
      <c r="L178">
        <f t="shared" si="88"/>
        <v>3</v>
      </c>
      <c r="M178">
        <f t="shared" si="88"/>
        <v>2</v>
      </c>
      <c r="N178">
        <f t="shared" si="88"/>
        <v>3</v>
      </c>
      <c r="O178">
        <f t="shared" si="88"/>
        <v>1</v>
      </c>
      <c r="P178">
        <f t="shared" si="88"/>
        <v>3</v>
      </c>
      <c r="Q178">
        <f t="shared" si="88"/>
        <v>1</v>
      </c>
      <c r="R178">
        <f t="shared" si="88"/>
        <v>2</v>
      </c>
      <c r="S178">
        <f t="shared" si="88"/>
        <v>2</v>
      </c>
      <c r="T178">
        <f t="shared" si="88"/>
        <v>2</v>
      </c>
      <c r="U178" t="e">
        <f t="shared" si="88"/>
        <v>#VALUE!</v>
      </c>
      <c r="V178" t="e">
        <f t="shared" si="88"/>
        <v>#VALUE!</v>
      </c>
      <c r="W178" t="e">
        <f t="shared" si="88"/>
        <v>#VALUE!</v>
      </c>
      <c r="X178" t="e">
        <f t="shared" si="88"/>
        <v>#VALUE!</v>
      </c>
      <c r="Y178" t="e">
        <f t="shared" si="88"/>
        <v>#VALUE!</v>
      </c>
      <c r="Z178" t="e">
        <f t="shared" si="88"/>
        <v>#VALUE!</v>
      </c>
      <c r="AA178" t="e">
        <f t="shared" si="88"/>
        <v>#VALUE!</v>
      </c>
      <c r="AB178" t="e">
        <f t="shared" si="88"/>
        <v>#VALUE!</v>
      </c>
      <c r="AC178" t="e">
        <f t="shared" si="88"/>
        <v>#VALUE!</v>
      </c>
      <c r="AD178" t="e">
        <f t="shared" si="88"/>
        <v>#VALUE!</v>
      </c>
      <c r="AE178" t="e">
        <f t="shared" si="88"/>
        <v>#VALUE!</v>
      </c>
      <c r="AF178" t="e">
        <f t="shared" si="88"/>
        <v>#VALUE!</v>
      </c>
      <c r="AG178" t="e">
        <f t="shared" si="88"/>
        <v>#VALUE!</v>
      </c>
      <c r="AH178" t="e">
        <f t="shared" si="88"/>
        <v>#VALUE!</v>
      </c>
      <c r="AI178" t="e">
        <f t="shared" si="88"/>
        <v>#VALUE!</v>
      </c>
      <c r="AJ178" t="e">
        <f t="shared" si="88"/>
        <v>#VALUE!</v>
      </c>
      <c r="AK178" t="e">
        <f t="shared" si="88"/>
        <v>#VALUE!</v>
      </c>
      <c r="AL178" t="e">
        <f t="shared" si="88"/>
        <v>#VALUE!</v>
      </c>
      <c r="AM178" t="e">
        <f t="shared" si="88"/>
        <v>#VALUE!</v>
      </c>
      <c r="AN178" t="e">
        <f t="shared" si="88"/>
        <v>#VALUE!</v>
      </c>
      <c r="AO178" t="e">
        <f t="shared" si="88"/>
        <v>#VALUE!</v>
      </c>
      <c r="AP178" t="e">
        <f t="shared" si="88"/>
        <v>#VALUE!</v>
      </c>
      <c r="AQ178" t="e">
        <f t="shared" si="88"/>
        <v>#VALUE!</v>
      </c>
      <c r="AR178" t="e">
        <f t="shared" si="88"/>
        <v>#VALUE!</v>
      </c>
      <c r="AS178" t="e">
        <f t="shared" si="88"/>
        <v>#VALUE!</v>
      </c>
      <c r="AT178" t="e">
        <f t="shared" si="88"/>
        <v>#VALUE!</v>
      </c>
      <c r="AU178" t="e">
        <f t="shared" si="88"/>
        <v>#VALUE!</v>
      </c>
      <c r="AV178" t="e">
        <f t="shared" si="88"/>
        <v>#VALUE!</v>
      </c>
      <c r="AW178" t="e">
        <f t="shared" si="88"/>
        <v>#VALUE!</v>
      </c>
      <c r="AX178" t="e">
        <f t="shared" si="88"/>
        <v>#VALUE!</v>
      </c>
      <c r="AY178" t="e">
        <f t="shared" si="88"/>
        <v>#VALUE!</v>
      </c>
      <c r="AZ178" t="e">
        <f t="shared" si="88"/>
        <v>#VALUE!</v>
      </c>
      <c r="BA178" t="e">
        <f t="shared" si="88"/>
        <v>#VALUE!</v>
      </c>
      <c r="BB178" t="e">
        <f t="shared" si="88"/>
        <v>#VALUE!</v>
      </c>
      <c r="BC178" t="e">
        <f t="shared" si="88"/>
        <v>#VALUE!</v>
      </c>
      <c r="BD178" t="e">
        <f t="shared" si="88"/>
        <v>#VALUE!</v>
      </c>
      <c r="BE178" t="e">
        <f t="shared" si="88"/>
        <v>#VALUE!</v>
      </c>
      <c r="BF178" t="e">
        <f t="shared" si="88"/>
        <v>#VALUE!</v>
      </c>
      <c r="BG178" t="e">
        <f t="shared" si="88"/>
        <v>#VALUE!</v>
      </c>
      <c r="BH178" t="e">
        <f t="shared" si="88"/>
        <v>#VALUE!</v>
      </c>
      <c r="BI178" t="e">
        <f t="shared" si="88"/>
        <v>#VALUE!</v>
      </c>
      <c r="BJ178" t="e">
        <f t="shared" si="88"/>
        <v>#VALUE!</v>
      </c>
      <c r="BK178" t="e">
        <f t="shared" si="88"/>
        <v>#VALUE!</v>
      </c>
      <c r="BL178" t="e">
        <f t="shared" si="88"/>
        <v>#VALUE!</v>
      </c>
      <c r="BM178" t="e">
        <f t="shared" si="88"/>
        <v>#VALUE!</v>
      </c>
      <c r="BN178" t="e">
        <f t="shared" si="88"/>
        <v>#VALUE!</v>
      </c>
      <c r="BO178" t="e">
        <f t="shared" si="88"/>
        <v>#VALUE!</v>
      </c>
      <c r="BP178" t="e">
        <f t="shared" si="88"/>
        <v>#VALUE!</v>
      </c>
      <c r="BQ178" t="e">
        <f t="shared" si="87"/>
        <v>#VALUE!</v>
      </c>
      <c r="BR178" t="e">
        <f t="shared" si="87"/>
        <v>#VALUE!</v>
      </c>
      <c r="BS178" t="e">
        <f t="shared" si="87"/>
        <v>#VALUE!</v>
      </c>
      <c r="BT178" t="e">
        <f t="shared" si="87"/>
        <v>#VALUE!</v>
      </c>
      <c r="BU178" t="e">
        <f t="shared" si="87"/>
        <v>#VALUE!</v>
      </c>
      <c r="BV178" t="e">
        <f t="shared" si="87"/>
        <v>#VALUE!</v>
      </c>
      <c r="BW178" t="e">
        <f t="shared" si="87"/>
        <v>#VALUE!</v>
      </c>
      <c r="BX178" t="e">
        <f t="shared" si="87"/>
        <v>#VALUE!</v>
      </c>
      <c r="BY178" t="e">
        <f t="shared" si="87"/>
        <v>#VALUE!</v>
      </c>
      <c r="BZ178" t="e">
        <f t="shared" si="87"/>
        <v>#VALUE!</v>
      </c>
      <c r="CA178" t="e">
        <f t="shared" si="87"/>
        <v>#VALUE!</v>
      </c>
      <c r="CB178" t="e">
        <f t="shared" si="87"/>
        <v>#VALUE!</v>
      </c>
      <c r="CC178" t="e">
        <f t="shared" si="87"/>
        <v>#VALUE!</v>
      </c>
      <c r="CD178" t="e">
        <f t="shared" si="87"/>
        <v>#VALUE!</v>
      </c>
      <c r="CE178" t="e">
        <f t="shared" si="87"/>
        <v>#VALUE!</v>
      </c>
      <c r="CF178" t="e">
        <f t="shared" si="87"/>
        <v>#VALUE!</v>
      </c>
      <c r="CG178" t="e">
        <f t="shared" si="86"/>
        <v>#VALUE!</v>
      </c>
      <c r="CH178" t="e">
        <f t="shared" si="86"/>
        <v>#VALUE!</v>
      </c>
      <c r="CI178" t="e">
        <f t="shared" si="86"/>
        <v>#VALUE!</v>
      </c>
      <c r="CJ178" t="e">
        <f t="shared" si="86"/>
        <v>#VALUE!</v>
      </c>
      <c r="CK178" t="e">
        <f t="shared" si="86"/>
        <v>#VALUE!</v>
      </c>
      <c r="CL178" t="e">
        <f t="shared" si="86"/>
        <v>#VALUE!</v>
      </c>
      <c r="CM178" t="e">
        <f t="shared" si="86"/>
        <v>#VALUE!</v>
      </c>
      <c r="CN178" t="e">
        <f t="shared" si="86"/>
        <v>#VALUE!</v>
      </c>
      <c r="CO178" t="e">
        <f t="shared" si="86"/>
        <v>#VALUE!</v>
      </c>
      <c r="CP178" t="e">
        <f t="shared" si="86"/>
        <v>#VALUE!</v>
      </c>
      <c r="CQ178" t="e">
        <f t="shared" si="86"/>
        <v>#VALUE!</v>
      </c>
      <c r="CR178" t="e">
        <f t="shared" si="86"/>
        <v>#VALUE!</v>
      </c>
      <c r="CS178" t="e">
        <f t="shared" si="86"/>
        <v>#VALUE!</v>
      </c>
      <c r="CT178" t="e">
        <f t="shared" si="86"/>
        <v>#VALUE!</v>
      </c>
      <c r="CU178" t="e">
        <f t="shared" si="86"/>
        <v>#VALUE!</v>
      </c>
      <c r="CV178" t="e">
        <f t="shared" si="86"/>
        <v>#VALUE!</v>
      </c>
      <c r="CW178" t="e">
        <f t="shared" si="86"/>
        <v>#VALUE!</v>
      </c>
      <c r="CX178" t="e">
        <f t="shared" si="86"/>
        <v>#VALUE!</v>
      </c>
      <c r="CY178" t="e">
        <f t="shared" si="86"/>
        <v>#VALUE!</v>
      </c>
      <c r="CZ178" t="e">
        <f t="shared" si="86"/>
        <v>#VALUE!</v>
      </c>
      <c r="DA178" t="e">
        <f t="shared" si="86"/>
        <v>#VALUE!</v>
      </c>
      <c r="DB178" t="e">
        <f t="shared" si="86"/>
        <v>#VALUE!</v>
      </c>
      <c r="DC178" t="e">
        <f t="shared" si="86"/>
        <v>#VALUE!</v>
      </c>
      <c r="DD178" t="e">
        <f t="shared" si="86"/>
        <v>#VALUE!</v>
      </c>
      <c r="DE178" t="e">
        <f t="shared" si="86"/>
        <v>#VALUE!</v>
      </c>
      <c r="DF178" t="e">
        <f t="shared" si="86"/>
        <v>#VALUE!</v>
      </c>
      <c r="DG178" t="e">
        <f t="shared" si="86"/>
        <v>#VALUE!</v>
      </c>
      <c r="DH178" t="e">
        <f t="shared" si="86"/>
        <v>#VALUE!</v>
      </c>
      <c r="DI178" t="e">
        <f t="shared" si="86"/>
        <v>#VALUE!</v>
      </c>
    </row>
    <row r="179" spans="5:113">
      <c r="E179">
        <f t="shared" si="88"/>
        <v>3</v>
      </c>
      <c r="F179">
        <f t="shared" si="88"/>
        <v>2</v>
      </c>
      <c r="G179">
        <f t="shared" si="88"/>
        <v>3</v>
      </c>
      <c r="H179">
        <f t="shared" si="88"/>
        <v>3</v>
      </c>
      <c r="I179">
        <f t="shared" si="88"/>
        <v>3</v>
      </c>
      <c r="J179">
        <f t="shared" si="88"/>
        <v>4</v>
      </c>
      <c r="K179">
        <f t="shared" si="88"/>
        <v>2</v>
      </c>
      <c r="L179">
        <f t="shared" si="88"/>
        <v>2</v>
      </c>
      <c r="M179">
        <f t="shared" si="88"/>
        <v>2</v>
      </c>
      <c r="N179">
        <f t="shared" si="88"/>
        <v>3</v>
      </c>
      <c r="O179">
        <f t="shared" si="88"/>
        <v>3</v>
      </c>
      <c r="P179">
        <f t="shared" si="88"/>
        <v>2</v>
      </c>
      <c r="Q179">
        <f t="shared" si="88"/>
        <v>2</v>
      </c>
      <c r="R179">
        <f t="shared" si="88"/>
        <v>2</v>
      </c>
      <c r="S179">
        <f t="shared" si="88"/>
        <v>4</v>
      </c>
      <c r="T179">
        <f t="shared" si="88"/>
        <v>4</v>
      </c>
      <c r="U179" t="e">
        <f t="shared" si="88"/>
        <v>#VALUE!</v>
      </c>
      <c r="V179" t="e">
        <f t="shared" si="88"/>
        <v>#VALUE!</v>
      </c>
      <c r="W179" t="e">
        <f t="shared" si="88"/>
        <v>#VALUE!</v>
      </c>
      <c r="X179" t="e">
        <f t="shared" si="88"/>
        <v>#VALUE!</v>
      </c>
      <c r="Y179" t="e">
        <f t="shared" si="88"/>
        <v>#VALUE!</v>
      </c>
      <c r="Z179" t="e">
        <f t="shared" si="88"/>
        <v>#VALUE!</v>
      </c>
      <c r="AA179" t="e">
        <f t="shared" si="88"/>
        <v>#VALUE!</v>
      </c>
      <c r="AB179" t="e">
        <f t="shared" si="88"/>
        <v>#VALUE!</v>
      </c>
      <c r="AC179" t="e">
        <f t="shared" si="88"/>
        <v>#VALUE!</v>
      </c>
      <c r="AD179" t="e">
        <f t="shared" si="88"/>
        <v>#VALUE!</v>
      </c>
      <c r="AE179" t="e">
        <f t="shared" si="88"/>
        <v>#VALUE!</v>
      </c>
      <c r="AF179" t="e">
        <f t="shared" si="88"/>
        <v>#VALUE!</v>
      </c>
      <c r="AG179" t="e">
        <f t="shared" si="88"/>
        <v>#VALUE!</v>
      </c>
      <c r="AH179" t="e">
        <f t="shared" si="88"/>
        <v>#VALUE!</v>
      </c>
      <c r="AI179" t="e">
        <f t="shared" si="88"/>
        <v>#VALUE!</v>
      </c>
      <c r="AJ179" t="e">
        <f t="shared" si="88"/>
        <v>#VALUE!</v>
      </c>
      <c r="AK179" t="e">
        <f t="shared" si="88"/>
        <v>#VALUE!</v>
      </c>
      <c r="AL179" t="e">
        <f t="shared" si="88"/>
        <v>#VALUE!</v>
      </c>
      <c r="AM179" t="e">
        <f t="shared" si="88"/>
        <v>#VALUE!</v>
      </c>
      <c r="AN179" t="e">
        <f t="shared" si="88"/>
        <v>#VALUE!</v>
      </c>
      <c r="AO179" t="e">
        <f t="shared" si="88"/>
        <v>#VALUE!</v>
      </c>
      <c r="AP179" t="e">
        <f t="shared" si="88"/>
        <v>#VALUE!</v>
      </c>
      <c r="AQ179" t="e">
        <f t="shared" si="88"/>
        <v>#VALUE!</v>
      </c>
      <c r="AR179" t="e">
        <f t="shared" si="88"/>
        <v>#VALUE!</v>
      </c>
      <c r="AS179" t="e">
        <f t="shared" si="88"/>
        <v>#VALUE!</v>
      </c>
      <c r="AT179" t="e">
        <f t="shared" si="88"/>
        <v>#VALUE!</v>
      </c>
      <c r="AU179" t="e">
        <f t="shared" si="88"/>
        <v>#VALUE!</v>
      </c>
      <c r="AV179" t="e">
        <f t="shared" si="88"/>
        <v>#VALUE!</v>
      </c>
      <c r="AW179" t="e">
        <f t="shared" si="88"/>
        <v>#VALUE!</v>
      </c>
      <c r="AX179" t="e">
        <f t="shared" si="88"/>
        <v>#VALUE!</v>
      </c>
      <c r="AY179" t="e">
        <f t="shared" si="88"/>
        <v>#VALUE!</v>
      </c>
      <c r="AZ179" t="e">
        <f t="shared" si="88"/>
        <v>#VALUE!</v>
      </c>
      <c r="BA179" t="e">
        <f t="shared" si="88"/>
        <v>#VALUE!</v>
      </c>
      <c r="BB179" t="e">
        <f t="shared" si="88"/>
        <v>#VALUE!</v>
      </c>
      <c r="BC179" t="e">
        <f t="shared" si="88"/>
        <v>#VALUE!</v>
      </c>
      <c r="BD179" t="e">
        <f t="shared" si="88"/>
        <v>#VALUE!</v>
      </c>
      <c r="BE179" t="e">
        <f t="shared" si="88"/>
        <v>#VALUE!</v>
      </c>
      <c r="BF179" t="e">
        <f t="shared" si="88"/>
        <v>#VALUE!</v>
      </c>
      <c r="BG179" t="e">
        <f t="shared" si="88"/>
        <v>#VALUE!</v>
      </c>
      <c r="BH179" t="e">
        <f t="shared" si="88"/>
        <v>#VALUE!</v>
      </c>
      <c r="BI179" t="e">
        <f t="shared" si="88"/>
        <v>#VALUE!</v>
      </c>
      <c r="BJ179" t="e">
        <f t="shared" si="88"/>
        <v>#VALUE!</v>
      </c>
      <c r="BK179" t="e">
        <f t="shared" si="88"/>
        <v>#VALUE!</v>
      </c>
      <c r="BL179" t="e">
        <f t="shared" si="88"/>
        <v>#VALUE!</v>
      </c>
      <c r="BM179" t="e">
        <f t="shared" si="88"/>
        <v>#VALUE!</v>
      </c>
      <c r="BN179" t="e">
        <f t="shared" si="88"/>
        <v>#VALUE!</v>
      </c>
      <c r="BO179" t="e">
        <f t="shared" si="88"/>
        <v>#VALUE!</v>
      </c>
      <c r="BP179" t="e">
        <f t="shared" si="88"/>
        <v>#VALUE!</v>
      </c>
      <c r="BQ179" t="e">
        <f t="shared" si="87"/>
        <v>#VALUE!</v>
      </c>
      <c r="BR179" t="e">
        <f t="shared" si="87"/>
        <v>#VALUE!</v>
      </c>
      <c r="BS179" t="e">
        <f t="shared" si="87"/>
        <v>#VALUE!</v>
      </c>
      <c r="BT179" t="e">
        <f t="shared" si="87"/>
        <v>#VALUE!</v>
      </c>
      <c r="BU179" t="e">
        <f t="shared" si="87"/>
        <v>#VALUE!</v>
      </c>
      <c r="BV179" t="e">
        <f t="shared" si="87"/>
        <v>#VALUE!</v>
      </c>
      <c r="BW179" t="e">
        <f t="shared" si="87"/>
        <v>#VALUE!</v>
      </c>
      <c r="BX179" t="e">
        <f t="shared" si="87"/>
        <v>#VALUE!</v>
      </c>
      <c r="BY179" t="e">
        <f t="shared" si="87"/>
        <v>#VALUE!</v>
      </c>
      <c r="BZ179" t="e">
        <f t="shared" si="87"/>
        <v>#VALUE!</v>
      </c>
      <c r="CA179" t="e">
        <f t="shared" si="87"/>
        <v>#VALUE!</v>
      </c>
      <c r="CB179" t="e">
        <f t="shared" si="87"/>
        <v>#VALUE!</v>
      </c>
      <c r="CC179" t="e">
        <f t="shared" si="87"/>
        <v>#VALUE!</v>
      </c>
      <c r="CD179" t="e">
        <f t="shared" si="87"/>
        <v>#VALUE!</v>
      </c>
      <c r="CE179" t="e">
        <f t="shared" si="87"/>
        <v>#VALUE!</v>
      </c>
      <c r="CF179" t="e">
        <f t="shared" si="87"/>
        <v>#VALUE!</v>
      </c>
      <c r="CG179" t="e">
        <f t="shared" si="86"/>
        <v>#VALUE!</v>
      </c>
      <c r="CH179" t="e">
        <f t="shared" si="86"/>
        <v>#VALUE!</v>
      </c>
      <c r="CI179" t="e">
        <f t="shared" si="86"/>
        <v>#VALUE!</v>
      </c>
      <c r="CJ179" t="e">
        <f t="shared" si="86"/>
        <v>#VALUE!</v>
      </c>
      <c r="CK179" t="e">
        <f t="shared" si="86"/>
        <v>#VALUE!</v>
      </c>
      <c r="CL179" t="e">
        <f t="shared" si="86"/>
        <v>#VALUE!</v>
      </c>
      <c r="CM179" t="e">
        <f t="shared" si="86"/>
        <v>#VALUE!</v>
      </c>
      <c r="CN179" t="e">
        <f t="shared" si="86"/>
        <v>#VALUE!</v>
      </c>
      <c r="CO179" t="e">
        <f t="shared" si="86"/>
        <v>#VALUE!</v>
      </c>
      <c r="CP179" t="e">
        <f t="shared" si="86"/>
        <v>#VALUE!</v>
      </c>
      <c r="CQ179" t="e">
        <f t="shared" si="86"/>
        <v>#VALUE!</v>
      </c>
      <c r="CR179" t="e">
        <f t="shared" si="86"/>
        <v>#VALUE!</v>
      </c>
      <c r="CS179" t="e">
        <f t="shared" si="86"/>
        <v>#VALUE!</v>
      </c>
      <c r="CT179" t="e">
        <f t="shared" si="86"/>
        <v>#VALUE!</v>
      </c>
      <c r="CU179" t="e">
        <f t="shared" si="86"/>
        <v>#VALUE!</v>
      </c>
      <c r="CV179" t="e">
        <f t="shared" si="86"/>
        <v>#VALUE!</v>
      </c>
      <c r="CW179" t="e">
        <f t="shared" si="86"/>
        <v>#VALUE!</v>
      </c>
      <c r="CX179" t="e">
        <f t="shared" si="86"/>
        <v>#VALUE!</v>
      </c>
      <c r="CY179" t="e">
        <f t="shared" si="86"/>
        <v>#VALUE!</v>
      </c>
      <c r="CZ179" t="e">
        <f t="shared" si="86"/>
        <v>#VALUE!</v>
      </c>
      <c r="DA179" t="e">
        <f t="shared" si="86"/>
        <v>#VALUE!</v>
      </c>
      <c r="DB179" t="e">
        <f t="shared" si="86"/>
        <v>#VALUE!</v>
      </c>
      <c r="DC179" t="e">
        <f t="shared" si="86"/>
        <v>#VALUE!</v>
      </c>
      <c r="DD179" t="e">
        <f t="shared" si="86"/>
        <v>#VALUE!</v>
      </c>
      <c r="DE179" t="e">
        <f t="shared" si="86"/>
        <v>#VALUE!</v>
      </c>
      <c r="DF179" t="e">
        <f t="shared" si="86"/>
        <v>#VALUE!</v>
      </c>
      <c r="DG179" t="e">
        <f t="shared" si="86"/>
        <v>#VALUE!</v>
      </c>
      <c r="DH179" t="e">
        <f t="shared" si="86"/>
        <v>#VALUE!</v>
      </c>
      <c r="DI179" t="e">
        <f t="shared" si="86"/>
        <v>#VALUE!</v>
      </c>
    </row>
    <row r="180" spans="5:113">
      <c r="E180">
        <f t="shared" si="88"/>
        <v>2</v>
      </c>
      <c r="F180">
        <f t="shared" si="88"/>
        <v>1</v>
      </c>
      <c r="G180">
        <f t="shared" si="88"/>
        <v>1</v>
      </c>
      <c r="H180">
        <f t="shared" si="88"/>
        <v>1</v>
      </c>
      <c r="I180">
        <f t="shared" si="88"/>
        <v>2</v>
      </c>
      <c r="J180">
        <f t="shared" si="88"/>
        <v>2</v>
      </c>
      <c r="K180">
        <f t="shared" si="88"/>
        <v>1</v>
      </c>
      <c r="L180">
        <f t="shared" si="88"/>
        <v>1</v>
      </c>
      <c r="M180">
        <f t="shared" si="88"/>
        <v>1</v>
      </c>
      <c r="N180">
        <f t="shared" si="88"/>
        <v>1</v>
      </c>
      <c r="O180">
        <f t="shared" si="88"/>
        <v>2</v>
      </c>
      <c r="P180">
        <f t="shared" si="88"/>
        <v>1</v>
      </c>
      <c r="Q180">
        <f t="shared" si="88"/>
        <v>1</v>
      </c>
      <c r="R180">
        <f t="shared" si="88"/>
        <v>2</v>
      </c>
      <c r="S180">
        <f t="shared" si="88"/>
        <v>2</v>
      </c>
      <c r="T180">
        <f t="shared" si="88"/>
        <v>2</v>
      </c>
      <c r="U180" t="e">
        <f t="shared" si="88"/>
        <v>#VALUE!</v>
      </c>
      <c r="V180" t="e">
        <f t="shared" si="88"/>
        <v>#VALUE!</v>
      </c>
      <c r="W180" t="e">
        <f t="shared" si="88"/>
        <v>#VALUE!</v>
      </c>
      <c r="X180" t="e">
        <f t="shared" si="88"/>
        <v>#VALUE!</v>
      </c>
      <c r="Y180" t="e">
        <f t="shared" si="88"/>
        <v>#VALUE!</v>
      </c>
      <c r="Z180" t="e">
        <f t="shared" si="88"/>
        <v>#VALUE!</v>
      </c>
      <c r="AA180" t="e">
        <f t="shared" si="88"/>
        <v>#VALUE!</v>
      </c>
      <c r="AB180" t="e">
        <f t="shared" si="88"/>
        <v>#VALUE!</v>
      </c>
      <c r="AC180" t="e">
        <f t="shared" si="88"/>
        <v>#VALUE!</v>
      </c>
      <c r="AD180" t="e">
        <f t="shared" si="88"/>
        <v>#VALUE!</v>
      </c>
      <c r="AE180" t="e">
        <f t="shared" si="88"/>
        <v>#VALUE!</v>
      </c>
      <c r="AF180" t="e">
        <f t="shared" si="88"/>
        <v>#VALUE!</v>
      </c>
      <c r="AG180" t="e">
        <f t="shared" si="88"/>
        <v>#VALUE!</v>
      </c>
      <c r="AH180" t="e">
        <f t="shared" si="88"/>
        <v>#VALUE!</v>
      </c>
      <c r="AI180" t="e">
        <f t="shared" si="88"/>
        <v>#VALUE!</v>
      </c>
      <c r="AJ180" t="e">
        <f t="shared" si="88"/>
        <v>#VALUE!</v>
      </c>
      <c r="AK180" t="e">
        <f t="shared" si="88"/>
        <v>#VALUE!</v>
      </c>
      <c r="AL180" t="e">
        <f t="shared" si="88"/>
        <v>#VALUE!</v>
      </c>
      <c r="AM180" t="e">
        <f t="shared" si="88"/>
        <v>#VALUE!</v>
      </c>
      <c r="AN180" t="e">
        <f t="shared" si="88"/>
        <v>#VALUE!</v>
      </c>
      <c r="AO180" t="e">
        <f t="shared" si="88"/>
        <v>#VALUE!</v>
      </c>
      <c r="AP180" t="e">
        <f t="shared" si="88"/>
        <v>#VALUE!</v>
      </c>
      <c r="AQ180" t="e">
        <f t="shared" si="88"/>
        <v>#VALUE!</v>
      </c>
      <c r="AR180" t="e">
        <f t="shared" si="88"/>
        <v>#VALUE!</v>
      </c>
      <c r="AS180" t="e">
        <f t="shared" si="88"/>
        <v>#VALUE!</v>
      </c>
      <c r="AT180" t="e">
        <f t="shared" si="88"/>
        <v>#VALUE!</v>
      </c>
      <c r="AU180" t="e">
        <f t="shared" si="88"/>
        <v>#VALUE!</v>
      </c>
      <c r="AV180" t="e">
        <f t="shared" si="88"/>
        <v>#VALUE!</v>
      </c>
      <c r="AW180" t="e">
        <f t="shared" si="88"/>
        <v>#VALUE!</v>
      </c>
      <c r="AX180" t="e">
        <f t="shared" si="88"/>
        <v>#VALUE!</v>
      </c>
      <c r="AY180" t="e">
        <f t="shared" si="88"/>
        <v>#VALUE!</v>
      </c>
      <c r="AZ180" t="e">
        <f t="shared" si="88"/>
        <v>#VALUE!</v>
      </c>
      <c r="BA180" t="e">
        <f t="shared" si="88"/>
        <v>#VALUE!</v>
      </c>
      <c r="BB180" t="e">
        <f t="shared" si="88"/>
        <v>#VALUE!</v>
      </c>
      <c r="BC180" t="e">
        <f t="shared" si="88"/>
        <v>#VALUE!</v>
      </c>
      <c r="BD180" t="e">
        <f t="shared" si="88"/>
        <v>#VALUE!</v>
      </c>
      <c r="BE180" t="e">
        <f t="shared" si="88"/>
        <v>#VALUE!</v>
      </c>
      <c r="BF180" t="e">
        <f t="shared" si="88"/>
        <v>#VALUE!</v>
      </c>
      <c r="BG180" t="e">
        <f t="shared" si="88"/>
        <v>#VALUE!</v>
      </c>
      <c r="BH180" t="e">
        <f t="shared" si="88"/>
        <v>#VALUE!</v>
      </c>
      <c r="BI180" t="e">
        <f t="shared" si="88"/>
        <v>#VALUE!</v>
      </c>
      <c r="BJ180" t="e">
        <f t="shared" si="88"/>
        <v>#VALUE!</v>
      </c>
      <c r="BK180" t="e">
        <f t="shared" si="88"/>
        <v>#VALUE!</v>
      </c>
      <c r="BL180" t="e">
        <f t="shared" si="88"/>
        <v>#VALUE!</v>
      </c>
      <c r="BM180" t="e">
        <f t="shared" si="88"/>
        <v>#VALUE!</v>
      </c>
      <c r="BN180" t="e">
        <f t="shared" si="88"/>
        <v>#VALUE!</v>
      </c>
      <c r="BO180" t="e">
        <f t="shared" si="88"/>
        <v>#VALUE!</v>
      </c>
      <c r="BP180" t="e">
        <f t="shared" ref="BP180:DA190" si="89">LEFT(BP22)+RIGHT(BP22)</f>
        <v>#VALUE!</v>
      </c>
      <c r="BQ180" t="e">
        <f t="shared" si="89"/>
        <v>#VALUE!</v>
      </c>
      <c r="BR180" t="e">
        <f t="shared" si="89"/>
        <v>#VALUE!</v>
      </c>
      <c r="BS180" t="e">
        <f t="shared" si="89"/>
        <v>#VALUE!</v>
      </c>
      <c r="BT180" t="e">
        <f t="shared" si="89"/>
        <v>#VALUE!</v>
      </c>
      <c r="BU180" t="e">
        <f t="shared" si="89"/>
        <v>#VALUE!</v>
      </c>
      <c r="BV180" t="e">
        <f t="shared" si="89"/>
        <v>#VALUE!</v>
      </c>
      <c r="BW180" t="e">
        <f t="shared" si="89"/>
        <v>#VALUE!</v>
      </c>
      <c r="BX180" t="e">
        <f t="shared" si="89"/>
        <v>#VALUE!</v>
      </c>
      <c r="BY180" t="e">
        <f t="shared" si="89"/>
        <v>#VALUE!</v>
      </c>
      <c r="BZ180" t="e">
        <f t="shared" si="89"/>
        <v>#VALUE!</v>
      </c>
      <c r="CA180" t="e">
        <f t="shared" si="89"/>
        <v>#VALUE!</v>
      </c>
      <c r="CB180" t="e">
        <f t="shared" si="89"/>
        <v>#VALUE!</v>
      </c>
      <c r="CC180" t="e">
        <f t="shared" si="89"/>
        <v>#VALUE!</v>
      </c>
      <c r="CD180" t="e">
        <f t="shared" si="89"/>
        <v>#VALUE!</v>
      </c>
      <c r="CE180" t="e">
        <f t="shared" si="89"/>
        <v>#VALUE!</v>
      </c>
      <c r="CF180" t="e">
        <f t="shared" si="89"/>
        <v>#VALUE!</v>
      </c>
      <c r="CG180" t="e">
        <f t="shared" si="86"/>
        <v>#VALUE!</v>
      </c>
      <c r="CH180" t="e">
        <f t="shared" si="86"/>
        <v>#VALUE!</v>
      </c>
      <c r="CI180" t="e">
        <f t="shared" si="86"/>
        <v>#VALUE!</v>
      </c>
      <c r="CJ180" t="e">
        <f t="shared" si="86"/>
        <v>#VALUE!</v>
      </c>
      <c r="CK180" t="e">
        <f t="shared" ref="CK180:DI189" si="90">LEFT(CK22)+RIGHT(CK22)</f>
        <v>#VALUE!</v>
      </c>
      <c r="CL180" t="e">
        <f t="shared" si="90"/>
        <v>#VALUE!</v>
      </c>
      <c r="CM180" t="e">
        <f t="shared" si="90"/>
        <v>#VALUE!</v>
      </c>
      <c r="CN180" t="e">
        <f t="shared" si="90"/>
        <v>#VALUE!</v>
      </c>
      <c r="CO180" t="e">
        <f t="shared" si="90"/>
        <v>#VALUE!</v>
      </c>
      <c r="CP180" t="e">
        <f t="shared" si="90"/>
        <v>#VALUE!</v>
      </c>
      <c r="CQ180" t="e">
        <f t="shared" si="90"/>
        <v>#VALUE!</v>
      </c>
      <c r="CR180" t="e">
        <f t="shared" si="90"/>
        <v>#VALUE!</v>
      </c>
      <c r="CS180" t="e">
        <f t="shared" si="90"/>
        <v>#VALUE!</v>
      </c>
      <c r="CT180" t="e">
        <f t="shared" si="90"/>
        <v>#VALUE!</v>
      </c>
      <c r="CU180" t="e">
        <f t="shared" si="90"/>
        <v>#VALUE!</v>
      </c>
      <c r="CV180" t="e">
        <f t="shared" si="90"/>
        <v>#VALUE!</v>
      </c>
      <c r="CW180" t="e">
        <f t="shared" si="90"/>
        <v>#VALUE!</v>
      </c>
      <c r="CX180" t="e">
        <f t="shared" si="90"/>
        <v>#VALUE!</v>
      </c>
      <c r="CY180" t="e">
        <f t="shared" si="90"/>
        <v>#VALUE!</v>
      </c>
      <c r="CZ180" t="e">
        <f t="shared" si="90"/>
        <v>#VALUE!</v>
      </c>
      <c r="DA180" t="e">
        <f t="shared" si="90"/>
        <v>#VALUE!</v>
      </c>
      <c r="DB180" t="e">
        <f t="shared" si="90"/>
        <v>#VALUE!</v>
      </c>
      <c r="DC180" t="e">
        <f t="shared" si="90"/>
        <v>#VALUE!</v>
      </c>
      <c r="DD180" t="e">
        <f t="shared" si="90"/>
        <v>#VALUE!</v>
      </c>
      <c r="DE180" t="e">
        <f t="shared" si="90"/>
        <v>#VALUE!</v>
      </c>
      <c r="DF180" t="e">
        <f t="shared" si="90"/>
        <v>#VALUE!</v>
      </c>
      <c r="DG180" t="e">
        <f t="shared" si="90"/>
        <v>#VALUE!</v>
      </c>
      <c r="DH180" t="e">
        <f t="shared" si="90"/>
        <v>#VALUE!</v>
      </c>
      <c r="DI180" t="e">
        <f t="shared" si="90"/>
        <v>#VALUE!</v>
      </c>
    </row>
    <row r="181" spans="5:113">
      <c r="E181">
        <f t="shared" ref="E181:BP184" si="91">LEFT(E23)+RIGHT(E23)</f>
        <v>2</v>
      </c>
      <c r="F181">
        <f t="shared" si="91"/>
        <v>3</v>
      </c>
      <c r="G181">
        <f t="shared" si="91"/>
        <v>2</v>
      </c>
      <c r="H181">
        <f t="shared" si="91"/>
        <v>2</v>
      </c>
      <c r="I181">
        <f t="shared" si="91"/>
        <v>2</v>
      </c>
      <c r="J181">
        <f t="shared" si="91"/>
        <v>3</v>
      </c>
      <c r="K181">
        <f t="shared" si="91"/>
        <v>3</v>
      </c>
      <c r="L181">
        <f t="shared" si="91"/>
        <v>4</v>
      </c>
      <c r="M181">
        <f t="shared" si="91"/>
        <v>1</v>
      </c>
      <c r="N181">
        <f t="shared" si="91"/>
        <v>2</v>
      </c>
      <c r="O181">
        <f t="shared" si="91"/>
        <v>1</v>
      </c>
      <c r="P181">
        <f t="shared" si="91"/>
        <v>3</v>
      </c>
      <c r="Q181">
        <f t="shared" si="91"/>
        <v>2</v>
      </c>
      <c r="R181">
        <f t="shared" si="91"/>
        <v>3</v>
      </c>
      <c r="S181">
        <f t="shared" si="91"/>
        <v>3</v>
      </c>
      <c r="T181">
        <f t="shared" si="91"/>
        <v>3</v>
      </c>
      <c r="U181" t="e">
        <f t="shared" si="91"/>
        <v>#VALUE!</v>
      </c>
      <c r="V181" t="e">
        <f t="shared" si="91"/>
        <v>#VALUE!</v>
      </c>
      <c r="W181" t="e">
        <f t="shared" si="91"/>
        <v>#VALUE!</v>
      </c>
      <c r="X181" t="e">
        <f t="shared" si="91"/>
        <v>#VALUE!</v>
      </c>
      <c r="Y181" t="e">
        <f t="shared" si="91"/>
        <v>#VALUE!</v>
      </c>
      <c r="Z181" t="e">
        <f t="shared" si="91"/>
        <v>#VALUE!</v>
      </c>
      <c r="AA181" t="e">
        <f t="shared" si="91"/>
        <v>#VALUE!</v>
      </c>
      <c r="AB181" t="e">
        <f t="shared" si="91"/>
        <v>#VALUE!</v>
      </c>
      <c r="AC181" t="e">
        <f t="shared" si="91"/>
        <v>#VALUE!</v>
      </c>
      <c r="AD181" t="e">
        <f t="shared" si="91"/>
        <v>#VALUE!</v>
      </c>
      <c r="AE181" t="e">
        <f t="shared" si="91"/>
        <v>#VALUE!</v>
      </c>
      <c r="AF181" t="e">
        <f t="shared" si="91"/>
        <v>#VALUE!</v>
      </c>
      <c r="AG181" t="e">
        <f t="shared" si="91"/>
        <v>#VALUE!</v>
      </c>
      <c r="AH181" t="e">
        <f t="shared" si="91"/>
        <v>#VALUE!</v>
      </c>
      <c r="AI181" t="e">
        <f t="shared" si="91"/>
        <v>#VALUE!</v>
      </c>
      <c r="AJ181" t="e">
        <f t="shared" si="91"/>
        <v>#VALUE!</v>
      </c>
      <c r="AK181" t="e">
        <f t="shared" si="91"/>
        <v>#VALUE!</v>
      </c>
      <c r="AL181" t="e">
        <f t="shared" si="91"/>
        <v>#VALUE!</v>
      </c>
      <c r="AM181" t="e">
        <f t="shared" si="91"/>
        <v>#VALUE!</v>
      </c>
      <c r="AN181" t="e">
        <f t="shared" si="91"/>
        <v>#VALUE!</v>
      </c>
      <c r="AO181" t="e">
        <f t="shared" si="91"/>
        <v>#VALUE!</v>
      </c>
      <c r="AP181" t="e">
        <f t="shared" si="91"/>
        <v>#VALUE!</v>
      </c>
      <c r="AQ181" t="e">
        <f t="shared" si="91"/>
        <v>#VALUE!</v>
      </c>
      <c r="AR181" t="e">
        <f t="shared" si="91"/>
        <v>#VALUE!</v>
      </c>
      <c r="AS181" t="e">
        <f t="shared" si="91"/>
        <v>#VALUE!</v>
      </c>
      <c r="AT181" t="e">
        <f t="shared" si="91"/>
        <v>#VALUE!</v>
      </c>
      <c r="AU181" t="e">
        <f t="shared" si="91"/>
        <v>#VALUE!</v>
      </c>
      <c r="AV181" t="e">
        <f t="shared" si="91"/>
        <v>#VALUE!</v>
      </c>
      <c r="AW181" t="e">
        <f t="shared" si="91"/>
        <v>#VALUE!</v>
      </c>
      <c r="AX181" t="e">
        <f t="shared" si="91"/>
        <v>#VALUE!</v>
      </c>
      <c r="AY181" t="e">
        <f t="shared" si="91"/>
        <v>#VALUE!</v>
      </c>
      <c r="AZ181" t="e">
        <f t="shared" si="91"/>
        <v>#VALUE!</v>
      </c>
      <c r="BA181" t="e">
        <f t="shared" si="91"/>
        <v>#VALUE!</v>
      </c>
      <c r="BB181" t="e">
        <f t="shared" si="91"/>
        <v>#VALUE!</v>
      </c>
      <c r="BC181" t="e">
        <f t="shared" si="91"/>
        <v>#VALUE!</v>
      </c>
      <c r="BD181" t="e">
        <f t="shared" si="91"/>
        <v>#VALUE!</v>
      </c>
      <c r="BE181" t="e">
        <f t="shared" si="91"/>
        <v>#VALUE!</v>
      </c>
      <c r="BF181" t="e">
        <f t="shared" si="91"/>
        <v>#VALUE!</v>
      </c>
      <c r="BG181" t="e">
        <f t="shared" si="91"/>
        <v>#VALUE!</v>
      </c>
      <c r="BH181" t="e">
        <f t="shared" si="91"/>
        <v>#VALUE!</v>
      </c>
      <c r="BI181" t="e">
        <f t="shared" si="91"/>
        <v>#VALUE!</v>
      </c>
      <c r="BJ181" t="e">
        <f t="shared" si="91"/>
        <v>#VALUE!</v>
      </c>
      <c r="BK181" t="e">
        <f t="shared" si="91"/>
        <v>#VALUE!</v>
      </c>
      <c r="BL181" t="e">
        <f t="shared" si="91"/>
        <v>#VALUE!</v>
      </c>
      <c r="BM181" t="e">
        <f t="shared" si="91"/>
        <v>#VALUE!</v>
      </c>
      <c r="BN181" t="e">
        <f t="shared" si="91"/>
        <v>#VALUE!</v>
      </c>
      <c r="BO181" t="e">
        <f t="shared" si="91"/>
        <v>#VALUE!</v>
      </c>
      <c r="BP181" t="e">
        <f t="shared" si="91"/>
        <v>#VALUE!</v>
      </c>
      <c r="BQ181" t="e">
        <f t="shared" si="89"/>
        <v>#VALUE!</v>
      </c>
      <c r="BR181" t="e">
        <f t="shared" si="89"/>
        <v>#VALUE!</v>
      </c>
      <c r="BS181" t="e">
        <f t="shared" si="89"/>
        <v>#VALUE!</v>
      </c>
      <c r="BT181" t="e">
        <f t="shared" si="89"/>
        <v>#VALUE!</v>
      </c>
      <c r="BU181" t="e">
        <f t="shared" si="89"/>
        <v>#VALUE!</v>
      </c>
      <c r="BV181" t="e">
        <f t="shared" si="89"/>
        <v>#VALUE!</v>
      </c>
      <c r="BW181" t="e">
        <f t="shared" si="89"/>
        <v>#VALUE!</v>
      </c>
      <c r="BX181" t="e">
        <f t="shared" si="89"/>
        <v>#VALUE!</v>
      </c>
      <c r="BY181" t="e">
        <f t="shared" si="89"/>
        <v>#VALUE!</v>
      </c>
      <c r="BZ181" t="e">
        <f t="shared" si="89"/>
        <v>#VALUE!</v>
      </c>
      <c r="CA181" t="e">
        <f t="shared" si="89"/>
        <v>#VALUE!</v>
      </c>
      <c r="CB181" t="e">
        <f t="shared" si="89"/>
        <v>#VALUE!</v>
      </c>
      <c r="CC181" t="e">
        <f t="shared" si="89"/>
        <v>#VALUE!</v>
      </c>
      <c r="CD181" t="e">
        <f t="shared" si="89"/>
        <v>#VALUE!</v>
      </c>
      <c r="CE181" t="e">
        <f t="shared" si="89"/>
        <v>#VALUE!</v>
      </c>
      <c r="CF181" t="e">
        <f t="shared" si="89"/>
        <v>#VALUE!</v>
      </c>
      <c r="CG181" t="e">
        <f t="shared" si="89"/>
        <v>#VALUE!</v>
      </c>
      <c r="CH181" t="e">
        <f t="shared" si="89"/>
        <v>#VALUE!</v>
      </c>
      <c r="CI181" t="e">
        <f t="shared" si="89"/>
        <v>#VALUE!</v>
      </c>
      <c r="CJ181" t="e">
        <f t="shared" si="89"/>
        <v>#VALUE!</v>
      </c>
      <c r="CK181" t="e">
        <f t="shared" si="89"/>
        <v>#VALUE!</v>
      </c>
      <c r="CL181" t="e">
        <f t="shared" si="89"/>
        <v>#VALUE!</v>
      </c>
      <c r="CM181" t="e">
        <f t="shared" si="89"/>
        <v>#VALUE!</v>
      </c>
      <c r="CN181" t="e">
        <f t="shared" si="89"/>
        <v>#VALUE!</v>
      </c>
      <c r="CO181" t="e">
        <f t="shared" si="89"/>
        <v>#VALUE!</v>
      </c>
      <c r="CP181" t="e">
        <f t="shared" si="89"/>
        <v>#VALUE!</v>
      </c>
      <c r="CQ181" t="e">
        <f t="shared" si="89"/>
        <v>#VALUE!</v>
      </c>
      <c r="CR181" t="e">
        <f t="shared" si="89"/>
        <v>#VALUE!</v>
      </c>
      <c r="CS181" t="e">
        <f t="shared" si="89"/>
        <v>#VALUE!</v>
      </c>
      <c r="CT181" t="e">
        <f t="shared" si="89"/>
        <v>#VALUE!</v>
      </c>
      <c r="CU181" t="e">
        <f t="shared" si="89"/>
        <v>#VALUE!</v>
      </c>
      <c r="CV181" t="e">
        <f t="shared" si="89"/>
        <v>#VALUE!</v>
      </c>
      <c r="CW181" t="e">
        <f t="shared" si="89"/>
        <v>#VALUE!</v>
      </c>
      <c r="CX181" t="e">
        <f t="shared" si="89"/>
        <v>#VALUE!</v>
      </c>
      <c r="CY181" t="e">
        <f t="shared" si="89"/>
        <v>#VALUE!</v>
      </c>
      <c r="CZ181" t="e">
        <f t="shared" si="89"/>
        <v>#VALUE!</v>
      </c>
      <c r="DA181" t="e">
        <f t="shared" si="89"/>
        <v>#VALUE!</v>
      </c>
      <c r="DB181" t="e">
        <f t="shared" si="90"/>
        <v>#VALUE!</v>
      </c>
      <c r="DC181" t="e">
        <f t="shared" si="90"/>
        <v>#VALUE!</v>
      </c>
      <c r="DD181" t="e">
        <f t="shared" si="90"/>
        <v>#VALUE!</v>
      </c>
      <c r="DE181" t="e">
        <f t="shared" si="90"/>
        <v>#VALUE!</v>
      </c>
      <c r="DF181" t="e">
        <f t="shared" si="90"/>
        <v>#VALUE!</v>
      </c>
      <c r="DG181" t="e">
        <f t="shared" si="90"/>
        <v>#VALUE!</v>
      </c>
      <c r="DH181" t="e">
        <f t="shared" si="90"/>
        <v>#VALUE!</v>
      </c>
      <c r="DI181" t="e">
        <f t="shared" si="90"/>
        <v>#VALUE!</v>
      </c>
    </row>
    <row r="182" spans="5:113">
      <c r="E182">
        <f t="shared" si="91"/>
        <v>2</v>
      </c>
      <c r="F182">
        <f t="shared" si="91"/>
        <v>2</v>
      </c>
      <c r="G182">
        <f t="shared" si="91"/>
        <v>4</v>
      </c>
      <c r="H182">
        <f t="shared" si="91"/>
        <v>2</v>
      </c>
      <c r="I182">
        <f t="shared" si="91"/>
        <v>1</v>
      </c>
      <c r="J182">
        <f t="shared" si="91"/>
        <v>4</v>
      </c>
      <c r="K182">
        <f t="shared" si="91"/>
        <v>2</v>
      </c>
      <c r="L182">
        <f t="shared" si="91"/>
        <v>3</v>
      </c>
      <c r="M182">
        <f t="shared" si="91"/>
        <v>2</v>
      </c>
      <c r="N182">
        <f t="shared" si="91"/>
        <v>2</v>
      </c>
      <c r="O182">
        <f t="shared" si="91"/>
        <v>3</v>
      </c>
      <c r="P182">
        <f t="shared" si="91"/>
        <v>2</v>
      </c>
      <c r="Q182">
        <f t="shared" si="91"/>
        <v>2</v>
      </c>
      <c r="R182">
        <f t="shared" si="91"/>
        <v>3</v>
      </c>
      <c r="S182">
        <f t="shared" si="91"/>
        <v>4</v>
      </c>
      <c r="T182">
        <f t="shared" si="91"/>
        <v>2</v>
      </c>
      <c r="U182" t="e">
        <f t="shared" si="91"/>
        <v>#VALUE!</v>
      </c>
      <c r="V182" t="e">
        <f t="shared" si="91"/>
        <v>#VALUE!</v>
      </c>
      <c r="W182" t="e">
        <f t="shared" si="91"/>
        <v>#VALUE!</v>
      </c>
      <c r="X182" t="e">
        <f t="shared" si="91"/>
        <v>#VALUE!</v>
      </c>
      <c r="Y182" t="e">
        <f t="shared" si="91"/>
        <v>#VALUE!</v>
      </c>
      <c r="Z182" t="e">
        <f t="shared" si="91"/>
        <v>#VALUE!</v>
      </c>
      <c r="AA182" t="e">
        <f t="shared" si="91"/>
        <v>#VALUE!</v>
      </c>
      <c r="AB182" t="e">
        <f t="shared" si="91"/>
        <v>#VALUE!</v>
      </c>
      <c r="AC182" t="e">
        <f t="shared" si="91"/>
        <v>#VALUE!</v>
      </c>
      <c r="AD182" t="e">
        <f t="shared" si="91"/>
        <v>#VALUE!</v>
      </c>
      <c r="AE182" t="e">
        <f t="shared" si="91"/>
        <v>#VALUE!</v>
      </c>
      <c r="AF182" t="e">
        <f t="shared" si="91"/>
        <v>#VALUE!</v>
      </c>
      <c r="AG182" t="e">
        <f t="shared" si="91"/>
        <v>#VALUE!</v>
      </c>
      <c r="AH182" t="e">
        <f t="shared" si="91"/>
        <v>#VALUE!</v>
      </c>
      <c r="AI182" t="e">
        <f t="shared" si="91"/>
        <v>#VALUE!</v>
      </c>
      <c r="AJ182" t="e">
        <f t="shared" si="91"/>
        <v>#VALUE!</v>
      </c>
      <c r="AK182" t="e">
        <f t="shared" si="91"/>
        <v>#VALUE!</v>
      </c>
      <c r="AL182" t="e">
        <f t="shared" si="91"/>
        <v>#VALUE!</v>
      </c>
      <c r="AM182" t="e">
        <f t="shared" si="91"/>
        <v>#VALUE!</v>
      </c>
      <c r="AN182" t="e">
        <f t="shared" si="91"/>
        <v>#VALUE!</v>
      </c>
      <c r="AO182" t="e">
        <f t="shared" si="91"/>
        <v>#VALUE!</v>
      </c>
      <c r="AP182" t="e">
        <f t="shared" si="91"/>
        <v>#VALUE!</v>
      </c>
      <c r="AQ182" t="e">
        <f t="shared" si="91"/>
        <v>#VALUE!</v>
      </c>
      <c r="AR182" t="e">
        <f t="shared" si="91"/>
        <v>#VALUE!</v>
      </c>
      <c r="AS182" t="e">
        <f t="shared" si="91"/>
        <v>#VALUE!</v>
      </c>
      <c r="AT182" t="e">
        <f t="shared" si="91"/>
        <v>#VALUE!</v>
      </c>
      <c r="AU182" t="e">
        <f t="shared" si="91"/>
        <v>#VALUE!</v>
      </c>
      <c r="AV182" t="e">
        <f t="shared" si="91"/>
        <v>#VALUE!</v>
      </c>
      <c r="AW182" t="e">
        <f t="shared" si="91"/>
        <v>#VALUE!</v>
      </c>
      <c r="AX182" t="e">
        <f t="shared" si="91"/>
        <v>#VALUE!</v>
      </c>
      <c r="AY182" t="e">
        <f t="shared" si="91"/>
        <v>#VALUE!</v>
      </c>
      <c r="AZ182" t="e">
        <f t="shared" si="91"/>
        <v>#VALUE!</v>
      </c>
      <c r="BA182" t="e">
        <f t="shared" si="91"/>
        <v>#VALUE!</v>
      </c>
      <c r="BB182" t="e">
        <f t="shared" si="91"/>
        <v>#VALUE!</v>
      </c>
      <c r="BC182" t="e">
        <f t="shared" si="91"/>
        <v>#VALUE!</v>
      </c>
      <c r="BD182" t="e">
        <f t="shared" si="91"/>
        <v>#VALUE!</v>
      </c>
      <c r="BE182" t="e">
        <f t="shared" si="91"/>
        <v>#VALUE!</v>
      </c>
      <c r="BF182" t="e">
        <f t="shared" si="91"/>
        <v>#VALUE!</v>
      </c>
      <c r="BG182" t="e">
        <f t="shared" si="91"/>
        <v>#VALUE!</v>
      </c>
      <c r="BH182" t="e">
        <f t="shared" si="91"/>
        <v>#VALUE!</v>
      </c>
      <c r="BI182" t="e">
        <f t="shared" si="91"/>
        <v>#VALUE!</v>
      </c>
      <c r="BJ182" t="e">
        <f t="shared" si="91"/>
        <v>#VALUE!</v>
      </c>
      <c r="BK182" t="e">
        <f t="shared" si="91"/>
        <v>#VALUE!</v>
      </c>
      <c r="BL182" t="e">
        <f t="shared" si="91"/>
        <v>#VALUE!</v>
      </c>
      <c r="BM182" t="e">
        <f t="shared" si="91"/>
        <v>#VALUE!</v>
      </c>
      <c r="BN182" t="e">
        <f t="shared" si="91"/>
        <v>#VALUE!</v>
      </c>
      <c r="BO182" t="e">
        <f t="shared" si="91"/>
        <v>#VALUE!</v>
      </c>
      <c r="BP182" t="e">
        <f t="shared" si="91"/>
        <v>#VALUE!</v>
      </c>
      <c r="BQ182" t="e">
        <f t="shared" si="89"/>
        <v>#VALUE!</v>
      </c>
      <c r="BR182" t="e">
        <f t="shared" si="89"/>
        <v>#VALUE!</v>
      </c>
      <c r="BS182" t="e">
        <f t="shared" si="89"/>
        <v>#VALUE!</v>
      </c>
      <c r="BT182" t="e">
        <f t="shared" si="89"/>
        <v>#VALUE!</v>
      </c>
      <c r="BU182" t="e">
        <f t="shared" si="89"/>
        <v>#VALUE!</v>
      </c>
      <c r="BV182" t="e">
        <f t="shared" si="89"/>
        <v>#VALUE!</v>
      </c>
      <c r="BW182" t="e">
        <f t="shared" si="89"/>
        <v>#VALUE!</v>
      </c>
      <c r="BX182" t="e">
        <f t="shared" si="89"/>
        <v>#VALUE!</v>
      </c>
      <c r="BY182" t="e">
        <f t="shared" si="89"/>
        <v>#VALUE!</v>
      </c>
      <c r="BZ182" t="e">
        <f t="shared" si="89"/>
        <v>#VALUE!</v>
      </c>
      <c r="CA182" t="e">
        <f t="shared" si="89"/>
        <v>#VALUE!</v>
      </c>
      <c r="CB182" t="e">
        <f t="shared" si="89"/>
        <v>#VALUE!</v>
      </c>
      <c r="CC182" t="e">
        <f t="shared" si="89"/>
        <v>#VALUE!</v>
      </c>
      <c r="CD182" t="e">
        <f t="shared" si="89"/>
        <v>#VALUE!</v>
      </c>
      <c r="CE182" t="e">
        <f t="shared" si="89"/>
        <v>#VALUE!</v>
      </c>
      <c r="CF182" t="e">
        <f t="shared" si="89"/>
        <v>#VALUE!</v>
      </c>
      <c r="CG182" t="e">
        <f t="shared" si="89"/>
        <v>#VALUE!</v>
      </c>
      <c r="CH182" t="e">
        <f t="shared" si="89"/>
        <v>#VALUE!</v>
      </c>
      <c r="CI182" t="e">
        <f t="shared" si="89"/>
        <v>#VALUE!</v>
      </c>
      <c r="CJ182" t="e">
        <f t="shared" si="89"/>
        <v>#VALUE!</v>
      </c>
      <c r="CK182" t="e">
        <f t="shared" si="89"/>
        <v>#VALUE!</v>
      </c>
      <c r="CL182" t="e">
        <f t="shared" si="89"/>
        <v>#VALUE!</v>
      </c>
      <c r="CM182" t="e">
        <f t="shared" si="89"/>
        <v>#VALUE!</v>
      </c>
      <c r="CN182" t="e">
        <f t="shared" si="89"/>
        <v>#VALUE!</v>
      </c>
      <c r="CO182" t="e">
        <f t="shared" si="89"/>
        <v>#VALUE!</v>
      </c>
      <c r="CP182" t="e">
        <f t="shared" si="89"/>
        <v>#VALUE!</v>
      </c>
      <c r="CQ182" t="e">
        <f t="shared" si="89"/>
        <v>#VALUE!</v>
      </c>
      <c r="CR182" t="e">
        <f t="shared" si="89"/>
        <v>#VALUE!</v>
      </c>
      <c r="CS182" t="e">
        <f t="shared" si="89"/>
        <v>#VALUE!</v>
      </c>
      <c r="CT182" t="e">
        <f t="shared" si="89"/>
        <v>#VALUE!</v>
      </c>
      <c r="CU182" t="e">
        <f t="shared" si="89"/>
        <v>#VALUE!</v>
      </c>
      <c r="CV182" t="e">
        <f t="shared" si="89"/>
        <v>#VALUE!</v>
      </c>
      <c r="CW182" t="e">
        <f t="shared" si="89"/>
        <v>#VALUE!</v>
      </c>
      <c r="CX182" t="e">
        <f t="shared" si="89"/>
        <v>#VALUE!</v>
      </c>
      <c r="CY182" t="e">
        <f t="shared" si="89"/>
        <v>#VALUE!</v>
      </c>
      <c r="CZ182" t="e">
        <f t="shared" si="89"/>
        <v>#VALUE!</v>
      </c>
      <c r="DA182" t="e">
        <f t="shared" si="89"/>
        <v>#VALUE!</v>
      </c>
      <c r="DB182" t="e">
        <f t="shared" si="90"/>
        <v>#VALUE!</v>
      </c>
      <c r="DC182" t="e">
        <f t="shared" si="90"/>
        <v>#VALUE!</v>
      </c>
      <c r="DD182" t="e">
        <f t="shared" si="90"/>
        <v>#VALUE!</v>
      </c>
      <c r="DE182" t="e">
        <f t="shared" si="90"/>
        <v>#VALUE!</v>
      </c>
      <c r="DF182" t="e">
        <f t="shared" si="90"/>
        <v>#VALUE!</v>
      </c>
      <c r="DG182" t="e">
        <f t="shared" si="90"/>
        <v>#VALUE!</v>
      </c>
      <c r="DH182" t="e">
        <f t="shared" si="90"/>
        <v>#VALUE!</v>
      </c>
      <c r="DI182" t="e">
        <f t="shared" si="90"/>
        <v>#VALUE!</v>
      </c>
    </row>
    <row r="183" spans="5:113">
      <c r="E183">
        <f t="shared" si="91"/>
        <v>3</v>
      </c>
      <c r="F183">
        <f t="shared" si="91"/>
        <v>2</v>
      </c>
      <c r="G183">
        <f t="shared" si="91"/>
        <v>3</v>
      </c>
      <c r="H183">
        <f t="shared" si="91"/>
        <v>2</v>
      </c>
      <c r="I183">
        <f t="shared" si="91"/>
        <v>3</v>
      </c>
      <c r="J183">
        <f t="shared" si="91"/>
        <v>3</v>
      </c>
      <c r="K183">
        <f t="shared" si="91"/>
        <v>2</v>
      </c>
      <c r="L183">
        <f t="shared" si="91"/>
        <v>1</v>
      </c>
      <c r="M183">
        <f t="shared" si="91"/>
        <v>1</v>
      </c>
      <c r="N183">
        <f t="shared" si="91"/>
        <v>1</v>
      </c>
      <c r="O183">
        <f t="shared" si="91"/>
        <v>0</v>
      </c>
      <c r="P183">
        <f t="shared" si="91"/>
        <v>2</v>
      </c>
      <c r="Q183">
        <f t="shared" si="91"/>
        <v>1</v>
      </c>
      <c r="R183">
        <f t="shared" si="91"/>
        <v>1</v>
      </c>
      <c r="S183">
        <f t="shared" si="91"/>
        <v>4</v>
      </c>
      <c r="T183">
        <f t="shared" si="91"/>
        <v>2</v>
      </c>
      <c r="U183" t="e">
        <f t="shared" si="91"/>
        <v>#VALUE!</v>
      </c>
      <c r="V183" t="e">
        <f t="shared" si="91"/>
        <v>#VALUE!</v>
      </c>
      <c r="W183" t="e">
        <f t="shared" si="91"/>
        <v>#VALUE!</v>
      </c>
      <c r="X183" t="e">
        <f t="shared" si="91"/>
        <v>#VALUE!</v>
      </c>
      <c r="Y183" t="e">
        <f t="shared" si="91"/>
        <v>#VALUE!</v>
      </c>
      <c r="Z183" t="e">
        <f t="shared" si="91"/>
        <v>#VALUE!</v>
      </c>
      <c r="AA183" t="e">
        <f t="shared" si="91"/>
        <v>#VALUE!</v>
      </c>
      <c r="AB183" t="e">
        <f t="shared" si="91"/>
        <v>#VALUE!</v>
      </c>
      <c r="AC183" t="e">
        <f t="shared" si="91"/>
        <v>#VALUE!</v>
      </c>
      <c r="AD183" t="e">
        <f t="shared" si="91"/>
        <v>#VALUE!</v>
      </c>
      <c r="AE183" t="e">
        <f t="shared" si="91"/>
        <v>#VALUE!</v>
      </c>
      <c r="AF183" t="e">
        <f t="shared" si="91"/>
        <v>#VALUE!</v>
      </c>
      <c r="AG183" t="e">
        <f t="shared" si="91"/>
        <v>#VALUE!</v>
      </c>
      <c r="AH183" t="e">
        <f t="shared" si="91"/>
        <v>#VALUE!</v>
      </c>
      <c r="AI183" t="e">
        <f t="shared" si="91"/>
        <v>#VALUE!</v>
      </c>
      <c r="AJ183" t="e">
        <f t="shared" si="91"/>
        <v>#VALUE!</v>
      </c>
      <c r="AK183" t="e">
        <f t="shared" si="91"/>
        <v>#VALUE!</v>
      </c>
      <c r="AL183" t="e">
        <f t="shared" si="91"/>
        <v>#VALUE!</v>
      </c>
      <c r="AM183" t="e">
        <f t="shared" si="91"/>
        <v>#VALUE!</v>
      </c>
      <c r="AN183" t="e">
        <f t="shared" si="91"/>
        <v>#VALUE!</v>
      </c>
      <c r="AO183" t="e">
        <f t="shared" si="91"/>
        <v>#VALUE!</v>
      </c>
      <c r="AP183" t="e">
        <f t="shared" si="91"/>
        <v>#VALUE!</v>
      </c>
      <c r="AQ183" t="e">
        <f t="shared" si="91"/>
        <v>#VALUE!</v>
      </c>
      <c r="AR183" t="e">
        <f t="shared" si="91"/>
        <v>#VALUE!</v>
      </c>
      <c r="AS183" t="e">
        <f t="shared" si="91"/>
        <v>#VALUE!</v>
      </c>
      <c r="AT183" t="e">
        <f t="shared" si="91"/>
        <v>#VALUE!</v>
      </c>
      <c r="AU183" t="e">
        <f t="shared" si="91"/>
        <v>#VALUE!</v>
      </c>
      <c r="AV183" t="e">
        <f t="shared" si="91"/>
        <v>#VALUE!</v>
      </c>
      <c r="AW183" t="e">
        <f t="shared" si="91"/>
        <v>#VALUE!</v>
      </c>
      <c r="AX183" t="e">
        <f t="shared" si="91"/>
        <v>#VALUE!</v>
      </c>
      <c r="AY183" t="e">
        <f t="shared" si="91"/>
        <v>#VALUE!</v>
      </c>
      <c r="AZ183" t="e">
        <f t="shared" si="91"/>
        <v>#VALUE!</v>
      </c>
      <c r="BA183" t="e">
        <f t="shared" si="91"/>
        <v>#VALUE!</v>
      </c>
      <c r="BB183" t="e">
        <f t="shared" si="91"/>
        <v>#VALUE!</v>
      </c>
      <c r="BC183" t="e">
        <f t="shared" si="91"/>
        <v>#VALUE!</v>
      </c>
      <c r="BD183" t="e">
        <f t="shared" si="91"/>
        <v>#VALUE!</v>
      </c>
      <c r="BE183" t="e">
        <f t="shared" si="91"/>
        <v>#VALUE!</v>
      </c>
      <c r="BF183" t="e">
        <f t="shared" si="91"/>
        <v>#VALUE!</v>
      </c>
      <c r="BG183" t="e">
        <f t="shared" si="91"/>
        <v>#VALUE!</v>
      </c>
      <c r="BH183" t="e">
        <f t="shared" si="91"/>
        <v>#VALUE!</v>
      </c>
      <c r="BI183" t="e">
        <f t="shared" si="91"/>
        <v>#VALUE!</v>
      </c>
      <c r="BJ183" t="e">
        <f t="shared" si="91"/>
        <v>#VALUE!</v>
      </c>
      <c r="BK183" t="e">
        <f t="shared" si="91"/>
        <v>#VALUE!</v>
      </c>
      <c r="BL183" t="e">
        <f t="shared" si="91"/>
        <v>#VALUE!</v>
      </c>
      <c r="BM183" t="e">
        <f t="shared" si="91"/>
        <v>#VALUE!</v>
      </c>
      <c r="BN183" t="e">
        <f t="shared" si="91"/>
        <v>#VALUE!</v>
      </c>
      <c r="BO183" t="e">
        <f t="shared" si="91"/>
        <v>#VALUE!</v>
      </c>
      <c r="BP183" t="e">
        <f t="shared" si="91"/>
        <v>#VALUE!</v>
      </c>
      <c r="BQ183" t="e">
        <f t="shared" si="89"/>
        <v>#VALUE!</v>
      </c>
      <c r="BR183" t="e">
        <f t="shared" si="89"/>
        <v>#VALUE!</v>
      </c>
      <c r="BS183" t="e">
        <f t="shared" si="89"/>
        <v>#VALUE!</v>
      </c>
      <c r="BT183" t="e">
        <f t="shared" si="89"/>
        <v>#VALUE!</v>
      </c>
      <c r="BU183" t="e">
        <f t="shared" si="89"/>
        <v>#VALUE!</v>
      </c>
      <c r="BV183" t="e">
        <f t="shared" si="89"/>
        <v>#VALUE!</v>
      </c>
      <c r="BW183" t="e">
        <f t="shared" si="89"/>
        <v>#VALUE!</v>
      </c>
      <c r="BX183" t="e">
        <f t="shared" si="89"/>
        <v>#VALUE!</v>
      </c>
      <c r="BY183" t="e">
        <f t="shared" si="89"/>
        <v>#VALUE!</v>
      </c>
      <c r="BZ183" t="e">
        <f t="shared" si="89"/>
        <v>#VALUE!</v>
      </c>
      <c r="CA183" t="e">
        <f t="shared" si="89"/>
        <v>#VALUE!</v>
      </c>
      <c r="CB183" t="e">
        <f t="shared" si="89"/>
        <v>#VALUE!</v>
      </c>
      <c r="CC183" t="e">
        <f t="shared" si="89"/>
        <v>#VALUE!</v>
      </c>
      <c r="CD183" t="e">
        <f t="shared" si="89"/>
        <v>#VALUE!</v>
      </c>
      <c r="CE183" t="e">
        <f t="shared" si="89"/>
        <v>#VALUE!</v>
      </c>
      <c r="CF183" t="e">
        <f t="shared" si="89"/>
        <v>#VALUE!</v>
      </c>
      <c r="CG183" t="e">
        <f t="shared" si="89"/>
        <v>#VALUE!</v>
      </c>
      <c r="CH183" t="e">
        <f t="shared" si="89"/>
        <v>#VALUE!</v>
      </c>
      <c r="CI183" t="e">
        <f t="shared" si="89"/>
        <v>#VALUE!</v>
      </c>
      <c r="CJ183" t="e">
        <f t="shared" si="89"/>
        <v>#VALUE!</v>
      </c>
      <c r="CK183" t="e">
        <f t="shared" si="89"/>
        <v>#VALUE!</v>
      </c>
      <c r="CL183" t="e">
        <f t="shared" si="89"/>
        <v>#VALUE!</v>
      </c>
      <c r="CM183" t="e">
        <f t="shared" si="89"/>
        <v>#VALUE!</v>
      </c>
      <c r="CN183" t="e">
        <f t="shared" si="89"/>
        <v>#VALUE!</v>
      </c>
      <c r="CO183" t="e">
        <f t="shared" si="89"/>
        <v>#VALUE!</v>
      </c>
      <c r="CP183" t="e">
        <f t="shared" si="89"/>
        <v>#VALUE!</v>
      </c>
      <c r="CQ183" t="e">
        <f t="shared" si="89"/>
        <v>#VALUE!</v>
      </c>
      <c r="CR183" t="e">
        <f t="shared" si="89"/>
        <v>#VALUE!</v>
      </c>
      <c r="CS183" t="e">
        <f t="shared" si="89"/>
        <v>#VALUE!</v>
      </c>
      <c r="CT183" t="e">
        <f t="shared" si="89"/>
        <v>#VALUE!</v>
      </c>
      <c r="CU183" t="e">
        <f t="shared" si="89"/>
        <v>#VALUE!</v>
      </c>
      <c r="CV183" t="e">
        <f t="shared" si="89"/>
        <v>#VALUE!</v>
      </c>
      <c r="CW183" t="e">
        <f t="shared" si="89"/>
        <v>#VALUE!</v>
      </c>
      <c r="CX183" t="e">
        <f t="shared" si="89"/>
        <v>#VALUE!</v>
      </c>
      <c r="CY183" t="e">
        <f t="shared" si="89"/>
        <v>#VALUE!</v>
      </c>
      <c r="CZ183" t="e">
        <f t="shared" si="89"/>
        <v>#VALUE!</v>
      </c>
      <c r="DA183" t="e">
        <f t="shared" si="89"/>
        <v>#VALUE!</v>
      </c>
      <c r="DB183" t="e">
        <f t="shared" si="90"/>
        <v>#VALUE!</v>
      </c>
      <c r="DC183" t="e">
        <f t="shared" si="90"/>
        <v>#VALUE!</v>
      </c>
      <c r="DD183" t="e">
        <f t="shared" si="90"/>
        <v>#VALUE!</v>
      </c>
      <c r="DE183" t="e">
        <f t="shared" si="90"/>
        <v>#VALUE!</v>
      </c>
      <c r="DF183" t="e">
        <f t="shared" si="90"/>
        <v>#VALUE!</v>
      </c>
      <c r="DG183" t="e">
        <f t="shared" si="90"/>
        <v>#VALUE!</v>
      </c>
      <c r="DH183" t="e">
        <f t="shared" si="90"/>
        <v>#VALUE!</v>
      </c>
      <c r="DI183" t="e">
        <f t="shared" si="90"/>
        <v>#VALUE!</v>
      </c>
    </row>
    <row r="184" spans="5:113">
      <c r="E184">
        <f t="shared" si="91"/>
        <v>2</v>
      </c>
      <c r="F184">
        <f t="shared" si="91"/>
        <v>2</v>
      </c>
      <c r="G184">
        <f t="shared" si="91"/>
        <v>2</v>
      </c>
      <c r="H184">
        <f t="shared" si="91"/>
        <v>3</v>
      </c>
      <c r="I184">
        <f t="shared" si="91"/>
        <v>3</v>
      </c>
      <c r="J184">
        <f t="shared" si="91"/>
        <v>2</v>
      </c>
      <c r="K184">
        <f t="shared" si="91"/>
        <v>2</v>
      </c>
      <c r="L184">
        <f t="shared" si="91"/>
        <v>2</v>
      </c>
      <c r="M184">
        <f t="shared" si="91"/>
        <v>1</v>
      </c>
      <c r="N184">
        <f t="shared" si="91"/>
        <v>2</v>
      </c>
      <c r="O184">
        <f t="shared" si="91"/>
        <v>2</v>
      </c>
      <c r="P184">
        <f t="shared" si="91"/>
        <v>2</v>
      </c>
      <c r="Q184">
        <f t="shared" si="91"/>
        <v>2</v>
      </c>
      <c r="R184">
        <f t="shared" si="91"/>
        <v>2</v>
      </c>
      <c r="S184">
        <f t="shared" si="91"/>
        <v>4</v>
      </c>
      <c r="T184">
        <f t="shared" si="91"/>
        <v>3</v>
      </c>
      <c r="U184" t="e">
        <f t="shared" si="91"/>
        <v>#VALUE!</v>
      </c>
      <c r="V184" t="e">
        <f t="shared" si="91"/>
        <v>#VALUE!</v>
      </c>
      <c r="W184" t="e">
        <f t="shared" si="91"/>
        <v>#VALUE!</v>
      </c>
      <c r="X184" t="e">
        <f t="shared" si="91"/>
        <v>#VALUE!</v>
      </c>
      <c r="Y184" t="e">
        <f t="shared" si="91"/>
        <v>#VALUE!</v>
      </c>
      <c r="Z184" t="e">
        <f t="shared" si="91"/>
        <v>#VALUE!</v>
      </c>
      <c r="AA184" t="e">
        <f t="shared" si="91"/>
        <v>#VALUE!</v>
      </c>
      <c r="AB184" t="e">
        <f t="shared" si="91"/>
        <v>#VALUE!</v>
      </c>
      <c r="AC184" t="e">
        <f t="shared" si="91"/>
        <v>#VALUE!</v>
      </c>
      <c r="AD184" t="e">
        <f t="shared" si="91"/>
        <v>#VALUE!</v>
      </c>
      <c r="AE184" t="e">
        <f t="shared" si="91"/>
        <v>#VALUE!</v>
      </c>
      <c r="AF184" t="e">
        <f t="shared" si="91"/>
        <v>#VALUE!</v>
      </c>
      <c r="AG184" t="e">
        <f t="shared" si="91"/>
        <v>#VALUE!</v>
      </c>
      <c r="AH184" t="e">
        <f t="shared" si="91"/>
        <v>#VALUE!</v>
      </c>
      <c r="AI184" t="e">
        <f t="shared" si="91"/>
        <v>#VALUE!</v>
      </c>
      <c r="AJ184" t="e">
        <f t="shared" si="91"/>
        <v>#VALUE!</v>
      </c>
      <c r="AK184" t="e">
        <f t="shared" si="91"/>
        <v>#VALUE!</v>
      </c>
      <c r="AL184" t="e">
        <f t="shared" si="91"/>
        <v>#VALUE!</v>
      </c>
      <c r="AM184" t="e">
        <f t="shared" si="91"/>
        <v>#VALUE!</v>
      </c>
      <c r="AN184" t="e">
        <f t="shared" si="91"/>
        <v>#VALUE!</v>
      </c>
      <c r="AO184" t="e">
        <f t="shared" si="91"/>
        <v>#VALUE!</v>
      </c>
      <c r="AP184" t="e">
        <f t="shared" si="91"/>
        <v>#VALUE!</v>
      </c>
      <c r="AQ184" t="e">
        <f t="shared" si="91"/>
        <v>#VALUE!</v>
      </c>
      <c r="AR184" t="e">
        <f t="shared" si="91"/>
        <v>#VALUE!</v>
      </c>
      <c r="AS184" t="e">
        <f t="shared" si="91"/>
        <v>#VALUE!</v>
      </c>
      <c r="AT184" t="e">
        <f t="shared" si="91"/>
        <v>#VALUE!</v>
      </c>
      <c r="AU184" t="e">
        <f t="shared" si="91"/>
        <v>#VALUE!</v>
      </c>
      <c r="AV184" t="e">
        <f t="shared" si="91"/>
        <v>#VALUE!</v>
      </c>
      <c r="AW184" t="e">
        <f t="shared" si="91"/>
        <v>#VALUE!</v>
      </c>
      <c r="AX184" t="e">
        <f t="shared" si="91"/>
        <v>#VALUE!</v>
      </c>
      <c r="AY184" t="e">
        <f t="shared" si="91"/>
        <v>#VALUE!</v>
      </c>
      <c r="AZ184" t="e">
        <f t="shared" si="91"/>
        <v>#VALUE!</v>
      </c>
      <c r="BA184" t="e">
        <f t="shared" si="91"/>
        <v>#VALUE!</v>
      </c>
      <c r="BB184" t="e">
        <f t="shared" si="91"/>
        <v>#VALUE!</v>
      </c>
      <c r="BC184" t="e">
        <f t="shared" si="91"/>
        <v>#VALUE!</v>
      </c>
      <c r="BD184" t="e">
        <f t="shared" si="91"/>
        <v>#VALUE!</v>
      </c>
      <c r="BE184" t="e">
        <f t="shared" si="91"/>
        <v>#VALUE!</v>
      </c>
      <c r="BF184" t="e">
        <f t="shared" si="91"/>
        <v>#VALUE!</v>
      </c>
      <c r="BG184" t="e">
        <f t="shared" si="91"/>
        <v>#VALUE!</v>
      </c>
      <c r="BH184" t="e">
        <f t="shared" si="91"/>
        <v>#VALUE!</v>
      </c>
      <c r="BI184" t="e">
        <f t="shared" si="91"/>
        <v>#VALUE!</v>
      </c>
      <c r="BJ184" t="e">
        <f t="shared" si="91"/>
        <v>#VALUE!</v>
      </c>
      <c r="BK184" t="e">
        <f t="shared" si="91"/>
        <v>#VALUE!</v>
      </c>
      <c r="BL184" t="e">
        <f t="shared" si="91"/>
        <v>#VALUE!</v>
      </c>
      <c r="BM184" t="e">
        <f t="shared" si="91"/>
        <v>#VALUE!</v>
      </c>
      <c r="BN184" t="e">
        <f t="shared" si="91"/>
        <v>#VALUE!</v>
      </c>
      <c r="BO184" t="e">
        <f t="shared" si="91"/>
        <v>#VALUE!</v>
      </c>
      <c r="BP184" t="e">
        <f t="shared" ref="BP184:CF187" si="92">LEFT(BP26)+RIGHT(BP26)</f>
        <v>#VALUE!</v>
      </c>
      <c r="BQ184" t="e">
        <f t="shared" si="92"/>
        <v>#VALUE!</v>
      </c>
      <c r="BR184" t="e">
        <f t="shared" si="92"/>
        <v>#VALUE!</v>
      </c>
      <c r="BS184" t="e">
        <f t="shared" si="92"/>
        <v>#VALUE!</v>
      </c>
      <c r="BT184" t="e">
        <f t="shared" si="92"/>
        <v>#VALUE!</v>
      </c>
      <c r="BU184" t="e">
        <f t="shared" si="92"/>
        <v>#VALUE!</v>
      </c>
      <c r="BV184" t="e">
        <f t="shared" si="92"/>
        <v>#VALUE!</v>
      </c>
      <c r="BW184" t="e">
        <f t="shared" si="92"/>
        <v>#VALUE!</v>
      </c>
      <c r="BX184" t="e">
        <f t="shared" si="92"/>
        <v>#VALUE!</v>
      </c>
      <c r="BY184" t="e">
        <f t="shared" si="92"/>
        <v>#VALUE!</v>
      </c>
      <c r="BZ184" t="e">
        <f t="shared" si="92"/>
        <v>#VALUE!</v>
      </c>
      <c r="CA184" t="e">
        <f t="shared" si="92"/>
        <v>#VALUE!</v>
      </c>
      <c r="CB184" t="e">
        <f t="shared" si="92"/>
        <v>#VALUE!</v>
      </c>
      <c r="CC184" t="e">
        <f t="shared" si="92"/>
        <v>#VALUE!</v>
      </c>
      <c r="CD184" t="e">
        <f t="shared" si="92"/>
        <v>#VALUE!</v>
      </c>
      <c r="CE184" t="e">
        <f t="shared" si="92"/>
        <v>#VALUE!</v>
      </c>
      <c r="CF184" t="e">
        <f t="shared" si="92"/>
        <v>#VALUE!</v>
      </c>
      <c r="CG184" t="e">
        <f t="shared" si="89"/>
        <v>#VALUE!</v>
      </c>
      <c r="CH184" t="e">
        <f t="shared" si="89"/>
        <v>#VALUE!</v>
      </c>
      <c r="CI184" t="e">
        <f t="shared" si="89"/>
        <v>#VALUE!</v>
      </c>
      <c r="CJ184" t="e">
        <f t="shared" si="89"/>
        <v>#VALUE!</v>
      </c>
      <c r="CK184" t="e">
        <f t="shared" si="89"/>
        <v>#VALUE!</v>
      </c>
      <c r="CL184" t="e">
        <f t="shared" si="89"/>
        <v>#VALUE!</v>
      </c>
      <c r="CM184" t="e">
        <f t="shared" si="89"/>
        <v>#VALUE!</v>
      </c>
      <c r="CN184" t="e">
        <f t="shared" si="89"/>
        <v>#VALUE!</v>
      </c>
      <c r="CO184" t="e">
        <f t="shared" si="89"/>
        <v>#VALUE!</v>
      </c>
      <c r="CP184" t="e">
        <f t="shared" si="89"/>
        <v>#VALUE!</v>
      </c>
      <c r="CQ184" t="e">
        <f t="shared" si="89"/>
        <v>#VALUE!</v>
      </c>
      <c r="CR184" t="e">
        <f t="shared" si="89"/>
        <v>#VALUE!</v>
      </c>
      <c r="CS184" t="e">
        <f t="shared" si="89"/>
        <v>#VALUE!</v>
      </c>
      <c r="CT184" t="e">
        <f t="shared" si="89"/>
        <v>#VALUE!</v>
      </c>
      <c r="CU184" t="e">
        <f t="shared" si="89"/>
        <v>#VALUE!</v>
      </c>
      <c r="CV184" t="e">
        <f t="shared" si="89"/>
        <v>#VALUE!</v>
      </c>
      <c r="CW184" t="e">
        <f t="shared" si="89"/>
        <v>#VALUE!</v>
      </c>
      <c r="CX184" t="e">
        <f t="shared" si="89"/>
        <v>#VALUE!</v>
      </c>
      <c r="CY184" t="e">
        <f t="shared" si="89"/>
        <v>#VALUE!</v>
      </c>
      <c r="CZ184" t="e">
        <f t="shared" si="89"/>
        <v>#VALUE!</v>
      </c>
      <c r="DA184" t="e">
        <f t="shared" si="89"/>
        <v>#VALUE!</v>
      </c>
      <c r="DB184" t="e">
        <f t="shared" si="90"/>
        <v>#VALUE!</v>
      </c>
      <c r="DC184" t="e">
        <f t="shared" si="90"/>
        <v>#VALUE!</v>
      </c>
      <c r="DD184" t="e">
        <f t="shared" si="90"/>
        <v>#VALUE!</v>
      </c>
      <c r="DE184" t="e">
        <f t="shared" si="90"/>
        <v>#VALUE!</v>
      </c>
      <c r="DF184" t="e">
        <f t="shared" si="90"/>
        <v>#VALUE!</v>
      </c>
      <c r="DG184" t="e">
        <f t="shared" si="90"/>
        <v>#VALUE!</v>
      </c>
      <c r="DH184" t="e">
        <f t="shared" si="90"/>
        <v>#VALUE!</v>
      </c>
      <c r="DI184" t="e">
        <f t="shared" si="90"/>
        <v>#VALUE!</v>
      </c>
    </row>
    <row r="185" spans="5:113">
      <c r="E185">
        <f t="shared" ref="E185:BP188" si="93">LEFT(E27)+RIGHT(E27)</f>
        <v>1</v>
      </c>
      <c r="F185">
        <f t="shared" si="93"/>
        <v>1</v>
      </c>
      <c r="G185">
        <f t="shared" si="93"/>
        <v>2</v>
      </c>
      <c r="H185">
        <f t="shared" si="93"/>
        <v>2</v>
      </c>
      <c r="I185">
        <f t="shared" si="93"/>
        <v>2</v>
      </c>
      <c r="J185">
        <f t="shared" si="93"/>
        <v>2</v>
      </c>
      <c r="K185">
        <f t="shared" si="93"/>
        <v>1</v>
      </c>
      <c r="L185">
        <f t="shared" si="93"/>
        <v>2</v>
      </c>
      <c r="M185">
        <f t="shared" si="93"/>
        <v>1</v>
      </c>
      <c r="N185">
        <f t="shared" si="93"/>
        <v>3</v>
      </c>
      <c r="O185">
        <f t="shared" si="93"/>
        <v>1</v>
      </c>
      <c r="P185">
        <f t="shared" si="93"/>
        <v>1</v>
      </c>
      <c r="Q185">
        <f t="shared" si="93"/>
        <v>2</v>
      </c>
      <c r="R185">
        <f t="shared" si="93"/>
        <v>2</v>
      </c>
      <c r="S185">
        <f t="shared" si="93"/>
        <v>2</v>
      </c>
      <c r="T185">
        <f t="shared" si="93"/>
        <v>2</v>
      </c>
      <c r="U185" t="e">
        <f t="shared" si="93"/>
        <v>#VALUE!</v>
      </c>
      <c r="V185" t="e">
        <f t="shared" si="93"/>
        <v>#VALUE!</v>
      </c>
      <c r="W185" t="e">
        <f t="shared" si="93"/>
        <v>#VALUE!</v>
      </c>
      <c r="X185" t="e">
        <f t="shared" si="93"/>
        <v>#VALUE!</v>
      </c>
      <c r="Y185" t="e">
        <f t="shared" si="93"/>
        <v>#VALUE!</v>
      </c>
      <c r="Z185" t="e">
        <f t="shared" si="93"/>
        <v>#VALUE!</v>
      </c>
      <c r="AA185" t="e">
        <f t="shared" si="93"/>
        <v>#VALUE!</v>
      </c>
      <c r="AB185" t="e">
        <f t="shared" si="93"/>
        <v>#VALUE!</v>
      </c>
      <c r="AC185" t="e">
        <f t="shared" si="93"/>
        <v>#VALUE!</v>
      </c>
      <c r="AD185" t="e">
        <f t="shared" si="93"/>
        <v>#VALUE!</v>
      </c>
      <c r="AE185" t="e">
        <f t="shared" si="93"/>
        <v>#VALUE!</v>
      </c>
      <c r="AF185" t="e">
        <f t="shared" si="93"/>
        <v>#VALUE!</v>
      </c>
      <c r="AG185" t="e">
        <f t="shared" si="93"/>
        <v>#VALUE!</v>
      </c>
      <c r="AH185" t="e">
        <f t="shared" si="93"/>
        <v>#VALUE!</v>
      </c>
      <c r="AI185" t="e">
        <f t="shared" si="93"/>
        <v>#VALUE!</v>
      </c>
      <c r="AJ185" t="e">
        <f t="shared" si="93"/>
        <v>#VALUE!</v>
      </c>
      <c r="AK185" t="e">
        <f t="shared" si="93"/>
        <v>#VALUE!</v>
      </c>
      <c r="AL185" t="e">
        <f t="shared" si="93"/>
        <v>#VALUE!</v>
      </c>
      <c r="AM185" t="e">
        <f t="shared" si="93"/>
        <v>#VALUE!</v>
      </c>
      <c r="AN185" t="e">
        <f t="shared" si="93"/>
        <v>#VALUE!</v>
      </c>
      <c r="AO185" t="e">
        <f t="shared" si="93"/>
        <v>#VALUE!</v>
      </c>
      <c r="AP185" t="e">
        <f t="shared" si="93"/>
        <v>#VALUE!</v>
      </c>
      <c r="AQ185" t="e">
        <f t="shared" si="93"/>
        <v>#VALUE!</v>
      </c>
      <c r="AR185" t="e">
        <f t="shared" si="93"/>
        <v>#VALUE!</v>
      </c>
      <c r="AS185" t="e">
        <f t="shared" si="93"/>
        <v>#VALUE!</v>
      </c>
      <c r="AT185" t="e">
        <f t="shared" si="93"/>
        <v>#VALUE!</v>
      </c>
      <c r="AU185" t="e">
        <f t="shared" si="93"/>
        <v>#VALUE!</v>
      </c>
      <c r="AV185" t="e">
        <f t="shared" si="93"/>
        <v>#VALUE!</v>
      </c>
      <c r="AW185" t="e">
        <f t="shared" si="93"/>
        <v>#VALUE!</v>
      </c>
      <c r="AX185" t="e">
        <f t="shared" si="93"/>
        <v>#VALUE!</v>
      </c>
      <c r="AY185" t="e">
        <f t="shared" si="93"/>
        <v>#VALUE!</v>
      </c>
      <c r="AZ185" t="e">
        <f t="shared" si="93"/>
        <v>#VALUE!</v>
      </c>
      <c r="BA185" t="e">
        <f t="shared" si="93"/>
        <v>#VALUE!</v>
      </c>
      <c r="BB185" t="e">
        <f t="shared" si="93"/>
        <v>#VALUE!</v>
      </c>
      <c r="BC185" t="e">
        <f t="shared" si="93"/>
        <v>#VALUE!</v>
      </c>
      <c r="BD185" t="e">
        <f t="shared" si="93"/>
        <v>#VALUE!</v>
      </c>
      <c r="BE185" t="e">
        <f t="shared" si="93"/>
        <v>#VALUE!</v>
      </c>
      <c r="BF185" t="e">
        <f t="shared" si="93"/>
        <v>#VALUE!</v>
      </c>
      <c r="BG185" t="e">
        <f t="shared" si="93"/>
        <v>#VALUE!</v>
      </c>
      <c r="BH185" t="e">
        <f t="shared" si="93"/>
        <v>#VALUE!</v>
      </c>
      <c r="BI185" t="e">
        <f t="shared" si="93"/>
        <v>#VALUE!</v>
      </c>
      <c r="BJ185" t="e">
        <f t="shared" si="93"/>
        <v>#VALUE!</v>
      </c>
      <c r="BK185" t="e">
        <f t="shared" si="93"/>
        <v>#VALUE!</v>
      </c>
      <c r="BL185" t="e">
        <f t="shared" si="93"/>
        <v>#VALUE!</v>
      </c>
      <c r="BM185" t="e">
        <f t="shared" si="93"/>
        <v>#VALUE!</v>
      </c>
      <c r="BN185" t="e">
        <f t="shared" si="93"/>
        <v>#VALUE!</v>
      </c>
      <c r="BO185" t="e">
        <f t="shared" si="93"/>
        <v>#VALUE!</v>
      </c>
      <c r="BP185" t="e">
        <f t="shared" si="93"/>
        <v>#VALUE!</v>
      </c>
      <c r="BQ185" t="e">
        <f t="shared" si="92"/>
        <v>#VALUE!</v>
      </c>
      <c r="BR185" t="e">
        <f t="shared" si="92"/>
        <v>#VALUE!</v>
      </c>
      <c r="BS185" t="e">
        <f t="shared" si="92"/>
        <v>#VALUE!</v>
      </c>
      <c r="BT185" t="e">
        <f t="shared" si="92"/>
        <v>#VALUE!</v>
      </c>
      <c r="BU185" t="e">
        <f t="shared" si="92"/>
        <v>#VALUE!</v>
      </c>
      <c r="BV185" t="e">
        <f t="shared" si="92"/>
        <v>#VALUE!</v>
      </c>
      <c r="BW185" t="e">
        <f t="shared" si="92"/>
        <v>#VALUE!</v>
      </c>
      <c r="BX185" t="e">
        <f t="shared" si="92"/>
        <v>#VALUE!</v>
      </c>
      <c r="BY185" t="e">
        <f t="shared" si="92"/>
        <v>#VALUE!</v>
      </c>
      <c r="BZ185" t="e">
        <f t="shared" si="92"/>
        <v>#VALUE!</v>
      </c>
      <c r="CA185" t="e">
        <f t="shared" si="92"/>
        <v>#VALUE!</v>
      </c>
      <c r="CB185" t="e">
        <f t="shared" si="92"/>
        <v>#VALUE!</v>
      </c>
      <c r="CC185" t="e">
        <f t="shared" si="92"/>
        <v>#VALUE!</v>
      </c>
      <c r="CD185" t="e">
        <f t="shared" si="92"/>
        <v>#VALUE!</v>
      </c>
      <c r="CE185" t="e">
        <f t="shared" si="92"/>
        <v>#VALUE!</v>
      </c>
      <c r="CF185" t="e">
        <f t="shared" si="92"/>
        <v>#VALUE!</v>
      </c>
      <c r="CG185" t="e">
        <f t="shared" si="89"/>
        <v>#VALUE!</v>
      </c>
      <c r="CH185" t="e">
        <f t="shared" si="89"/>
        <v>#VALUE!</v>
      </c>
      <c r="CI185" t="e">
        <f t="shared" si="89"/>
        <v>#VALUE!</v>
      </c>
      <c r="CJ185" t="e">
        <f t="shared" si="89"/>
        <v>#VALUE!</v>
      </c>
      <c r="CK185" t="e">
        <f t="shared" si="89"/>
        <v>#VALUE!</v>
      </c>
      <c r="CL185" t="e">
        <f t="shared" si="89"/>
        <v>#VALUE!</v>
      </c>
      <c r="CM185" t="e">
        <f t="shared" si="89"/>
        <v>#VALUE!</v>
      </c>
      <c r="CN185" t="e">
        <f t="shared" si="89"/>
        <v>#VALUE!</v>
      </c>
      <c r="CO185" t="e">
        <f t="shared" si="89"/>
        <v>#VALUE!</v>
      </c>
      <c r="CP185" t="e">
        <f t="shared" si="89"/>
        <v>#VALUE!</v>
      </c>
      <c r="CQ185" t="e">
        <f t="shared" si="89"/>
        <v>#VALUE!</v>
      </c>
      <c r="CR185" t="e">
        <f t="shared" si="89"/>
        <v>#VALUE!</v>
      </c>
      <c r="CS185" t="e">
        <f t="shared" si="89"/>
        <v>#VALUE!</v>
      </c>
      <c r="CT185" t="e">
        <f t="shared" si="89"/>
        <v>#VALUE!</v>
      </c>
      <c r="CU185" t="e">
        <f t="shared" si="89"/>
        <v>#VALUE!</v>
      </c>
      <c r="CV185" t="e">
        <f t="shared" si="89"/>
        <v>#VALUE!</v>
      </c>
      <c r="CW185" t="e">
        <f t="shared" si="89"/>
        <v>#VALUE!</v>
      </c>
      <c r="CX185" t="e">
        <f t="shared" si="89"/>
        <v>#VALUE!</v>
      </c>
      <c r="CY185" t="e">
        <f t="shared" si="89"/>
        <v>#VALUE!</v>
      </c>
      <c r="CZ185" t="e">
        <f t="shared" si="89"/>
        <v>#VALUE!</v>
      </c>
      <c r="DA185" t="e">
        <f t="shared" si="89"/>
        <v>#VALUE!</v>
      </c>
      <c r="DB185" t="e">
        <f t="shared" si="90"/>
        <v>#VALUE!</v>
      </c>
      <c r="DC185" t="e">
        <f t="shared" si="90"/>
        <v>#VALUE!</v>
      </c>
      <c r="DD185" t="e">
        <f t="shared" si="90"/>
        <v>#VALUE!</v>
      </c>
      <c r="DE185" t="e">
        <f t="shared" si="90"/>
        <v>#VALUE!</v>
      </c>
      <c r="DF185" t="e">
        <f t="shared" si="90"/>
        <v>#VALUE!</v>
      </c>
      <c r="DG185" t="e">
        <f t="shared" si="90"/>
        <v>#VALUE!</v>
      </c>
      <c r="DH185" t="e">
        <f t="shared" si="90"/>
        <v>#VALUE!</v>
      </c>
      <c r="DI185" t="e">
        <f t="shared" si="90"/>
        <v>#VALUE!</v>
      </c>
    </row>
    <row r="186" spans="5:113">
      <c r="E186">
        <f t="shared" si="93"/>
        <v>3</v>
      </c>
      <c r="F186">
        <f t="shared" si="93"/>
        <v>1</v>
      </c>
      <c r="G186">
        <f t="shared" si="93"/>
        <v>2</v>
      </c>
      <c r="H186">
        <f t="shared" si="93"/>
        <v>2</v>
      </c>
      <c r="I186">
        <f t="shared" si="93"/>
        <v>4</v>
      </c>
      <c r="J186">
        <f t="shared" si="93"/>
        <v>3</v>
      </c>
      <c r="K186">
        <f t="shared" si="93"/>
        <v>1</v>
      </c>
      <c r="L186">
        <f t="shared" si="93"/>
        <v>2</v>
      </c>
      <c r="M186">
        <f t="shared" si="93"/>
        <v>2</v>
      </c>
      <c r="N186">
        <f t="shared" si="93"/>
        <v>3</v>
      </c>
      <c r="O186">
        <f t="shared" si="93"/>
        <v>2</v>
      </c>
      <c r="P186">
        <f t="shared" si="93"/>
        <v>3</v>
      </c>
      <c r="Q186">
        <f t="shared" si="93"/>
        <v>2</v>
      </c>
      <c r="R186">
        <f t="shared" si="93"/>
        <v>3</v>
      </c>
      <c r="S186">
        <f t="shared" si="93"/>
        <v>3</v>
      </c>
      <c r="T186">
        <f t="shared" si="93"/>
        <v>2</v>
      </c>
      <c r="U186" t="e">
        <f t="shared" si="93"/>
        <v>#VALUE!</v>
      </c>
      <c r="V186" t="e">
        <f t="shared" si="93"/>
        <v>#VALUE!</v>
      </c>
      <c r="W186" t="e">
        <f t="shared" si="93"/>
        <v>#VALUE!</v>
      </c>
      <c r="X186" t="e">
        <f t="shared" si="93"/>
        <v>#VALUE!</v>
      </c>
      <c r="Y186" t="e">
        <f t="shared" si="93"/>
        <v>#VALUE!</v>
      </c>
      <c r="Z186" t="e">
        <f t="shared" si="93"/>
        <v>#VALUE!</v>
      </c>
      <c r="AA186" t="e">
        <f t="shared" si="93"/>
        <v>#VALUE!</v>
      </c>
      <c r="AB186" t="e">
        <f t="shared" si="93"/>
        <v>#VALUE!</v>
      </c>
      <c r="AC186" t="e">
        <f t="shared" si="93"/>
        <v>#VALUE!</v>
      </c>
      <c r="AD186" t="e">
        <f t="shared" si="93"/>
        <v>#VALUE!</v>
      </c>
      <c r="AE186" t="e">
        <f t="shared" si="93"/>
        <v>#VALUE!</v>
      </c>
      <c r="AF186" t="e">
        <f t="shared" si="93"/>
        <v>#VALUE!</v>
      </c>
      <c r="AG186" t="e">
        <f t="shared" si="93"/>
        <v>#VALUE!</v>
      </c>
      <c r="AH186" t="e">
        <f t="shared" si="93"/>
        <v>#VALUE!</v>
      </c>
      <c r="AI186" t="e">
        <f t="shared" si="93"/>
        <v>#VALUE!</v>
      </c>
      <c r="AJ186" t="e">
        <f t="shared" si="93"/>
        <v>#VALUE!</v>
      </c>
      <c r="AK186" t="e">
        <f t="shared" si="93"/>
        <v>#VALUE!</v>
      </c>
      <c r="AL186" t="e">
        <f t="shared" si="93"/>
        <v>#VALUE!</v>
      </c>
      <c r="AM186" t="e">
        <f t="shared" si="93"/>
        <v>#VALUE!</v>
      </c>
      <c r="AN186" t="e">
        <f t="shared" si="93"/>
        <v>#VALUE!</v>
      </c>
      <c r="AO186" t="e">
        <f t="shared" si="93"/>
        <v>#VALUE!</v>
      </c>
      <c r="AP186" t="e">
        <f t="shared" si="93"/>
        <v>#VALUE!</v>
      </c>
      <c r="AQ186" t="e">
        <f t="shared" si="93"/>
        <v>#VALUE!</v>
      </c>
      <c r="AR186" t="e">
        <f t="shared" si="93"/>
        <v>#VALUE!</v>
      </c>
      <c r="AS186" t="e">
        <f t="shared" si="93"/>
        <v>#VALUE!</v>
      </c>
      <c r="AT186" t="e">
        <f t="shared" si="93"/>
        <v>#VALUE!</v>
      </c>
      <c r="AU186" t="e">
        <f t="shared" si="93"/>
        <v>#VALUE!</v>
      </c>
      <c r="AV186" t="e">
        <f t="shared" si="93"/>
        <v>#VALUE!</v>
      </c>
      <c r="AW186" t="e">
        <f t="shared" si="93"/>
        <v>#VALUE!</v>
      </c>
      <c r="AX186" t="e">
        <f t="shared" si="93"/>
        <v>#VALUE!</v>
      </c>
      <c r="AY186" t="e">
        <f t="shared" si="93"/>
        <v>#VALUE!</v>
      </c>
      <c r="AZ186" t="e">
        <f t="shared" si="93"/>
        <v>#VALUE!</v>
      </c>
      <c r="BA186" t="e">
        <f t="shared" si="93"/>
        <v>#VALUE!</v>
      </c>
      <c r="BB186" t="e">
        <f t="shared" si="93"/>
        <v>#VALUE!</v>
      </c>
      <c r="BC186" t="e">
        <f t="shared" si="93"/>
        <v>#VALUE!</v>
      </c>
      <c r="BD186" t="e">
        <f t="shared" si="93"/>
        <v>#VALUE!</v>
      </c>
      <c r="BE186" t="e">
        <f t="shared" si="93"/>
        <v>#VALUE!</v>
      </c>
      <c r="BF186" t="e">
        <f t="shared" si="93"/>
        <v>#VALUE!</v>
      </c>
      <c r="BG186" t="e">
        <f t="shared" si="93"/>
        <v>#VALUE!</v>
      </c>
      <c r="BH186" t="e">
        <f t="shared" si="93"/>
        <v>#VALUE!</v>
      </c>
      <c r="BI186" t="e">
        <f t="shared" si="93"/>
        <v>#VALUE!</v>
      </c>
      <c r="BJ186" t="e">
        <f t="shared" si="93"/>
        <v>#VALUE!</v>
      </c>
      <c r="BK186" t="e">
        <f t="shared" si="93"/>
        <v>#VALUE!</v>
      </c>
      <c r="BL186" t="e">
        <f t="shared" si="93"/>
        <v>#VALUE!</v>
      </c>
      <c r="BM186" t="e">
        <f t="shared" si="93"/>
        <v>#VALUE!</v>
      </c>
      <c r="BN186" t="e">
        <f t="shared" si="93"/>
        <v>#VALUE!</v>
      </c>
      <c r="BO186" t="e">
        <f t="shared" si="93"/>
        <v>#VALUE!</v>
      </c>
      <c r="BP186" t="e">
        <f t="shared" si="93"/>
        <v>#VALUE!</v>
      </c>
      <c r="BQ186" t="e">
        <f t="shared" si="92"/>
        <v>#VALUE!</v>
      </c>
      <c r="BR186" t="e">
        <f t="shared" si="92"/>
        <v>#VALUE!</v>
      </c>
      <c r="BS186" t="e">
        <f t="shared" si="92"/>
        <v>#VALUE!</v>
      </c>
      <c r="BT186" t="e">
        <f t="shared" si="92"/>
        <v>#VALUE!</v>
      </c>
      <c r="BU186" t="e">
        <f t="shared" si="92"/>
        <v>#VALUE!</v>
      </c>
      <c r="BV186" t="e">
        <f t="shared" si="92"/>
        <v>#VALUE!</v>
      </c>
      <c r="BW186" t="e">
        <f t="shared" si="92"/>
        <v>#VALUE!</v>
      </c>
      <c r="BX186" t="e">
        <f t="shared" si="92"/>
        <v>#VALUE!</v>
      </c>
      <c r="BY186" t="e">
        <f t="shared" si="92"/>
        <v>#VALUE!</v>
      </c>
      <c r="BZ186" t="e">
        <f t="shared" si="92"/>
        <v>#VALUE!</v>
      </c>
      <c r="CA186" t="e">
        <f t="shared" si="92"/>
        <v>#VALUE!</v>
      </c>
      <c r="CB186" t="e">
        <f t="shared" si="92"/>
        <v>#VALUE!</v>
      </c>
      <c r="CC186" t="e">
        <f t="shared" si="92"/>
        <v>#VALUE!</v>
      </c>
      <c r="CD186" t="e">
        <f t="shared" si="92"/>
        <v>#VALUE!</v>
      </c>
      <c r="CE186" t="e">
        <f t="shared" si="92"/>
        <v>#VALUE!</v>
      </c>
      <c r="CF186" t="e">
        <f t="shared" si="92"/>
        <v>#VALUE!</v>
      </c>
      <c r="CG186" t="e">
        <f t="shared" si="89"/>
        <v>#VALUE!</v>
      </c>
      <c r="CH186" t="e">
        <f t="shared" si="89"/>
        <v>#VALUE!</v>
      </c>
      <c r="CI186" t="e">
        <f t="shared" si="89"/>
        <v>#VALUE!</v>
      </c>
      <c r="CJ186" t="e">
        <f t="shared" si="89"/>
        <v>#VALUE!</v>
      </c>
      <c r="CK186" t="e">
        <f t="shared" si="89"/>
        <v>#VALUE!</v>
      </c>
      <c r="CL186" t="e">
        <f t="shared" si="89"/>
        <v>#VALUE!</v>
      </c>
      <c r="CM186" t="e">
        <f t="shared" si="89"/>
        <v>#VALUE!</v>
      </c>
      <c r="CN186" t="e">
        <f t="shared" si="89"/>
        <v>#VALUE!</v>
      </c>
      <c r="CO186" t="e">
        <f t="shared" si="89"/>
        <v>#VALUE!</v>
      </c>
      <c r="CP186" t="e">
        <f t="shared" si="89"/>
        <v>#VALUE!</v>
      </c>
      <c r="CQ186" t="e">
        <f t="shared" si="89"/>
        <v>#VALUE!</v>
      </c>
      <c r="CR186" t="e">
        <f t="shared" si="89"/>
        <v>#VALUE!</v>
      </c>
      <c r="CS186" t="e">
        <f t="shared" si="89"/>
        <v>#VALUE!</v>
      </c>
      <c r="CT186" t="e">
        <f t="shared" si="89"/>
        <v>#VALUE!</v>
      </c>
      <c r="CU186" t="e">
        <f t="shared" si="89"/>
        <v>#VALUE!</v>
      </c>
      <c r="CV186" t="e">
        <f t="shared" si="89"/>
        <v>#VALUE!</v>
      </c>
      <c r="CW186" t="e">
        <f t="shared" si="89"/>
        <v>#VALUE!</v>
      </c>
      <c r="CX186" t="e">
        <f t="shared" si="89"/>
        <v>#VALUE!</v>
      </c>
      <c r="CY186" t="e">
        <f t="shared" si="89"/>
        <v>#VALUE!</v>
      </c>
      <c r="CZ186" t="e">
        <f t="shared" si="89"/>
        <v>#VALUE!</v>
      </c>
      <c r="DA186" t="e">
        <f t="shared" si="89"/>
        <v>#VALUE!</v>
      </c>
      <c r="DB186" t="e">
        <f t="shared" si="90"/>
        <v>#VALUE!</v>
      </c>
      <c r="DC186" t="e">
        <f t="shared" si="90"/>
        <v>#VALUE!</v>
      </c>
      <c r="DD186" t="e">
        <f t="shared" si="90"/>
        <v>#VALUE!</v>
      </c>
      <c r="DE186" t="e">
        <f t="shared" si="90"/>
        <v>#VALUE!</v>
      </c>
      <c r="DF186" t="e">
        <f t="shared" si="90"/>
        <v>#VALUE!</v>
      </c>
      <c r="DG186" t="e">
        <f t="shared" si="90"/>
        <v>#VALUE!</v>
      </c>
      <c r="DH186" t="e">
        <f t="shared" si="90"/>
        <v>#VALUE!</v>
      </c>
      <c r="DI186" t="e">
        <f t="shared" si="90"/>
        <v>#VALUE!</v>
      </c>
    </row>
    <row r="187" spans="5:113">
      <c r="E187">
        <f t="shared" si="93"/>
        <v>2</v>
      </c>
      <c r="F187">
        <f t="shared" si="93"/>
        <v>1</v>
      </c>
      <c r="G187">
        <f t="shared" si="93"/>
        <v>1</v>
      </c>
      <c r="H187">
        <f t="shared" si="93"/>
        <v>2</v>
      </c>
      <c r="I187">
        <f t="shared" si="93"/>
        <v>3</v>
      </c>
      <c r="J187">
        <f t="shared" si="93"/>
        <v>1</v>
      </c>
      <c r="K187">
        <f t="shared" si="93"/>
        <v>1</v>
      </c>
      <c r="L187">
        <f t="shared" si="93"/>
        <v>2</v>
      </c>
      <c r="M187">
        <f t="shared" si="93"/>
        <v>0</v>
      </c>
      <c r="N187">
        <f t="shared" si="93"/>
        <v>2</v>
      </c>
      <c r="O187">
        <f t="shared" si="93"/>
        <v>2</v>
      </c>
      <c r="P187">
        <f t="shared" si="93"/>
        <v>2</v>
      </c>
      <c r="Q187">
        <f t="shared" si="93"/>
        <v>1</v>
      </c>
      <c r="R187">
        <f t="shared" si="93"/>
        <v>2</v>
      </c>
      <c r="S187">
        <f t="shared" si="93"/>
        <v>0</v>
      </c>
      <c r="T187">
        <f t="shared" si="93"/>
        <v>2</v>
      </c>
      <c r="U187" t="e">
        <f t="shared" si="93"/>
        <v>#VALUE!</v>
      </c>
      <c r="V187" t="e">
        <f t="shared" si="93"/>
        <v>#VALUE!</v>
      </c>
      <c r="W187" t="e">
        <f t="shared" si="93"/>
        <v>#VALUE!</v>
      </c>
      <c r="X187" t="e">
        <f t="shared" si="93"/>
        <v>#VALUE!</v>
      </c>
      <c r="Y187" t="e">
        <f t="shared" si="93"/>
        <v>#VALUE!</v>
      </c>
      <c r="Z187" t="e">
        <f t="shared" si="93"/>
        <v>#VALUE!</v>
      </c>
      <c r="AA187" t="e">
        <f t="shared" si="93"/>
        <v>#VALUE!</v>
      </c>
      <c r="AB187" t="e">
        <f t="shared" si="93"/>
        <v>#VALUE!</v>
      </c>
      <c r="AC187" t="e">
        <f t="shared" si="93"/>
        <v>#VALUE!</v>
      </c>
      <c r="AD187" t="e">
        <f t="shared" si="93"/>
        <v>#VALUE!</v>
      </c>
      <c r="AE187" t="e">
        <f t="shared" si="93"/>
        <v>#VALUE!</v>
      </c>
      <c r="AF187" t="e">
        <f t="shared" si="93"/>
        <v>#VALUE!</v>
      </c>
      <c r="AG187" t="e">
        <f t="shared" si="93"/>
        <v>#VALUE!</v>
      </c>
      <c r="AH187" t="e">
        <f t="shared" si="93"/>
        <v>#VALUE!</v>
      </c>
      <c r="AI187" t="e">
        <f t="shared" si="93"/>
        <v>#VALUE!</v>
      </c>
      <c r="AJ187" t="e">
        <f t="shared" si="93"/>
        <v>#VALUE!</v>
      </c>
      <c r="AK187" t="e">
        <f t="shared" si="93"/>
        <v>#VALUE!</v>
      </c>
      <c r="AL187" t="e">
        <f t="shared" si="93"/>
        <v>#VALUE!</v>
      </c>
      <c r="AM187" t="e">
        <f t="shared" si="93"/>
        <v>#VALUE!</v>
      </c>
      <c r="AN187" t="e">
        <f t="shared" si="93"/>
        <v>#VALUE!</v>
      </c>
      <c r="AO187" t="e">
        <f t="shared" si="93"/>
        <v>#VALUE!</v>
      </c>
      <c r="AP187" t="e">
        <f t="shared" si="93"/>
        <v>#VALUE!</v>
      </c>
      <c r="AQ187" t="e">
        <f t="shared" si="93"/>
        <v>#VALUE!</v>
      </c>
      <c r="AR187" t="e">
        <f t="shared" si="93"/>
        <v>#VALUE!</v>
      </c>
      <c r="AS187" t="e">
        <f t="shared" si="93"/>
        <v>#VALUE!</v>
      </c>
      <c r="AT187" t="e">
        <f t="shared" si="93"/>
        <v>#VALUE!</v>
      </c>
      <c r="AU187" t="e">
        <f t="shared" si="93"/>
        <v>#VALUE!</v>
      </c>
      <c r="AV187" t="e">
        <f t="shared" si="93"/>
        <v>#VALUE!</v>
      </c>
      <c r="AW187" t="e">
        <f t="shared" si="93"/>
        <v>#VALUE!</v>
      </c>
      <c r="AX187" t="e">
        <f t="shared" si="93"/>
        <v>#VALUE!</v>
      </c>
      <c r="AY187" t="e">
        <f t="shared" si="93"/>
        <v>#VALUE!</v>
      </c>
      <c r="AZ187" t="e">
        <f t="shared" si="93"/>
        <v>#VALUE!</v>
      </c>
      <c r="BA187" t="e">
        <f t="shared" si="93"/>
        <v>#VALUE!</v>
      </c>
      <c r="BB187" t="e">
        <f t="shared" si="93"/>
        <v>#VALUE!</v>
      </c>
      <c r="BC187" t="e">
        <f t="shared" si="93"/>
        <v>#VALUE!</v>
      </c>
      <c r="BD187" t="e">
        <f t="shared" si="93"/>
        <v>#VALUE!</v>
      </c>
      <c r="BE187" t="e">
        <f t="shared" si="93"/>
        <v>#VALUE!</v>
      </c>
      <c r="BF187" t="e">
        <f t="shared" si="93"/>
        <v>#VALUE!</v>
      </c>
      <c r="BG187" t="e">
        <f t="shared" si="93"/>
        <v>#VALUE!</v>
      </c>
      <c r="BH187" t="e">
        <f t="shared" si="93"/>
        <v>#VALUE!</v>
      </c>
      <c r="BI187" t="e">
        <f t="shared" si="93"/>
        <v>#VALUE!</v>
      </c>
      <c r="BJ187" t="e">
        <f t="shared" si="93"/>
        <v>#VALUE!</v>
      </c>
      <c r="BK187" t="e">
        <f t="shared" si="93"/>
        <v>#VALUE!</v>
      </c>
      <c r="BL187" t="e">
        <f t="shared" si="93"/>
        <v>#VALUE!</v>
      </c>
      <c r="BM187" t="e">
        <f t="shared" si="93"/>
        <v>#VALUE!</v>
      </c>
      <c r="BN187" t="e">
        <f t="shared" si="93"/>
        <v>#VALUE!</v>
      </c>
      <c r="BO187" t="e">
        <f t="shared" si="93"/>
        <v>#VALUE!</v>
      </c>
      <c r="BP187" t="e">
        <f t="shared" si="93"/>
        <v>#VALUE!</v>
      </c>
      <c r="BQ187" t="e">
        <f t="shared" si="92"/>
        <v>#VALUE!</v>
      </c>
      <c r="BR187" t="e">
        <f t="shared" si="92"/>
        <v>#VALUE!</v>
      </c>
      <c r="BS187" t="e">
        <f t="shared" si="92"/>
        <v>#VALUE!</v>
      </c>
      <c r="BT187" t="e">
        <f t="shared" si="92"/>
        <v>#VALUE!</v>
      </c>
      <c r="BU187" t="e">
        <f t="shared" si="92"/>
        <v>#VALUE!</v>
      </c>
      <c r="BV187" t="e">
        <f t="shared" si="92"/>
        <v>#VALUE!</v>
      </c>
      <c r="BW187" t="e">
        <f t="shared" si="92"/>
        <v>#VALUE!</v>
      </c>
      <c r="BX187" t="e">
        <f t="shared" si="92"/>
        <v>#VALUE!</v>
      </c>
      <c r="BY187" t="e">
        <f t="shared" si="92"/>
        <v>#VALUE!</v>
      </c>
      <c r="BZ187" t="e">
        <f t="shared" si="92"/>
        <v>#VALUE!</v>
      </c>
      <c r="CA187" t="e">
        <f t="shared" si="92"/>
        <v>#VALUE!</v>
      </c>
      <c r="CB187" t="e">
        <f t="shared" si="92"/>
        <v>#VALUE!</v>
      </c>
      <c r="CC187" t="e">
        <f t="shared" si="92"/>
        <v>#VALUE!</v>
      </c>
      <c r="CD187" t="e">
        <f t="shared" si="92"/>
        <v>#VALUE!</v>
      </c>
      <c r="CE187" t="e">
        <f t="shared" si="92"/>
        <v>#VALUE!</v>
      </c>
      <c r="CF187" t="e">
        <f t="shared" si="92"/>
        <v>#VALUE!</v>
      </c>
      <c r="CG187" t="e">
        <f t="shared" si="89"/>
        <v>#VALUE!</v>
      </c>
      <c r="CH187" t="e">
        <f t="shared" si="89"/>
        <v>#VALUE!</v>
      </c>
      <c r="CI187" t="e">
        <f t="shared" si="89"/>
        <v>#VALUE!</v>
      </c>
      <c r="CJ187" t="e">
        <f t="shared" si="89"/>
        <v>#VALUE!</v>
      </c>
      <c r="CK187" t="e">
        <f t="shared" si="89"/>
        <v>#VALUE!</v>
      </c>
      <c r="CL187" t="e">
        <f t="shared" si="89"/>
        <v>#VALUE!</v>
      </c>
      <c r="CM187" t="e">
        <f t="shared" si="89"/>
        <v>#VALUE!</v>
      </c>
      <c r="CN187" t="e">
        <f t="shared" si="89"/>
        <v>#VALUE!</v>
      </c>
      <c r="CO187" t="e">
        <f t="shared" si="89"/>
        <v>#VALUE!</v>
      </c>
      <c r="CP187" t="e">
        <f t="shared" si="89"/>
        <v>#VALUE!</v>
      </c>
      <c r="CQ187" t="e">
        <f t="shared" si="89"/>
        <v>#VALUE!</v>
      </c>
      <c r="CR187" t="e">
        <f t="shared" si="89"/>
        <v>#VALUE!</v>
      </c>
      <c r="CS187" t="e">
        <f t="shared" si="89"/>
        <v>#VALUE!</v>
      </c>
      <c r="CT187" t="e">
        <f t="shared" si="89"/>
        <v>#VALUE!</v>
      </c>
      <c r="CU187" t="e">
        <f t="shared" si="89"/>
        <v>#VALUE!</v>
      </c>
      <c r="CV187" t="e">
        <f t="shared" si="89"/>
        <v>#VALUE!</v>
      </c>
      <c r="CW187" t="e">
        <f t="shared" si="89"/>
        <v>#VALUE!</v>
      </c>
      <c r="CX187" t="e">
        <f t="shared" si="89"/>
        <v>#VALUE!</v>
      </c>
      <c r="CY187" t="e">
        <f t="shared" si="89"/>
        <v>#VALUE!</v>
      </c>
      <c r="CZ187" t="e">
        <f t="shared" si="89"/>
        <v>#VALUE!</v>
      </c>
      <c r="DA187" t="e">
        <f t="shared" si="89"/>
        <v>#VALUE!</v>
      </c>
      <c r="DB187" t="e">
        <f t="shared" si="90"/>
        <v>#VALUE!</v>
      </c>
      <c r="DC187" t="e">
        <f t="shared" si="90"/>
        <v>#VALUE!</v>
      </c>
      <c r="DD187" t="e">
        <f t="shared" si="90"/>
        <v>#VALUE!</v>
      </c>
      <c r="DE187" t="e">
        <f t="shared" si="90"/>
        <v>#VALUE!</v>
      </c>
      <c r="DF187" t="e">
        <f t="shared" si="90"/>
        <v>#VALUE!</v>
      </c>
      <c r="DG187" t="e">
        <f t="shared" si="90"/>
        <v>#VALUE!</v>
      </c>
      <c r="DH187" t="e">
        <f t="shared" si="90"/>
        <v>#VALUE!</v>
      </c>
      <c r="DI187" t="e">
        <f t="shared" si="90"/>
        <v>#VALUE!</v>
      </c>
    </row>
    <row r="188" spans="5:113">
      <c r="E188">
        <f t="shared" si="93"/>
        <v>1</v>
      </c>
      <c r="F188">
        <f t="shared" si="93"/>
        <v>1</v>
      </c>
      <c r="G188">
        <f t="shared" si="93"/>
        <v>2</v>
      </c>
      <c r="H188">
        <f t="shared" si="93"/>
        <v>3</v>
      </c>
      <c r="I188">
        <f t="shared" si="93"/>
        <v>1</v>
      </c>
      <c r="J188">
        <f t="shared" si="93"/>
        <v>2</v>
      </c>
      <c r="K188">
        <f t="shared" si="93"/>
        <v>1</v>
      </c>
      <c r="L188">
        <f t="shared" si="93"/>
        <v>2</v>
      </c>
      <c r="M188">
        <f t="shared" si="93"/>
        <v>2</v>
      </c>
      <c r="N188">
        <f t="shared" si="93"/>
        <v>1</v>
      </c>
      <c r="O188">
        <f t="shared" si="93"/>
        <v>1</v>
      </c>
      <c r="P188">
        <f t="shared" si="93"/>
        <v>0</v>
      </c>
      <c r="Q188">
        <f t="shared" si="93"/>
        <v>1</v>
      </c>
      <c r="R188">
        <f t="shared" si="93"/>
        <v>1</v>
      </c>
      <c r="S188">
        <f t="shared" si="93"/>
        <v>4</v>
      </c>
      <c r="T188">
        <f t="shared" si="93"/>
        <v>1</v>
      </c>
      <c r="U188" t="e">
        <f t="shared" si="93"/>
        <v>#VALUE!</v>
      </c>
      <c r="V188" t="e">
        <f t="shared" si="93"/>
        <v>#VALUE!</v>
      </c>
      <c r="W188" t="e">
        <f t="shared" si="93"/>
        <v>#VALUE!</v>
      </c>
      <c r="X188" t="e">
        <f t="shared" si="93"/>
        <v>#VALUE!</v>
      </c>
      <c r="Y188" t="e">
        <f t="shared" si="93"/>
        <v>#VALUE!</v>
      </c>
      <c r="Z188" t="e">
        <f t="shared" si="93"/>
        <v>#VALUE!</v>
      </c>
      <c r="AA188" t="e">
        <f t="shared" si="93"/>
        <v>#VALUE!</v>
      </c>
      <c r="AB188" t="e">
        <f t="shared" si="93"/>
        <v>#VALUE!</v>
      </c>
      <c r="AC188" t="e">
        <f t="shared" si="93"/>
        <v>#VALUE!</v>
      </c>
      <c r="AD188" t="e">
        <f t="shared" si="93"/>
        <v>#VALUE!</v>
      </c>
      <c r="AE188" t="e">
        <f t="shared" si="93"/>
        <v>#VALUE!</v>
      </c>
      <c r="AF188" t="e">
        <f t="shared" si="93"/>
        <v>#VALUE!</v>
      </c>
      <c r="AG188" t="e">
        <f t="shared" si="93"/>
        <v>#VALUE!</v>
      </c>
      <c r="AH188" t="e">
        <f t="shared" si="93"/>
        <v>#VALUE!</v>
      </c>
      <c r="AI188" t="e">
        <f t="shared" si="93"/>
        <v>#VALUE!</v>
      </c>
      <c r="AJ188" t="e">
        <f t="shared" si="93"/>
        <v>#VALUE!</v>
      </c>
      <c r="AK188" t="e">
        <f t="shared" si="93"/>
        <v>#VALUE!</v>
      </c>
      <c r="AL188" t="e">
        <f t="shared" si="93"/>
        <v>#VALUE!</v>
      </c>
      <c r="AM188" t="e">
        <f t="shared" si="93"/>
        <v>#VALUE!</v>
      </c>
      <c r="AN188" t="e">
        <f t="shared" si="93"/>
        <v>#VALUE!</v>
      </c>
      <c r="AO188" t="e">
        <f t="shared" si="93"/>
        <v>#VALUE!</v>
      </c>
      <c r="AP188" t="e">
        <f t="shared" si="93"/>
        <v>#VALUE!</v>
      </c>
      <c r="AQ188" t="e">
        <f t="shared" si="93"/>
        <v>#VALUE!</v>
      </c>
      <c r="AR188" t="e">
        <f t="shared" si="93"/>
        <v>#VALUE!</v>
      </c>
      <c r="AS188" t="e">
        <f t="shared" si="93"/>
        <v>#VALUE!</v>
      </c>
      <c r="AT188" t="e">
        <f t="shared" si="93"/>
        <v>#VALUE!</v>
      </c>
      <c r="AU188" t="e">
        <f t="shared" si="93"/>
        <v>#VALUE!</v>
      </c>
      <c r="AV188" t="e">
        <f t="shared" si="93"/>
        <v>#VALUE!</v>
      </c>
      <c r="AW188" t="e">
        <f t="shared" si="93"/>
        <v>#VALUE!</v>
      </c>
      <c r="AX188" t="e">
        <f t="shared" si="93"/>
        <v>#VALUE!</v>
      </c>
      <c r="AY188" t="e">
        <f t="shared" si="93"/>
        <v>#VALUE!</v>
      </c>
      <c r="AZ188" t="e">
        <f t="shared" si="93"/>
        <v>#VALUE!</v>
      </c>
      <c r="BA188" t="e">
        <f t="shared" si="93"/>
        <v>#VALUE!</v>
      </c>
      <c r="BB188" t="e">
        <f t="shared" si="93"/>
        <v>#VALUE!</v>
      </c>
      <c r="BC188" t="e">
        <f t="shared" si="93"/>
        <v>#VALUE!</v>
      </c>
      <c r="BD188" t="e">
        <f t="shared" si="93"/>
        <v>#VALUE!</v>
      </c>
      <c r="BE188" t="e">
        <f t="shared" si="93"/>
        <v>#VALUE!</v>
      </c>
      <c r="BF188" t="e">
        <f t="shared" si="93"/>
        <v>#VALUE!</v>
      </c>
      <c r="BG188" t="e">
        <f t="shared" si="93"/>
        <v>#VALUE!</v>
      </c>
      <c r="BH188" t="e">
        <f t="shared" si="93"/>
        <v>#VALUE!</v>
      </c>
      <c r="BI188" t="e">
        <f t="shared" si="93"/>
        <v>#VALUE!</v>
      </c>
      <c r="BJ188" t="e">
        <f t="shared" si="93"/>
        <v>#VALUE!</v>
      </c>
      <c r="BK188" t="e">
        <f t="shared" si="93"/>
        <v>#VALUE!</v>
      </c>
      <c r="BL188" t="e">
        <f t="shared" si="93"/>
        <v>#VALUE!</v>
      </c>
      <c r="BM188" t="e">
        <f t="shared" si="93"/>
        <v>#VALUE!</v>
      </c>
      <c r="BN188" t="e">
        <f t="shared" si="93"/>
        <v>#VALUE!</v>
      </c>
      <c r="BO188" t="e">
        <f t="shared" si="93"/>
        <v>#VALUE!</v>
      </c>
      <c r="BP188" t="e">
        <f t="shared" ref="BP188:DA200" si="94">LEFT(BP30)+RIGHT(BP30)</f>
        <v>#VALUE!</v>
      </c>
      <c r="BQ188" t="e">
        <f t="shared" si="94"/>
        <v>#VALUE!</v>
      </c>
      <c r="BR188" t="e">
        <f t="shared" si="94"/>
        <v>#VALUE!</v>
      </c>
      <c r="BS188" t="e">
        <f t="shared" si="94"/>
        <v>#VALUE!</v>
      </c>
      <c r="BT188" t="e">
        <f t="shared" si="94"/>
        <v>#VALUE!</v>
      </c>
      <c r="BU188" t="e">
        <f t="shared" si="94"/>
        <v>#VALUE!</v>
      </c>
      <c r="BV188" t="e">
        <f t="shared" si="94"/>
        <v>#VALUE!</v>
      </c>
      <c r="BW188" t="e">
        <f t="shared" si="94"/>
        <v>#VALUE!</v>
      </c>
      <c r="BX188" t="e">
        <f t="shared" si="94"/>
        <v>#VALUE!</v>
      </c>
      <c r="BY188" t="e">
        <f t="shared" si="94"/>
        <v>#VALUE!</v>
      </c>
      <c r="BZ188" t="e">
        <f t="shared" si="94"/>
        <v>#VALUE!</v>
      </c>
      <c r="CA188" t="e">
        <f t="shared" si="94"/>
        <v>#VALUE!</v>
      </c>
      <c r="CB188" t="e">
        <f t="shared" si="94"/>
        <v>#VALUE!</v>
      </c>
      <c r="CC188" t="e">
        <f t="shared" si="94"/>
        <v>#VALUE!</v>
      </c>
      <c r="CD188" t="e">
        <f t="shared" si="94"/>
        <v>#VALUE!</v>
      </c>
      <c r="CE188" t="e">
        <f t="shared" si="94"/>
        <v>#VALUE!</v>
      </c>
      <c r="CF188" t="e">
        <f t="shared" si="94"/>
        <v>#VALUE!</v>
      </c>
      <c r="CG188" t="e">
        <f t="shared" si="89"/>
        <v>#VALUE!</v>
      </c>
      <c r="CH188" t="e">
        <f t="shared" si="89"/>
        <v>#VALUE!</v>
      </c>
      <c r="CI188" t="e">
        <f t="shared" si="89"/>
        <v>#VALUE!</v>
      </c>
      <c r="CJ188" t="e">
        <f t="shared" si="89"/>
        <v>#VALUE!</v>
      </c>
      <c r="CK188" t="e">
        <f t="shared" si="89"/>
        <v>#VALUE!</v>
      </c>
      <c r="CL188" t="e">
        <f t="shared" si="89"/>
        <v>#VALUE!</v>
      </c>
      <c r="CM188" t="e">
        <f t="shared" si="89"/>
        <v>#VALUE!</v>
      </c>
      <c r="CN188" t="e">
        <f t="shared" si="89"/>
        <v>#VALUE!</v>
      </c>
      <c r="CO188" t="e">
        <f t="shared" si="89"/>
        <v>#VALUE!</v>
      </c>
      <c r="CP188" t="e">
        <f t="shared" si="89"/>
        <v>#VALUE!</v>
      </c>
      <c r="CQ188" t="e">
        <f t="shared" si="89"/>
        <v>#VALUE!</v>
      </c>
      <c r="CR188" t="e">
        <f t="shared" si="89"/>
        <v>#VALUE!</v>
      </c>
      <c r="CS188" t="e">
        <f t="shared" si="89"/>
        <v>#VALUE!</v>
      </c>
      <c r="CT188" t="e">
        <f t="shared" si="89"/>
        <v>#VALUE!</v>
      </c>
      <c r="CU188" t="e">
        <f t="shared" si="89"/>
        <v>#VALUE!</v>
      </c>
      <c r="CV188" t="e">
        <f t="shared" si="89"/>
        <v>#VALUE!</v>
      </c>
      <c r="CW188" t="e">
        <f t="shared" si="89"/>
        <v>#VALUE!</v>
      </c>
      <c r="CX188" t="e">
        <f t="shared" si="89"/>
        <v>#VALUE!</v>
      </c>
      <c r="CY188" t="e">
        <f t="shared" si="89"/>
        <v>#VALUE!</v>
      </c>
      <c r="CZ188" t="e">
        <f t="shared" si="89"/>
        <v>#VALUE!</v>
      </c>
      <c r="DA188" t="e">
        <f t="shared" si="89"/>
        <v>#VALUE!</v>
      </c>
      <c r="DB188" t="e">
        <f t="shared" si="90"/>
        <v>#VALUE!</v>
      </c>
      <c r="DC188" t="e">
        <f t="shared" si="90"/>
        <v>#VALUE!</v>
      </c>
      <c r="DD188" t="e">
        <f t="shared" si="90"/>
        <v>#VALUE!</v>
      </c>
      <c r="DE188" t="e">
        <f t="shared" si="90"/>
        <v>#VALUE!</v>
      </c>
      <c r="DF188" t="e">
        <f t="shared" si="90"/>
        <v>#VALUE!</v>
      </c>
      <c r="DG188" t="e">
        <f t="shared" si="90"/>
        <v>#VALUE!</v>
      </c>
      <c r="DH188" t="e">
        <f t="shared" si="90"/>
        <v>#VALUE!</v>
      </c>
      <c r="DI188" t="e">
        <f t="shared" si="90"/>
        <v>#VALUE!</v>
      </c>
    </row>
    <row r="189" spans="5:113">
      <c r="E189">
        <f t="shared" ref="E189:BP192" si="95">LEFT(E31)+RIGHT(E31)</f>
        <v>3</v>
      </c>
      <c r="F189">
        <f t="shared" si="95"/>
        <v>2</v>
      </c>
      <c r="G189">
        <f t="shared" si="95"/>
        <v>3</v>
      </c>
      <c r="H189">
        <f t="shared" si="95"/>
        <v>3</v>
      </c>
      <c r="I189">
        <f t="shared" si="95"/>
        <v>4</v>
      </c>
      <c r="J189">
        <f t="shared" si="95"/>
        <v>3</v>
      </c>
      <c r="K189">
        <f t="shared" si="95"/>
        <v>2</v>
      </c>
      <c r="L189">
        <f t="shared" si="95"/>
        <v>3</v>
      </c>
      <c r="M189">
        <f t="shared" si="95"/>
        <v>2</v>
      </c>
      <c r="N189">
        <f t="shared" si="95"/>
        <v>3</v>
      </c>
      <c r="O189">
        <f t="shared" si="95"/>
        <v>3</v>
      </c>
      <c r="P189">
        <f t="shared" si="95"/>
        <v>4</v>
      </c>
      <c r="Q189">
        <f t="shared" si="95"/>
        <v>1</v>
      </c>
      <c r="R189">
        <f t="shared" si="95"/>
        <v>3</v>
      </c>
      <c r="S189">
        <f t="shared" si="95"/>
        <v>5</v>
      </c>
      <c r="T189">
        <f t="shared" si="95"/>
        <v>2</v>
      </c>
      <c r="U189" t="e">
        <f t="shared" si="95"/>
        <v>#VALUE!</v>
      </c>
      <c r="V189" t="e">
        <f t="shared" si="95"/>
        <v>#VALUE!</v>
      </c>
      <c r="W189" t="e">
        <f t="shared" si="95"/>
        <v>#VALUE!</v>
      </c>
      <c r="X189" t="e">
        <f t="shared" si="95"/>
        <v>#VALUE!</v>
      </c>
      <c r="Y189" t="e">
        <f t="shared" si="95"/>
        <v>#VALUE!</v>
      </c>
      <c r="Z189" t="e">
        <f t="shared" si="95"/>
        <v>#VALUE!</v>
      </c>
      <c r="AA189" t="e">
        <f t="shared" si="95"/>
        <v>#VALUE!</v>
      </c>
      <c r="AB189" t="e">
        <f t="shared" si="95"/>
        <v>#VALUE!</v>
      </c>
      <c r="AC189" t="e">
        <f t="shared" si="95"/>
        <v>#VALUE!</v>
      </c>
      <c r="AD189" t="e">
        <f t="shared" si="95"/>
        <v>#VALUE!</v>
      </c>
      <c r="AE189" t="e">
        <f t="shared" si="95"/>
        <v>#VALUE!</v>
      </c>
      <c r="AF189" t="e">
        <f t="shared" si="95"/>
        <v>#VALUE!</v>
      </c>
      <c r="AG189" t="e">
        <f t="shared" si="95"/>
        <v>#VALUE!</v>
      </c>
      <c r="AH189" t="e">
        <f t="shared" si="95"/>
        <v>#VALUE!</v>
      </c>
      <c r="AI189" t="e">
        <f t="shared" si="95"/>
        <v>#VALUE!</v>
      </c>
      <c r="AJ189" t="e">
        <f t="shared" si="95"/>
        <v>#VALUE!</v>
      </c>
      <c r="AK189" t="e">
        <f t="shared" si="95"/>
        <v>#VALUE!</v>
      </c>
      <c r="AL189" t="e">
        <f t="shared" si="95"/>
        <v>#VALUE!</v>
      </c>
      <c r="AM189" t="e">
        <f t="shared" si="95"/>
        <v>#VALUE!</v>
      </c>
      <c r="AN189" t="e">
        <f t="shared" si="95"/>
        <v>#VALUE!</v>
      </c>
      <c r="AO189" t="e">
        <f t="shared" si="95"/>
        <v>#VALUE!</v>
      </c>
      <c r="AP189" t="e">
        <f t="shared" si="95"/>
        <v>#VALUE!</v>
      </c>
      <c r="AQ189" t="e">
        <f t="shared" si="95"/>
        <v>#VALUE!</v>
      </c>
      <c r="AR189" t="e">
        <f t="shared" si="95"/>
        <v>#VALUE!</v>
      </c>
      <c r="AS189" t="e">
        <f t="shared" si="95"/>
        <v>#VALUE!</v>
      </c>
      <c r="AT189" t="e">
        <f t="shared" si="95"/>
        <v>#VALUE!</v>
      </c>
      <c r="AU189" t="e">
        <f t="shared" si="95"/>
        <v>#VALUE!</v>
      </c>
      <c r="AV189" t="e">
        <f t="shared" si="95"/>
        <v>#VALUE!</v>
      </c>
      <c r="AW189" t="e">
        <f t="shared" si="95"/>
        <v>#VALUE!</v>
      </c>
      <c r="AX189" t="e">
        <f t="shared" si="95"/>
        <v>#VALUE!</v>
      </c>
      <c r="AY189" t="e">
        <f t="shared" si="95"/>
        <v>#VALUE!</v>
      </c>
      <c r="AZ189" t="e">
        <f t="shared" si="95"/>
        <v>#VALUE!</v>
      </c>
      <c r="BA189" t="e">
        <f t="shared" si="95"/>
        <v>#VALUE!</v>
      </c>
      <c r="BB189" t="e">
        <f t="shared" si="95"/>
        <v>#VALUE!</v>
      </c>
      <c r="BC189" t="e">
        <f t="shared" si="95"/>
        <v>#VALUE!</v>
      </c>
      <c r="BD189" t="e">
        <f t="shared" si="95"/>
        <v>#VALUE!</v>
      </c>
      <c r="BE189" t="e">
        <f t="shared" si="95"/>
        <v>#VALUE!</v>
      </c>
      <c r="BF189" t="e">
        <f t="shared" si="95"/>
        <v>#VALUE!</v>
      </c>
      <c r="BG189" t="e">
        <f t="shared" si="95"/>
        <v>#VALUE!</v>
      </c>
      <c r="BH189" t="e">
        <f t="shared" si="95"/>
        <v>#VALUE!</v>
      </c>
      <c r="BI189" t="e">
        <f t="shared" si="95"/>
        <v>#VALUE!</v>
      </c>
      <c r="BJ189" t="e">
        <f t="shared" si="95"/>
        <v>#VALUE!</v>
      </c>
      <c r="BK189" t="e">
        <f t="shared" si="95"/>
        <v>#VALUE!</v>
      </c>
      <c r="BL189" t="e">
        <f t="shared" si="95"/>
        <v>#VALUE!</v>
      </c>
      <c r="BM189" t="e">
        <f t="shared" si="95"/>
        <v>#VALUE!</v>
      </c>
      <c r="BN189" t="e">
        <f t="shared" si="95"/>
        <v>#VALUE!</v>
      </c>
      <c r="BO189" t="e">
        <f t="shared" si="95"/>
        <v>#VALUE!</v>
      </c>
      <c r="BP189" t="e">
        <f t="shared" si="95"/>
        <v>#VALUE!</v>
      </c>
      <c r="BQ189" t="e">
        <f t="shared" si="94"/>
        <v>#VALUE!</v>
      </c>
      <c r="BR189" t="e">
        <f t="shared" si="94"/>
        <v>#VALUE!</v>
      </c>
      <c r="BS189" t="e">
        <f t="shared" si="94"/>
        <v>#VALUE!</v>
      </c>
      <c r="BT189" t="e">
        <f t="shared" si="94"/>
        <v>#VALUE!</v>
      </c>
      <c r="BU189" t="e">
        <f t="shared" si="94"/>
        <v>#VALUE!</v>
      </c>
      <c r="BV189" t="e">
        <f t="shared" si="94"/>
        <v>#VALUE!</v>
      </c>
      <c r="BW189" t="e">
        <f t="shared" si="94"/>
        <v>#VALUE!</v>
      </c>
      <c r="BX189" t="e">
        <f t="shared" si="94"/>
        <v>#VALUE!</v>
      </c>
      <c r="BY189" t="e">
        <f t="shared" si="94"/>
        <v>#VALUE!</v>
      </c>
      <c r="BZ189" t="e">
        <f t="shared" si="94"/>
        <v>#VALUE!</v>
      </c>
      <c r="CA189" t="e">
        <f t="shared" si="94"/>
        <v>#VALUE!</v>
      </c>
      <c r="CB189" t="e">
        <f t="shared" si="94"/>
        <v>#VALUE!</v>
      </c>
      <c r="CC189" t="e">
        <f t="shared" si="94"/>
        <v>#VALUE!</v>
      </c>
      <c r="CD189" t="e">
        <f t="shared" si="94"/>
        <v>#VALUE!</v>
      </c>
      <c r="CE189" t="e">
        <f t="shared" si="94"/>
        <v>#VALUE!</v>
      </c>
      <c r="CF189" t="e">
        <f t="shared" si="94"/>
        <v>#VALUE!</v>
      </c>
      <c r="CG189" t="e">
        <f t="shared" si="89"/>
        <v>#VALUE!</v>
      </c>
      <c r="CH189" t="e">
        <f t="shared" si="89"/>
        <v>#VALUE!</v>
      </c>
      <c r="CI189" t="e">
        <f t="shared" si="89"/>
        <v>#VALUE!</v>
      </c>
      <c r="CJ189" t="e">
        <f t="shared" si="89"/>
        <v>#VALUE!</v>
      </c>
      <c r="CK189" t="e">
        <f t="shared" si="89"/>
        <v>#VALUE!</v>
      </c>
      <c r="CL189" t="e">
        <f t="shared" si="89"/>
        <v>#VALUE!</v>
      </c>
      <c r="CM189" t="e">
        <f t="shared" si="89"/>
        <v>#VALUE!</v>
      </c>
      <c r="CN189" t="e">
        <f t="shared" si="89"/>
        <v>#VALUE!</v>
      </c>
      <c r="CO189" t="e">
        <f t="shared" si="89"/>
        <v>#VALUE!</v>
      </c>
      <c r="CP189" t="e">
        <f t="shared" si="89"/>
        <v>#VALUE!</v>
      </c>
      <c r="CQ189" t="e">
        <f t="shared" si="89"/>
        <v>#VALUE!</v>
      </c>
      <c r="CR189" t="e">
        <f t="shared" si="89"/>
        <v>#VALUE!</v>
      </c>
      <c r="CS189" t="e">
        <f t="shared" si="89"/>
        <v>#VALUE!</v>
      </c>
      <c r="CT189" t="e">
        <f t="shared" si="89"/>
        <v>#VALUE!</v>
      </c>
      <c r="CU189" t="e">
        <f t="shared" si="89"/>
        <v>#VALUE!</v>
      </c>
      <c r="CV189" t="e">
        <f t="shared" si="89"/>
        <v>#VALUE!</v>
      </c>
      <c r="CW189" t="e">
        <f t="shared" si="89"/>
        <v>#VALUE!</v>
      </c>
      <c r="CX189" t="e">
        <f t="shared" si="89"/>
        <v>#VALUE!</v>
      </c>
      <c r="CY189" t="e">
        <f t="shared" si="89"/>
        <v>#VALUE!</v>
      </c>
      <c r="CZ189" t="e">
        <f t="shared" si="89"/>
        <v>#VALUE!</v>
      </c>
      <c r="DA189" t="e">
        <f t="shared" si="89"/>
        <v>#VALUE!</v>
      </c>
      <c r="DB189" t="e">
        <f t="shared" si="90"/>
        <v>#VALUE!</v>
      </c>
      <c r="DC189" t="e">
        <f t="shared" si="90"/>
        <v>#VALUE!</v>
      </c>
      <c r="DD189" t="e">
        <f t="shared" si="90"/>
        <v>#VALUE!</v>
      </c>
      <c r="DE189" t="e">
        <f t="shared" si="90"/>
        <v>#VALUE!</v>
      </c>
      <c r="DF189" t="e">
        <f t="shared" si="90"/>
        <v>#VALUE!</v>
      </c>
      <c r="DG189" t="e">
        <f t="shared" si="90"/>
        <v>#VALUE!</v>
      </c>
      <c r="DH189" t="e">
        <f t="shared" si="90"/>
        <v>#VALUE!</v>
      </c>
      <c r="DI189" t="e">
        <f t="shared" si="90"/>
        <v>#VALUE!</v>
      </c>
    </row>
    <row r="190" spans="5:113">
      <c r="E190">
        <f t="shared" si="95"/>
        <v>3</v>
      </c>
      <c r="F190">
        <f t="shared" si="95"/>
        <v>1</v>
      </c>
      <c r="G190">
        <f t="shared" si="95"/>
        <v>4</v>
      </c>
      <c r="H190">
        <f t="shared" si="95"/>
        <v>2</v>
      </c>
      <c r="I190">
        <f t="shared" si="95"/>
        <v>4</v>
      </c>
      <c r="J190">
        <f t="shared" si="95"/>
        <v>5</v>
      </c>
      <c r="K190">
        <f t="shared" si="95"/>
        <v>1</v>
      </c>
      <c r="L190">
        <f t="shared" si="95"/>
        <v>3</v>
      </c>
      <c r="M190">
        <f t="shared" si="95"/>
        <v>3</v>
      </c>
      <c r="N190">
        <f t="shared" si="95"/>
        <v>3</v>
      </c>
      <c r="O190">
        <f t="shared" si="95"/>
        <v>2</v>
      </c>
      <c r="P190">
        <f t="shared" si="95"/>
        <v>2</v>
      </c>
      <c r="Q190">
        <f t="shared" si="95"/>
        <v>1</v>
      </c>
      <c r="R190">
        <f t="shared" si="95"/>
        <v>2</v>
      </c>
      <c r="S190">
        <f t="shared" si="95"/>
        <v>6</v>
      </c>
      <c r="T190">
        <f t="shared" si="95"/>
        <v>1</v>
      </c>
      <c r="U190" t="e">
        <f t="shared" si="95"/>
        <v>#VALUE!</v>
      </c>
      <c r="V190" t="e">
        <f t="shared" si="95"/>
        <v>#VALUE!</v>
      </c>
      <c r="W190" t="e">
        <f t="shared" si="95"/>
        <v>#VALUE!</v>
      </c>
      <c r="X190" t="e">
        <f t="shared" si="95"/>
        <v>#VALUE!</v>
      </c>
      <c r="Y190" t="e">
        <f t="shared" si="95"/>
        <v>#VALUE!</v>
      </c>
      <c r="Z190" t="e">
        <f t="shared" si="95"/>
        <v>#VALUE!</v>
      </c>
      <c r="AA190" t="e">
        <f t="shared" si="95"/>
        <v>#VALUE!</v>
      </c>
      <c r="AB190" t="e">
        <f t="shared" si="95"/>
        <v>#VALUE!</v>
      </c>
      <c r="AC190" t="e">
        <f t="shared" si="95"/>
        <v>#VALUE!</v>
      </c>
      <c r="AD190" t="e">
        <f t="shared" si="95"/>
        <v>#VALUE!</v>
      </c>
      <c r="AE190" t="e">
        <f t="shared" si="95"/>
        <v>#VALUE!</v>
      </c>
      <c r="AF190" t="e">
        <f t="shared" si="95"/>
        <v>#VALUE!</v>
      </c>
      <c r="AG190" t="e">
        <f t="shared" si="95"/>
        <v>#VALUE!</v>
      </c>
      <c r="AH190" t="e">
        <f t="shared" si="95"/>
        <v>#VALUE!</v>
      </c>
      <c r="AI190" t="e">
        <f t="shared" si="95"/>
        <v>#VALUE!</v>
      </c>
      <c r="AJ190" t="e">
        <f t="shared" si="95"/>
        <v>#VALUE!</v>
      </c>
      <c r="AK190" t="e">
        <f t="shared" si="95"/>
        <v>#VALUE!</v>
      </c>
      <c r="AL190" t="e">
        <f t="shared" si="95"/>
        <v>#VALUE!</v>
      </c>
      <c r="AM190" t="e">
        <f t="shared" si="95"/>
        <v>#VALUE!</v>
      </c>
      <c r="AN190" t="e">
        <f t="shared" si="95"/>
        <v>#VALUE!</v>
      </c>
      <c r="AO190" t="e">
        <f t="shared" si="95"/>
        <v>#VALUE!</v>
      </c>
      <c r="AP190" t="e">
        <f t="shared" si="95"/>
        <v>#VALUE!</v>
      </c>
      <c r="AQ190" t="e">
        <f t="shared" si="95"/>
        <v>#VALUE!</v>
      </c>
      <c r="AR190" t="e">
        <f t="shared" si="95"/>
        <v>#VALUE!</v>
      </c>
      <c r="AS190" t="e">
        <f t="shared" si="95"/>
        <v>#VALUE!</v>
      </c>
      <c r="AT190" t="e">
        <f t="shared" si="95"/>
        <v>#VALUE!</v>
      </c>
      <c r="AU190" t="e">
        <f t="shared" si="95"/>
        <v>#VALUE!</v>
      </c>
      <c r="AV190" t="e">
        <f t="shared" si="95"/>
        <v>#VALUE!</v>
      </c>
      <c r="AW190" t="e">
        <f t="shared" si="95"/>
        <v>#VALUE!</v>
      </c>
      <c r="AX190" t="e">
        <f t="shared" si="95"/>
        <v>#VALUE!</v>
      </c>
      <c r="AY190" t="e">
        <f t="shared" si="95"/>
        <v>#VALUE!</v>
      </c>
      <c r="AZ190" t="e">
        <f t="shared" si="95"/>
        <v>#VALUE!</v>
      </c>
      <c r="BA190" t="e">
        <f t="shared" si="95"/>
        <v>#VALUE!</v>
      </c>
      <c r="BB190" t="e">
        <f t="shared" si="95"/>
        <v>#VALUE!</v>
      </c>
      <c r="BC190" t="e">
        <f t="shared" si="95"/>
        <v>#VALUE!</v>
      </c>
      <c r="BD190" t="e">
        <f t="shared" si="95"/>
        <v>#VALUE!</v>
      </c>
      <c r="BE190" t="e">
        <f t="shared" si="95"/>
        <v>#VALUE!</v>
      </c>
      <c r="BF190" t="e">
        <f t="shared" si="95"/>
        <v>#VALUE!</v>
      </c>
      <c r="BG190" t="e">
        <f t="shared" si="95"/>
        <v>#VALUE!</v>
      </c>
      <c r="BH190" t="e">
        <f t="shared" si="95"/>
        <v>#VALUE!</v>
      </c>
      <c r="BI190" t="e">
        <f t="shared" si="95"/>
        <v>#VALUE!</v>
      </c>
      <c r="BJ190" t="e">
        <f t="shared" si="95"/>
        <v>#VALUE!</v>
      </c>
      <c r="BK190" t="e">
        <f t="shared" si="95"/>
        <v>#VALUE!</v>
      </c>
      <c r="BL190" t="e">
        <f t="shared" si="95"/>
        <v>#VALUE!</v>
      </c>
      <c r="BM190" t="e">
        <f t="shared" si="95"/>
        <v>#VALUE!</v>
      </c>
      <c r="BN190" t="e">
        <f t="shared" si="95"/>
        <v>#VALUE!</v>
      </c>
      <c r="BO190" t="e">
        <f t="shared" si="95"/>
        <v>#VALUE!</v>
      </c>
      <c r="BP190" t="e">
        <f t="shared" si="95"/>
        <v>#VALUE!</v>
      </c>
      <c r="BQ190" t="e">
        <f t="shared" si="94"/>
        <v>#VALUE!</v>
      </c>
      <c r="BR190" t="e">
        <f t="shared" si="94"/>
        <v>#VALUE!</v>
      </c>
      <c r="BS190" t="e">
        <f t="shared" si="94"/>
        <v>#VALUE!</v>
      </c>
      <c r="BT190" t="e">
        <f t="shared" si="94"/>
        <v>#VALUE!</v>
      </c>
      <c r="BU190" t="e">
        <f t="shared" si="94"/>
        <v>#VALUE!</v>
      </c>
      <c r="BV190" t="e">
        <f t="shared" si="94"/>
        <v>#VALUE!</v>
      </c>
      <c r="BW190" t="e">
        <f t="shared" si="94"/>
        <v>#VALUE!</v>
      </c>
      <c r="BX190" t="e">
        <f t="shared" si="94"/>
        <v>#VALUE!</v>
      </c>
      <c r="BY190" t="e">
        <f t="shared" si="94"/>
        <v>#VALUE!</v>
      </c>
      <c r="BZ190" t="e">
        <f t="shared" si="94"/>
        <v>#VALUE!</v>
      </c>
      <c r="CA190" t="e">
        <f t="shared" si="94"/>
        <v>#VALUE!</v>
      </c>
      <c r="CB190" t="e">
        <f t="shared" si="94"/>
        <v>#VALUE!</v>
      </c>
      <c r="CC190" t="e">
        <f t="shared" si="94"/>
        <v>#VALUE!</v>
      </c>
      <c r="CD190" t="e">
        <f t="shared" si="94"/>
        <v>#VALUE!</v>
      </c>
      <c r="CE190" t="e">
        <f t="shared" si="94"/>
        <v>#VALUE!</v>
      </c>
      <c r="CF190" t="e">
        <f t="shared" si="94"/>
        <v>#VALUE!</v>
      </c>
      <c r="CG190" t="e">
        <f t="shared" si="89"/>
        <v>#VALUE!</v>
      </c>
      <c r="CH190" t="e">
        <f t="shared" ref="CH190:DI199" si="96">LEFT(CH32)+RIGHT(CH32)</f>
        <v>#VALUE!</v>
      </c>
      <c r="CI190" t="e">
        <f t="shared" si="96"/>
        <v>#VALUE!</v>
      </c>
      <c r="CJ190" t="e">
        <f t="shared" si="96"/>
        <v>#VALUE!</v>
      </c>
      <c r="CK190" t="e">
        <f t="shared" si="96"/>
        <v>#VALUE!</v>
      </c>
      <c r="CL190" t="e">
        <f t="shared" si="96"/>
        <v>#VALUE!</v>
      </c>
      <c r="CM190" t="e">
        <f t="shared" si="96"/>
        <v>#VALUE!</v>
      </c>
      <c r="CN190" t="e">
        <f t="shared" si="96"/>
        <v>#VALUE!</v>
      </c>
      <c r="CO190" t="e">
        <f t="shared" si="96"/>
        <v>#VALUE!</v>
      </c>
      <c r="CP190" t="e">
        <f t="shared" si="96"/>
        <v>#VALUE!</v>
      </c>
      <c r="CQ190" t="e">
        <f t="shared" si="96"/>
        <v>#VALUE!</v>
      </c>
      <c r="CR190" t="e">
        <f t="shared" si="96"/>
        <v>#VALUE!</v>
      </c>
      <c r="CS190" t="e">
        <f t="shared" si="96"/>
        <v>#VALUE!</v>
      </c>
      <c r="CT190" t="e">
        <f t="shared" si="96"/>
        <v>#VALUE!</v>
      </c>
      <c r="CU190" t="e">
        <f t="shared" si="96"/>
        <v>#VALUE!</v>
      </c>
      <c r="CV190" t="e">
        <f t="shared" si="96"/>
        <v>#VALUE!</v>
      </c>
      <c r="CW190" t="e">
        <f t="shared" si="96"/>
        <v>#VALUE!</v>
      </c>
      <c r="CX190" t="e">
        <f t="shared" si="96"/>
        <v>#VALUE!</v>
      </c>
      <c r="CY190" t="e">
        <f t="shared" si="96"/>
        <v>#VALUE!</v>
      </c>
      <c r="CZ190" t="e">
        <f t="shared" si="96"/>
        <v>#VALUE!</v>
      </c>
      <c r="DA190" t="e">
        <f t="shared" si="96"/>
        <v>#VALUE!</v>
      </c>
      <c r="DB190" t="e">
        <f t="shared" si="96"/>
        <v>#VALUE!</v>
      </c>
      <c r="DC190" t="e">
        <f t="shared" si="96"/>
        <v>#VALUE!</v>
      </c>
      <c r="DD190" t="e">
        <f t="shared" si="96"/>
        <v>#VALUE!</v>
      </c>
      <c r="DE190" t="e">
        <f t="shared" si="96"/>
        <v>#VALUE!</v>
      </c>
      <c r="DF190" t="e">
        <f t="shared" si="96"/>
        <v>#VALUE!</v>
      </c>
      <c r="DG190" t="e">
        <f t="shared" si="96"/>
        <v>#VALUE!</v>
      </c>
      <c r="DH190" t="e">
        <f t="shared" si="96"/>
        <v>#VALUE!</v>
      </c>
      <c r="DI190" t="e">
        <f t="shared" si="96"/>
        <v>#VALUE!</v>
      </c>
    </row>
    <row r="191" spans="5:113">
      <c r="E191">
        <f t="shared" si="95"/>
        <v>1</v>
      </c>
      <c r="F191">
        <f t="shared" si="95"/>
        <v>1</v>
      </c>
      <c r="G191">
        <f t="shared" si="95"/>
        <v>1</v>
      </c>
      <c r="H191">
        <f t="shared" si="95"/>
        <v>1</v>
      </c>
      <c r="I191">
        <f t="shared" si="95"/>
        <v>3</v>
      </c>
      <c r="J191">
        <f t="shared" si="95"/>
        <v>3</v>
      </c>
      <c r="K191">
        <f t="shared" si="95"/>
        <v>1</v>
      </c>
      <c r="L191">
        <f t="shared" si="95"/>
        <v>3</v>
      </c>
      <c r="M191">
        <f t="shared" si="95"/>
        <v>1</v>
      </c>
      <c r="N191">
        <f t="shared" si="95"/>
        <v>1</v>
      </c>
      <c r="O191">
        <f t="shared" si="95"/>
        <v>0</v>
      </c>
      <c r="P191">
        <f t="shared" si="95"/>
        <v>1</v>
      </c>
      <c r="Q191">
        <f t="shared" si="95"/>
        <v>1</v>
      </c>
      <c r="R191">
        <f t="shared" si="95"/>
        <v>2</v>
      </c>
      <c r="S191">
        <f t="shared" si="95"/>
        <v>1</v>
      </c>
      <c r="T191">
        <f t="shared" si="95"/>
        <v>1</v>
      </c>
      <c r="U191" t="e">
        <f t="shared" si="95"/>
        <v>#VALUE!</v>
      </c>
      <c r="V191" t="e">
        <f t="shared" si="95"/>
        <v>#VALUE!</v>
      </c>
      <c r="W191" t="e">
        <f t="shared" si="95"/>
        <v>#VALUE!</v>
      </c>
      <c r="X191" t="e">
        <f t="shared" si="95"/>
        <v>#VALUE!</v>
      </c>
      <c r="Y191" t="e">
        <f t="shared" si="95"/>
        <v>#VALUE!</v>
      </c>
      <c r="Z191" t="e">
        <f t="shared" si="95"/>
        <v>#VALUE!</v>
      </c>
      <c r="AA191" t="e">
        <f t="shared" si="95"/>
        <v>#VALUE!</v>
      </c>
      <c r="AB191" t="e">
        <f t="shared" si="95"/>
        <v>#VALUE!</v>
      </c>
      <c r="AC191" t="e">
        <f t="shared" si="95"/>
        <v>#VALUE!</v>
      </c>
      <c r="AD191" t="e">
        <f t="shared" si="95"/>
        <v>#VALUE!</v>
      </c>
      <c r="AE191" t="e">
        <f t="shared" si="95"/>
        <v>#VALUE!</v>
      </c>
      <c r="AF191" t="e">
        <f t="shared" si="95"/>
        <v>#VALUE!</v>
      </c>
      <c r="AG191" t="e">
        <f t="shared" si="95"/>
        <v>#VALUE!</v>
      </c>
      <c r="AH191" t="e">
        <f t="shared" si="95"/>
        <v>#VALUE!</v>
      </c>
      <c r="AI191" t="e">
        <f t="shared" si="95"/>
        <v>#VALUE!</v>
      </c>
      <c r="AJ191" t="e">
        <f t="shared" si="95"/>
        <v>#VALUE!</v>
      </c>
      <c r="AK191" t="e">
        <f t="shared" si="95"/>
        <v>#VALUE!</v>
      </c>
      <c r="AL191" t="e">
        <f t="shared" si="95"/>
        <v>#VALUE!</v>
      </c>
      <c r="AM191" t="e">
        <f t="shared" si="95"/>
        <v>#VALUE!</v>
      </c>
      <c r="AN191" t="e">
        <f t="shared" si="95"/>
        <v>#VALUE!</v>
      </c>
      <c r="AO191" t="e">
        <f t="shared" si="95"/>
        <v>#VALUE!</v>
      </c>
      <c r="AP191" t="e">
        <f t="shared" si="95"/>
        <v>#VALUE!</v>
      </c>
      <c r="AQ191" t="e">
        <f t="shared" si="95"/>
        <v>#VALUE!</v>
      </c>
      <c r="AR191" t="e">
        <f t="shared" si="95"/>
        <v>#VALUE!</v>
      </c>
      <c r="AS191" t="e">
        <f t="shared" si="95"/>
        <v>#VALUE!</v>
      </c>
      <c r="AT191" t="e">
        <f t="shared" si="95"/>
        <v>#VALUE!</v>
      </c>
      <c r="AU191" t="e">
        <f t="shared" si="95"/>
        <v>#VALUE!</v>
      </c>
      <c r="AV191" t="e">
        <f t="shared" si="95"/>
        <v>#VALUE!</v>
      </c>
      <c r="AW191" t="e">
        <f t="shared" si="95"/>
        <v>#VALUE!</v>
      </c>
      <c r="AX191" t="e">
        <f t="shared" si="95"/>
        <v>#VALUE!</v>
      </c>
      <c r="AY191" t="e">
        <f t="shared" si="95"/>
        <v>#VALUE!</v>
      </c>
      <c r="AZ191" t="e">
        <f t="shared" si="95"/>
        <v>#VALUE!</v>
      </c>
      <c r="BA191" t="e">
        <f t="shared" si="95"/>
        <v>#VALUE!</v>
      </c>
      <c r="BB191" t="e">
        <f t="shared" si="95"/>
        <v>#VALUE!</v>
      </c>
      <c r="BC191" t="e">
        <f t="shared" si="95"/>
        <v>#VALUE!</v>
      </c>
      <c r="BD191" t="e">
        <f t="shared" si="95"/>
        <v>#VALUE!</v>
      </c>
      <c r="BE191" t="e">
        <f t="shared" si="95"/>
        <v>#VALUE!</v>
      </c>
      <c r="BF191" t="e">
        <f t="shared" si="95"/>
        <v>#VALUE!</v>
      </c>
      <c r="BG191" t="e">
        <f t="shared" si="95"/>
        <v>#VALUE!</v>
      </c>
      <c r="BH191" t="e">
        <f t="shared" si="95"/>
        <v>#VALUE!</v>
      </c>
      <c r="BI191" t="e">
        <f t="shared" si="95"/>
        <v>#VALUE!</v>
      </c>
      <c r="BJ191" t="e">
        <f t="shared" si="95"/>
        <v>#VALUE!</v>
      </c>
      <c r="BK191" t="e">
        <f t="shared" si="95"/>
        <v>#VALUE!</v>
      </c>
      <c r="BL191" t="e">
        <f t="shared" si="95"/>
        <v>#VALUE!</v>
      </c>
      <c r="BM191" t="e">
        <f t="shared" si="95"/>
        <v>#VALUE!</v>
      </c>
      <c r="BN191" t="e">
        <f t="shared" si="95"/>
        <v>#VALUE!</v>
      </c>
      <c r="BO191" t="e">
        <f t="shared" si="95"/>
        <v>#VALUE!</v>
      </c>
      <c r="BP191" t="e">
        <f t="shared" si="95"/>
        <v>#VALUE!</v>
      </c>
      <c r="BQ191" t="e">
        <f t="shared" si="94"/>
        <v>#VALUE!</v>
      </c>
      <c r="BR191" t="e">
        <f t="shared" si="94"/>
        <v>#VALUE!</v>
      </c>
      <c r="BS191" t="e">
        <f t="shared" si="94"/>
        <v>#VALUE!</v>
      </c>
      <c r="BT191" t="e">
        <f t="shared" si="94"/>
        <v>#VALUE!</v>
      </c>
      <c r="BU191" t="e">
        <f t="shared" si="94"/>
        <v>#VALUE!</v>
      </c>
      <c r="BV191" t="e">
        <f t="shared" si="94"/>
        <v>#VALUE!</v>
      </c>
      <c r="BW191" t="e">
        <f t="shared" si="94"/>
        <v>#VALUE!</v>
      </c>
      <c r="BX191" t="e">
        <f t="shared" si="94"/>
        <v>#VALUE!</v>
      </c>
      <c r="BY191" t="e">
        <f t="shared" si="94"/>
        <v>#VALUE!</v>
      </c>
      <c r="BZ191" t="e">
        <f t="shared" si="94"/>
        <v>#VALUE!</v>
      </c>
      <c r="CA191" t="e">
        <f t="shared" si="94"/>
        <v>#VALUE!</v>
      </c>
      <c r="CB191" t="e">
        <f t="shared" si="94"/>
        <v>#VALUE!</v>
      </c>
      <c r="CC191" t="e">
        <f t="shared" si="94"/>
        <v>#VALUE!</v>
      </c>
      <c r="CD191" t="e">
        <f t="shared" si="94"/>
        <v>#VALUE!</v>
      </c>
      <c r="CE191" t="e">
        <f t="shared" si="94"/>
        <v>#VALUE!</v>
      </c>
      <c r="CF191" t="e">
        <f t="shared" si="94"/>
        <v>#VALUE!</v>
      </c>
      <c r="CG191" t="e">
        <f t="shared" si="94"/>
        <v>#VALUE!</v>
      </c>
      <c r="CH191" t="e">
        <f t="shared" si="94"/>
        <v>#VALUE!</v>
      </c>
      <c r="CI191" t="e">
        <f t="shared" si="94"/>
        <v>#VALUE!</v>
      </c>
      <c r="CJ191" t="e">
        <f t="shared" si="94"/>
        <v>#VALUE!</v>
      </c>
      <c r="CK191" t="e">
        <f t="shared" si="94"/>
        <v>#VALUE!</v>
      </c>
      <c r="CL191" t="e">
        <f t="shared" si="94"/>
        <v>#VALUE!</v>
      </c>
      <c r="CM191" t="e">
        <f t="shared" si="94"/>
        <v>#VALUE!</v>
      </c>
      <c r="CN191" t="e">
        <f t="shared" si="94"/>
        <v>#VALUE!</v>
      </c>
      <c r="CO191" t="e">
        <f t="shared" si="94"/>
        <v>#VALUE!</v>
      </c>
      <c r="CP191" t="e">
        <f t="shared" si="94"/>
        <v>#VALUE!</v>
      </c>
      <c r="CQ191" t="e">
        <f t="shared" si="94"/>
        <v>#VALUE!</v>
      </c>
      <c r="CR191" t="e">
        <f t="shared" si="94"/>
        <v>#VALUE!</v>
      </c>
      <c r="CS191" t="e">
        <f t="shared" si="94"/>
        <v>#VALUE!</v>
      </c>
      <c r="CT191" t="e">
        <f t="shared" si="94"/>
        <v>#VALUE!</v>
      </c>
      <c r="CU191" t="e">
        <f t="shared" si="94"/>
        <v>#VALUE!</v>
      </c>
      <c r="CV191" t="e">
        <f t="shared" si="94"/>
        <v>#VALUE!</v>
      </c>
      <c r="CW191" t="e">
        <f t="shared" si="94"/>
        <v>#VALUE!</v>
      </c>
      <c r="CX191" t="e">
        <f t="shared" si="94"/>
        <v>#VALUE!</v>
      </c>
      <c r="CY191" t="e">
        <f t="shared" si="94"/>
        <v>#VALUE!</v>
      </c>
      <c r="CZ191" t="e">
        <f t="shared" si="94"/>
        <v>#VALUE!</v>
      </c>
      <c r="DA191" t="e">
        <f t="shared" si="94"/>
        <v>#VALUE!</v>
      </c>
      <c r="DB191" t="e">
        <f t="shared" si="96"/>
        <v>#VALUE!</v>
      </c>
      <c r="DC191" t="e">
        <f t="shared" si="96"/>
        <v>#VALUE!</v>
      </c>
      <c r="DD191" t="e">
        <f t="shared" si="96"/>
        <v>#VALUE!</v>
      </c>
      <c r="DE191" t="e">
        <f t="shared" si="96"/>
        <v>#VALUE!</v>
      </c>
      <c r="DF191" t="e">
        <f t="shared" si="96"/>
        <v>#VALUE!</v>
      </c>
      <c r="DG191" t="e">
        <f t="shared" si="96"/>
        <v>#VALUE!</v>
      </c>
      <c r="DH191" t="e">
        <f t="shared" si="96"/>
        <v>#VALUE!</v>
      </c>
      <c r="DI191" t="e">
        <f t="shared" si="96"/>
        <v>#VALUE!</v>
      </c>
    </row>
    <row r="192" spans="5:113">
      <c r="E192">
        <f t="shared" si="95"/>
        <v>2</v>
      </c>
      <c r="F192">
        <f t="shared" si="95"/>
        <v>2</v>
      </c>
      <c r="G192">
        <f t="shared" si="95"/>
        <v>1</v>
      </c>
      <c r="H192">
        <f t="shared" si="95"/>
        <v>2</v>
      </c>
      <c r="I192">
        <f t="shared" si="95"/>
        <v>3</v>
      </c>
      <c r="J192">
        <f t="shared" si="95"/>
        <v>3</v>
      </c>
      <c r="K192">
        <f t="shared" si="95"/>
        <v>1</v>
      </c>
      <c r="L192">
        <f t="shared" si="95"/>
        <v>2</v>
      </c>
      <c r="M192">
        <f t="shared" si="95"/>
        <v>1</v>
      </c>
      <c r="N192">
        <f t="shared" si="95"/>
        <v>2</v>
      </c>
      <c r="O192">
        <f t="shared" si="95"/>
        <v>2</v>
      </c>
      <c r="P192">
        <f t="shared" si="95"/>
        <v>3</v>
      </c>
      <c r="Q192">
        <f t="shared" si="95"/>
        <v>2</v>
      </c>
      <c r="R192">
        <f t="shared" si="95"/>
        <v>3</v>
      </c>
      <c r="S192">
        <f t="shared" si="95"/>
        <v>3</v>
      </c>
      <c r="T192">
        <f t="shared" si="95"/>
        <v>2</v>
      </c>
      <c r="U192" t="e">
        <f t="shared" si="95"/>
        <v>#VALUE!</v>
      </c>
      <c r="V192" t="e">
        <f t="shared" si="95"/>
        <v>#VALUE!</v>
      </c>
      <c r="W192" t="e">
        <f t="shared" si="95"/>
        <v>#VALUE!</v>
      </c>
      <c r="X192" t="e">
        <f t="shared" si="95"/>
        <v>#VALUE!</v>
      </c>
      <c r="Y192" t="e">
        <f t="shared" si="95"/>
        <v>#VALUE!</v>
      </c>
      <c r="Z192" t="e">
        <f t="shared" si="95"/>
        <v>#VALUE!</v>
      </c>
      <c r="AA192" t="e">
        <f t="shared" si="95"/>
        <v>#VALUE!</v>
      </c>
      <c r="AB192" t="e">
        <f t="shared" si="95"/>
        <v>#VALUE!</v>
      </c>
      <c r="AC192" t="e">
        <f t="shared" si="95"/>
        <v>#VALUE!</v>
      </c>
      <c r="AD192" t="e">
        <f t="shared" si="95"/>
        <v>#VALUE!</v>
      </c>
      <c r="AE192" t="e">
        <f t="shared" si="95"/>
        <v>#VALUE!</v>
      </c>
      <c r="AF192" t="e">
        <f t="shared" si="95"/>
        <v>#VALUE!</v>
      </c>
      <c r="AG192" t="e">
        <f t="shared" si="95"/>
        <v>#VALUE!</v>
      </c>
      <c r="AH192" t="e">
        <f t="shared" si="95"/>
        <v>#VALUE!</v>
      </c>
      <c r="AI192" t="e">
        <f t="shared" si="95"/>
        <v>#VALUE!</v>
      </c>
      <c r="AJ192" t="e">
        <f t="shared" si="95"/>
        <v>#VALUE!</v>
      </c>
      <c r="AK192" t="e">
        <f t="shared" si="95"/>
        <v>#VALUE!</v>
      </c>
      <c r="AL192" t="e">
        <f t="shared" si="95"/>
        <v>#VALUE!</v>
      </c>
      <c r="AM192" t="e">
        <f t="shared" si="95"/>
        <v>#VALUE!</v>
      </c>
      <c r="AN192" t="e">
        <f t="shared" si="95"/>
        <v>#VALUE!</v>
      </c>
      <c r="AO192" t="e">
        <f t="shared" si="95"/>
        <v>#VALUE!</v>
      </c>
      <c r="AP192" t="e">
        <f t="shared" si="95"/>
        <v>#VALUE!</v>
      </c>
      <c r="AQ192" t="e">
        <f t="shared" si="95"/>
        <v>#VALUE!</v>
      </c>
      <c r="AR192" t="e">
        <f t="shared" si="95"/>
        <v>#VALUE!</v>
      </c>
      <c r="AS192" t="e">
        <f t="shared" si="95"/>
        <v>#VALUE!</v>
      </c>
      <c r="AT192" t="e">
        <f t="shared" si="95"/>
        <v>#VALUE!</v>
      </c>
      <c r="AU192" t="e">
        <f t="shared" si="95"/>
        <v>#VALUE!</v>
      </c>
      <c r="AV192" t="e">
        <f t="shared" si="95"/>
        <v>#VALUE!</v>
      </c>
      <c r="AW192" t="e">
        <f t="shared" si="95"/>
        <v>#VALUE!</v>
      </c>
      <c r="AX192" t="e">
        <f t="shared" si="95"/>
        <v>#VALUE!</v>
      </c>
      <c r="AY192" t="e">
        <f t="shared" si="95"/>
        <v>#VALUE!</v>
      </c>
      <c r="AZ192" t="e">
        <f t="shared" si="95"/>
        <v>#VALUE!</v>
      </c>
      <c r="BA192" t="e">
        <f t="shared" si="95"/>
        <v>#VALUE!</v>
      </c>
      <c r="BB192" t="e">
        <f t="shared" si="95"/>
        <v>#VALUE!</v>
      </c>
      <c r="BC192" t="e">
        <f t="shared" si="95"/>
        <v>#VALUE!</v>
      </c>
      <c r="BD192" t="e">
        <f t="shared" si="95"/>
        <v>#VALUE!</v>
      </c>
      <c r="BE192" t="e">
        <f t="shared" si="95"/>
        <v>#VALUE!</v>
      </c>
      <c r="BF192" t="e">
        <f t="shared" si="95"/>
        <v>#VALUE!</v>
      </c>
      <c r="BG192" t="e">
        <f t="shared" si="95"/>
        <v>#VALUE!</v>
      </c>
      <c r="BH192" t="e">
        <f t="shared" si="95"/>
        <v>#VALUE!</v>
      </c>
      <c r="BI192" t="e">
        <f t="shared" si="95"/>
        <v>#VALUE!</v>
      </c>
      <c r="BJ192" t="e">
        <f t="shared" si="95"/>
        <v>#VALUE!</v>
      </c>
      <c r="BK192" t="e">
        <f t="shared" si="95"/>
        <v>#VALUE!</v>
      </c>
      <c r="BL192" t="e">
        <f t="shared" si="95"/>
        <v>#VALUE!</v>
      </c>
      <c r="BM192" t="e">
        <f t="shared" si="95"/>
        <v>#VALUE!</v>
      </c>
      <c r="BN192" t="e">
        <f t="shared" si="95"/>
        <v>#VALUE!</v>
      </c>
      <c r="BO192" t="e">
        <f t="shared" si="95"/>
        <v>#VALUE!</v>
      </c>
      <c r="BP192" t="e">
        <f t="shared" ref="BP192:CF195" si="97">LEFT(BP34)+RIGHT(BP34)</f>
        <v>#VALUE!</v>
      </c>
      <c r="BQ192" t="e">
        <f t="shared" si="97"/>
        <v>#VALUE!</v>
      </c>
      <c r="BR192" t="e">
        <f t="shared" si="97"/>
        <v>#VALUE!</v>
      </c>
      <c r="BS192" t="e">
        <f t="shared" si="97"/>
        <v>#VALUE!</v>
      </c>
      <c r="BT192" t="e">
        <f t="shared" si="97"/>
        <v>#VALUE!</v>
      </c>
      <c r="BU192" t="e">
        <f t="shared" si="97"/>
        <v>#VALUE!</v>
      </c>
      <c r="BV192" t="e">
        <f t="shared" si="97"/>
        <v>#VALUE!</v>
      </c>
      <c r="BW192" t="e">
        <f t="shared" si="97"/>
        <v>#VALUE!</v>
      </c>
      <c r="BX192" t="e">
        <f t="shared" si="97"/>
        <v>#VALUE!</v>
      </c>
      <c r="BY192" t="e">
        <f t="shared" si="97"/>
        <v>#VALUE!</v>
      </c>
      <c r="BZ192" t="e">
        <f t="shared" si="97"/>
        <v>#VALUE!</v>
      </c>
      <c r="CA192" t="e">
        <f t="shared" si="97"/>
        <v>#VALUE!</v>
      </c>
      <c r="CB192" t="e">
        <f t="shared" si="97"/>
        <v>#VALUE!</v>
      </c>
      <c r="CC192" t="e">
        <f t="shared" si="97"/>
        <v>#VALUE!</v>
      </c>
      <c r="CD192" t="e">
        <f t="shared" si="97"/>
        <v>#VALUE!</v>
      </c>
      <c r="CE192" t="e">
        <f t="shared" si="97"/>
        <v>#VALUE!</v>
      </c>
      <c r="CF192" t="e">
        <f t="shared" si="97"/>
        <v>#VALUE!</v>
      </c>
      <c r="CG192" t="e">
        <f t="shared" si="94"/>
        <v>#VALUE!</v>
      </c>
      <c r="CH192" t="e">
        <f t="shared" si="94"/>
        <v>#VALUE!</v>
      </c>
      <c r="CI192" t="e">
        <f t="shared" si="94"/>
        <v>#VALUE!</v>
      </c>
      <c r="CJ192" t="e">
        <f t="shared" si="94"/>
        <v>#VALUE!</v>
      </c>
      <c r="CK192" t="e">
        <f t="shared" si="94"/>
        <v>#VALUE!</v>
      </c>
      <c r="CL192" t="e">
        <f t="shared" si="94"/>
        <v>#VALUE!</v>
      </c>
      <c r="CM192" t="e">
        <f t="shared" si="94"/>
        <v>#VALUE!</v>
      </c>
      <c r="CN192" t="e">
        <f t="shared" si="94"/>
        <v>#VALUE!</v>
      </c>
      <c r="CO192" t="e">
        <f t="shared" si="94"/>
        <v>#VALUE!</v>
      </c>
      <c r="CP192" t="e">
        <f t="shared" si="94"/>
        <v>#VALUE!</v>
      </c>
      <c r="CQ192" t="e">
        <f t="shared" si="94"/>
        <v>#VALUE!</v>
      </c>
      <c r="CR192" t="e">
        <f t="shared" si="94"/>
        <v>#VALUE!</v>
      </c>
      <c r="CS192" t="e">
        <f t="shared" si="94"/>
        <v>#VALUE!</v>
      </c>
      <c r="CT192" t="e">
        <f t="shared" si="94"/>
        <v>#VALUE!</v>
      </c>
      <c r="CU192" t="e">
        <f t="shared" si="94"/>
        <v>#VALUE!</v>
      </c>
      <c r="CV192" t="e">
        <f t="shared" si="94"/>
        <v>#VALUE!</v>
      </c>
      <c r="CW192" t="e">
        <f t="shared" si="94"/>
        <v>#VALUE!</v>
      </c>
      <c r="CX192" t="e">
        <f t="shared" si="94"/>
        <v>#VALUE!</v>
      </c>
      <c r="CY192" t="e">
        <f t="shared" si="94"/>
        <v>#VALUE!</v>
      </c>
      <c r="CZ192" t="e">
        <f t="shared" si="94"/>
        <v>#VALUE!</v>
      </c>
      <c r="DA192" t="e">
        <f t="shared" si="94"/>
        <v>#VALUE!</v>
      </c>
      <c r="DB192" t="e">
        <f t="shared" si="96"/>
        <v>#VALUE!</v>
      </c>
      <c r="DC192" t="e">
        <f t="shared" si="96"/>
        <v>#VALUE!</v>
      </c>
      <c r="DD192" t="e">
        <f t="shared" si="96"/>
        <v>#VALUE!</v>
      </c>
      <c r="DE192" t="e">
        <f t="shared" si="96"/>
        <v>#VALUE!</v>
      </c>
      <c r="DF192" t="e">
        <f t="shared" si="96"/>
        <v>#VALUE!</v>
      </c>
      <c r="DG192" t="e">
        <f t="shared" si="96"/>
        <v>#VALUE!</v>
      </c>
      <c r="DH192" t="e">
        <f t="shared" si="96"/>
        <v>#VALUE!</v>
      </c>
      <c r="DI192" t="e">
        <f t="shared" si="96"/>
        <v>#VALUE!</v>
      </c>
    </row>
    <row r="193" spans="5:113">
      <c r="E193">
        <f t="shared" ref="E193:BP196" si="98">LEFT(E35)+RIGHT(E35)</f>
        <v>2</v>
      </c>
      <c r="F193">
        <f t="shared" si="98"/>
        <v>3</v>
      </c>
      <c r="G193">
        <f t="shared" si="98"/>
        <v>3</v>
      </c>
      <c r="H193">
        <f t="shared" si="98"/>
        <v>3</v>
      </c>
      <c r="I193">
        <f t="shared" si="98"/>
        <v>0</v>
      </c>
      <c r="J193">
        <f t="shared" si="98"/>
        <v>4</v>
      </c>
      <c r="K193">
        <f t="shared" si="98"/>
        <v>3</v>
      </c>
      <c r="L193">
        <f t="shared" si="98"/>
        <v>3</v>
      </c>
      <c r="M193">
        <f t="shared" si="98"/>
        <v>3</v>
      </c>
      <c r="N193">
        <f t="shared" si="98"/>
        <v>3</v>
      </c>
      <c r="O193">
        <f t="shared" si="98"/>
        <v>2</v>
      </c>
      <c r="P193">
        <f t="shared" si="98"/>
        <v>4</v>
      </c>
      <c r="Q193">
        <f t="shared" si="98"/>
        <v>2</v>
      </c>
      <c r="R193">
        <f t="shared" si="98"/>
        <v>3</v>
      </c>
      <c r="S193">
        <f t="shared" si="98"/>
        <v>5</v>
      </c>
      <c r="T193">
        <f t="shared" si="98"/>
        <v>3</v>
      </c>
      <c r="U193" t="e">
        <f t="shared" si="98"/>
        <v>#VALUE!</v>
      </c>
      <c r="V193" t="e">
        <f t="shared" si="98"/>
        <v>#VALUE!</v>
      </c>
      <c r="W193" t="e">
        <f t="shared" si="98"/>
        <v>#VALUE!</v>
      </c>
      <c r="X193" t="e">
        <f t="shared" si="98"/>
        <v>#VALUE!</v>
      </c>
      <c r="Y193" t="e">
        <f t="shared" si="98"/>
        <v>#VALUE!</v>
      </c>
      <c r="Z193" t="e">
        <f t="shared" si="98"/>
        <v>#VALUE!</v>
      </c>
      <c r="AA193" t="e">
        <f t="shared" si="98"/>
        <v>#VALUE!</v>
      </c>
      <c r="AB193" t="e">
        <f t="shared" si="98"/>
        <v>#VALUE!</v>
      </c>
      <c r="AC193" t="e">
        <f t="shared" si="98"/>
        <v>#VALUE!</v>
      </c>
      <c r="AD193" t="e">
        <f t="shared" si="98"/>
        <v>#VALUE!</v>
      </c>
      <c r="AE193" t="e">
        <f t="shared" si="98"/>
        <v>#VALUE!</v>
      </c>
      <c r="AF193" t="e">
        <f t="shared" si="98"/>
        <v>#VALUE!</v>
      </c>
      <c r="AG193" t="e">
        <f t="shared" si="98"/>
        <v>#VALUE!</v>
      </c>
      <c r="AH193" t="e">
        <f t="shared" si="98"/>
        <v>#VALUE!</v>
      </c>
      <c r="AI193" t="e">
        <f t="shared" si="98"/>
        <v>#VALUE!</v>
      </c>
      <c r="AJ193" t="e">
        <f t="shared" si="98"/>
        <v>#VALUE!</v>
      </c>
      <c r="AK193" t="e">
        <f t="shared" si="98"/>
        <v>#VALUE!</v>
      </c>
      <c r="AL193" t="e">
        <f t="shared" si="98"/>
        <v>#VALUE!</v>
      </c>
      <c r="AM193" t="e">
        <f t="shared" si="98"/>
        <v>#VALUE!</v>
      </c>
      <c r="AN193" t="e">
        <f t="shared" si="98"/>
        <v>#VALUE!</v>
      </c>
      <c r="AO193" t="e">
        <f t="shared" si="98"/>
        <v>#VALUE!</v>
      </c>
      <c r="AP193" t="e">
        <f t="shared" si="98"/>
        <v>#VALUE!</v>
      </c>
      <c r="AQ193" t="e">
        <f t="shared" si="98"/>
        <v>#VALUE!</v>
      </c>
      <c r="AR193" t="e">
        <f t="shared" si="98"/>
        <v>#VALUE!</v>
      </c>
      <c r="AS193" t="e">
        <f t="shared" si="98"/>
        <v>#VALUE!</v>
      </c>
      <c r="AT193" t="e">
        <f t="shared" si="98"/>
        <v>#VALUE!</v>
      </c>
      <c r="AU193" t="e">
        <f t="shared" si="98"/>
        <v>#VALUE!</v>
      </c>
      <c r="AV193" t="e">
        <f t="shared" si="98"/>
        <v>#VALUE!</v>
      </c>
      <c r="AW193" t="e">
        <f t="shared" si="98"/>
        <v>#VALUE!</v>
      </c>
      <c r="AX193" t="e">
        <f t="shared" si="98"/>
        <v>#VALUE!</v>
      </c>
      <c r="AY193" t="e">
        <f t="shared" si="98"/>
        <v>#VALUE!</v>
      </c>
      <c r="AZ193" t="e">
        <f t="shared" si="98"/>
        <v>#VALUE!</v>
      </c>
      <c r="BA193" t="e">
        <f t="shared" si="98"/>
        <v>#VALUE!</v>
      </c>
      <c r="BB193" t="e">
        <f t="shared" si="98"/>
        <v>#VALUE!</v>
      </c>
      <c r="BC193" t="e">
        <f t="shared" si="98"/>
        <v>#VALUE!</v>
      </c>
      <c r="BD193" t="e">
        <f t="shared" si="98"/>
        <v>#VALUE!</v>
      </c>
      <c r="BE193" t="e">
        <f t="shared" si="98"/>
        <v>#VALUE!</v>
      </c>
      <c r="BF193" t="e">
        <f t="shared" si="98"/>
        <v>#VALUE!</v>
      </c>
      <c r="BG193" t="e">
        <f t="shared" si="98"/>
        <v>#VALUE!</v>
      </c>
      <c r="BH193" t="e">
        <f t="shared" si="98"/>
        <v>#VALUE!</v>
      </c>
      <c r="BI193" t="e">
        <f t="shared" si="98"/>
        <v>#VALUE!</v>
      </c>
      <c r="BJ193" t="e">
        <f t="shared" si="98"/>
        <v>#VALUE!</v>
      </c>
      <c r="BK193" t="e">
        <f t="shared" si="98"/>
        <v>#VALUE!</v>
      </c>
      <c r="BL193" t="e">
        <f t="shared" si="98"/>
        <v>#VALUE!</v>
      </c>
      <c r="BM193" t="e">
        <f t="shared" si="98"/>
        <v>#VALUE!</v>
      </c>
      <c r="BN193" t="e">
        <f t="shared" si="98"/>
        <v>#VALUE!</v>
      </c>
      <c r="BO193" t="e">
        <f t="shared" si="98"/>
        <v>#VALUE!</v>
      </c>
      <c r="BP193" t="e">
        <f t="shared" si="98"/>
        <v>#VALUE!</v>
      </c>
      <c r="BQ193" t="e">
        <f t="shared" si="97"/>
        <v>#VALUE!</v>
      </c>
      <c r="BR193" t="e">
        <f t="shared" si="97"/>
        <v>#VALUE!</v>
      </c>
      <c r="BS193" t="e">
        <f t="shared" si="97"/>
        <v>#VALUE!</v>
      </c>
      <c r="BT193" t="e">
        <f t="shared" si="97"/>
        <v>#VALUE!</v>
      </c>
      <c r="BU193" t="e">
        <f t="shared" si="97"/>
        <v>#VALUE!</v>
      </c>
      <c r="BV193" t="e">
        <f t="shared" si="97"/>
        <v>#VALUE!</v>
      </c>
      <c r="BW193" t="e">
        <f t="shared" si="97"/>
        <v>#VALUE!</v>
      </c>
      <c r="BX193" t="e">
        <f t="shared" si="97"/>
        <v>#VALUE!</v>
      </c>
      <c r="BY193" t="e">
        <f t="shared" si="97"/>
        <v>#VALUE!</v>
      </c>
      <c r="BZ193" t="e">
        <f t="shared" si="97"/>
        <v>#VALUE!</v>
      </c>
      <c r="CA193" t="e">
        <f t="shared" si="97"/>
        <v>#VALUE!</v>
      </c>
      <c r="CB193" t="e">
        <f t="shared" si="97"/>
        <v>#VALUE!</v>
      </c>
      <c r="CC193" t="e">
        <f t="shared" si="97"/>
        <v>#VALUE!</v>
      </c>
      <c r="CD193" t="e">
        <f t="shared" si="97"/>
        <v>#VALUE!</v>
      </c>
      <c r="CE193" t="e">
        <f t="shared" si="97"/>
        <v>#VALUE!</v>
      </c>
      <c r="CF193" t="e">
        <f t="shared" si="97"/>
        <v>#VALUE!</v>
      </c>
      <c r="CG193" t="e">
        <f t="shared" si="94"/>
        <v>#VALUE!</v>
      </c>
      <c r="CH193" t="e">
        <f t="shared" si="94"/>
        <v>#VALUE!</v>
      </c>
      <c r="CI193" t="e">
        <f t="shared" si="94"/>
        <v>#VALUE!</v>
      </c>
      <c r="CJ193" t="e">
        <f t="shared" si="94"/>
        <v>#VALUE!</v>
      </c>
      <c r="CK193" t="e">
        <f t="shared" si="94"/>
        <v>#VALUE!</v>
      </c>
      <c r="CL193" t="e">
        <f t="shared" si="94"/>
        <v>#VALUE!</v>
      </c>
      <c r="CM193" t="e">
        <f t="shared" si="94"/>
        <v>#VALUE!</v>
      </c>
      <c r="CN193" t="e">
        <f t="shared" si="94"/>
        <v>#VALUE!</v>
      </c>
      <c r="CO193" t="e">
        <f t="shared" si="94"/>
        <v>#VALUE!</v>
      </c>
      <c r="CP193" t="e">
        <f t="shared" si="94"/>
        <v>#VALUE!</v>
      </c>
      <c r="CQ193" t="e">
        <f t="shared" si="94"/>
        <v>#VALUE!</v>
      </c>
      <c r="CR193" t="e">
        <f t="shared" si="94"/>
        <v>#VALUE!</v>
      </c>
      <c r="CS193" t="e">
        <f t="shared" si="94"/>
        <v>#VALUE!</v>
      </c>
      <c r="CT193" t="e">
        <f t="shared" si="94"/>
        <v>#VALUE!</v>
      </c>
      <c r="CU193" t="e">
        <f t="shared" si="94"/>
        <v>#VALUE!</v>
      </c>
      <c r="CV193" t="e">
        <f t="shared" si="94"/>
        <v>#VALUE!</v>
      </c>
      <c r="CW193" t="e">
        <f t="shared" si="94"/>
        <v>#VALUE!</v>
      </c>
      <c r="CX193" t="e">
        <f t="shared" si="94"/>
        <v>#VALUE!</v>
      </c>
      <c r="CY193" t="e">
        <f t="shared" si="94"/>
        <v>#VALUE!</v>
      </c>
      <c r="CZ193" t="e">
        <f t="shared" si="94"/>
        <v>#VALUE!</v>
      </c>
      <c r="DA193" t="e">
        <f t="shared" si="94"/>
        <v>#VALUE!</v>
      </c>
      <c r="DB193" t="e">
        <f t="shared" si="96"/>
        <v>#VALUE!</v>
      </c>
      <c r="DC193" t="e">
        <f t="shared" si="96"/>
        <v>#VALUE!</v>
      </c>
      <c r="DD193" t="e">
        <f t="shared" si="96"/>
        <v>#VALUE!</v>
      </c>
      <c r="DE193" t="e">
        <f t="shared" si="96"/>
        <v>#VALUE!</v>
      </c>
      <c r="DF193" t="e">
        <f t="shared" si="96"/>
        <v>#VALUE!</v>
      </c>
      <c r="DG193" t="e">
        <f t="shared" si="96"/>
        <v>#VALUE!</v>
      </c>
      <c r="DH193" t="e">
        <f t="shared" si="96"/>
        <v>#VALUE!</v>
      </c>
      <c r="DI193" t="e">
        <f t="shared" si="96"/>
        <v>#VALUE!</v>
      </c>
    </row>
    <row r="194" spans="5:113">
      <c r="E194">
        <f t="shared" si="98"/>
        <v>1</v>
      </c>
      <c r="F194">
        <f t="shared" si="98"/>
        <v>1</v>
      </c>
      <c r="G194">
        <f t="shared" si="98"/>
        <v>1</v>
      </c>
      <c r="H194">
        <f t="shared" si="98"/>
        <v>4</v>
      </c>
      <c r="I194">
        <f t="shared" si="98"/>
        <v>1</v>
      </c>
      <c r="J194">
        <f t="shared" si="98"/>
        <v>2</v>
      </c>
      <c r="K194">
        <f t="shared" si="98"/>
        <v>1</v>
      </c>
      <c r="L194">
        <f t="shared" si="98"/>
        <v>1</v>
      </c>
      <c r="M194">
        <f t="shared" si="98"/>
        <v>1</v>
      </c>
      <c r="N194">
        <f t="shared" si="98"/>
        <v>3</v>
      </c>
      <c r="O194">
        <f t="shared" si="98"/>
        <v>0</v>
      </c>
      <c r="P194">
        <f t="shared" si="98"/>
        <v>2</v>
      </c>
      <c r="Q194">
        <f t="shared" si="98"/>
        <v>1</v>
      </c>
      <c r="R194">
        <f t="shared" si="98"/>
        <v>2</v>
      </c>
      <c r="S194">
        <f t="shared" si="98"/>
        <v>2</v>
      </c>
      <c r="T194">
        <f t="shared" si="98"/>
        <v>1</v>
      </c>
      <c r="U194" t="e">
        <f t="shared" si="98"/>
        <v>#VALUE!</v>
      </c>
      <c r="V194" t="e">
        <f t="shared" si="98"/>
        <v>#VALUE!</v>
      </c>
      <c r="W194" t="e">
        <f t="shared" si="98"/>
        <v>#VALUE!</v>
      </c>
      <c r="X194" t="e">
        <f t="shared" si="98"/>
        <v>#VALUE!</v>
      </c>
      <c r="Y194" t="e">
        <f t="shared" si="98"/>
        <v>#VALUE!</v>
      </c>
      <c r="Z194" t="e">
        <f t="shared" si="98"/>
        <v>#VALUE!</v>
      </c>
      <c r="AA194" t="e">
        <f t="shared" si="98"/>
        <v>#VALUE!</v>
      </c>
      <c r="AB194" t="e">
        <f t="shared" si="98"/>
        <v>#VALUE!</v>
      </c>
      <c r="AC194" t="e">
        <f t="shared" si="98"/>
        <v>#VALUE!</v>
      </c>
      <c r="AD194" t="e">
        <f t="shared" si="98"/>
        <v>#VALUE!</v>
      </c>
      <c r="AE194" t="e">
        <f t="shared" si="98"/>
        <v>#VALUE!</v>
      </c>
      <c r="AF194" t="e">
        <f t="shared" si="98"/>
        <v>#VALUE!</v>
      </c>
      <c r="AG194" t="e">
        <f t="shared" si="98"/>
        <v>#VALUE!</v>
      </c>
      <c r="AH194" t="e">
        <f t="shared" si="98"/>
        <v>#VALUE!</v>
      </c>
      <c r="AI194" t="e">
        <f t="shared" si="98"/>
        <v>#VALUE!</v>
      </c>
      <c r="AJ194" t="e">
        <f t="shared" si="98"/>
        <v>#VALUE!</v>
      </c>
      <c r="AK194" t="e">
        <f t="shared" si="98"/>
        <v>#VALUE!</v>
      </c>
      <c r="AL194" t="e">
        <f t="shared" si="98"/>
        <v>#VALUE!</v>
      </c>
      <c r="AM194" t="e">
        <f t="shared" si="98"/>
        <v>#VALUE!</v>
      </c>
      <c r="AN194" t="e">
        <f t="shared" si="98"/>
        <v>#VALUE!</v>
      </c>
      <c r="AO194" t="e">
        <f t="shared" si="98"/>
        <v>#VALUE!</v>
      </c>
      <c r="AP194" t="e">
        <f t="shared" si="98"/>
        <v>#VALUE!</v>
      </c>
      <c r="AQ194" t="e">
        <f t="shared" si="98"/>
        <v>#VALUE!</v>
      </c>
      <c r="AR194" t="e">
        <f t="shared" si="98"/>
        <v>#VALUE!</v>
      </c>
      <c r="AS194" t="e">
        <f t="shared" si="98"/>
        <v>#VALUE!</v>
      </c>
      <c r="AT194" t="e">
        <f t="shared" si="98"/>
        <v>#VALUE!</v>
      </c>
      <c r="AU194" t="e">
        <f t="shared" si="98"/>
        <v>#VALUE!</v>
      </c>
      <c r="AV194" t="e">
        <f t="shared" si="98"/>
        <v>#VALUE!</v>
      </c>
      <c r="AW194" t="e">
        <f t="shared" si="98"/>
        <v>#VALUE!</v>
      </c>
      <c r="AX194" t="e">
        <f t="shared" si="98"/>
        <v>#VALUE!</v>
      </c>
      <c r="AY194" t="e">
        <f t="shared" si="98"/>
        <v>#VALUE!</v>
      </c>
      <c r="AZ194" t="e">
        <f t="shared" si="98"/>
        <v>#VALUE!</v>
      </c>
      <c r="BA194" t="e">
        <f t="shared" si="98"/>
        <v>#VALUE!</v>
      </c>
      <c r="BB194" t="e">
        <f t="shared" si="98"/>
        <v>#VALUE!</v>
      </c>
      <c r="BC194" t="e">
        <f t="shared" si="98"/>
        <v>#VALUE!</v>
      </c>
      <c r="BD194" t="e">
        <f t="shared" si="98"/>
        <v>#VALUE!</v>
      </c>
      <c r="BE194" t="e">
        <f t="shared" si="98"/>
        <v>#VALUE!</v>
      </c>
      <c r="BF194" t="e">
        <f t="shared" si="98"/>
        <v>#VALUE!</v>
      </c>
      <c r="BG194" t="e">
        <f t="shared" si="98"/>
        <v>#VALUE!</v>
      </c>
      <c r="BH194" t="e">
        <f t="shared" si="98"/>
        <v>#VALUE!</v>
      </c>
      <c r="BI194" t="e">
        <f t="shared" si="98"/>
        <v>#VALUE!</v>
      </c>
      <c r="BJ194" t="e">
        <f t="shared" si="98"/>
        <v>#VALUE!</v>
      </c>
      <c r="BK194" t="e">
        <f t="shared" si="98"/>
        <v>#VALUE!</v>
      </c>
      <c r="BL194" t="e">
        <f t="shared" si="98"/>
        <v>#VALUE!</v>
      </c>
      <c r="BM194" t="e">
        <f t="shared" si="98"/>
        <v>#VALUE!</v>
      </c>
      <c r="BN194" t="e">
        <f t="shared" si="98"/>
        <v>#VALUE!</v>
      </c>
      <c r="BO194" t="e">
        <f t="shared" si="98"/>
        <v>#VALUE!</v>
      </c>
      <c r="BP194" t="e">
        <f t="shared" si="98"/>
        <v>#VALUE!</v>
      </c>
      <c r="BQ194" t="e">
        <f t="shared" si="97"/>
        <v>#VALUE!</v>
      </c>
      <c r="BR194" t="e">
        <f t="shared" si="97"/>
        <v>#VALUE!</v>
      </c>
      <c r="BS194" t="e">
        <f t="shared" si="97"/>
        <v>#VALUE!</v>
      </c>
      <c r="BT194" t="e">
        <f t="shared" si="97"/>
        <v>#VALUE!</v>
      </c>
      <c r="BU194" t="e">
        <f t="shared" si="97"/>
        <v>#VALUE!</v>
      </c>
      <c r="BV194" t="e">
        <f t="shared" si="97"/>
        <v>#VALUE!</v>
      </c>
      <c r="BW194" t="e">
        <f t="shared" si="97"/>
        <v>#VALUE!</v>
      </c>
      <c r="BX194" t="e">
        <f t="shared" si="97"/>
        <v>#VALUE!</v>
      </c>
      <c r="BY194" t="e">
        <f t="shared" si="97"/>
        <v>#VALUE!</v>
      </c>
      <c r="BZ194" t="e">
        <f t="shared" si="97"/>
        <v>#VALUE!</v>
      </c>
      <c r="CA194" t="e">
        <f t="shared" si="97"/>
        <v>#VALUE!</v>
      </c>
      <c r="CB194" t="e">
        <f t="shared" si="97"/>
        <v>#VALUE!</v>
      </c>
      <c r="CC194" t="e">
        <f t="shared" si="97"/>
        <v>#VALUE!</v>
      </c>
      <c r="CD194" t="e">
        <f t="shared" si="97"/>
        <v>#VALUE!</v>
      </c>
      <c r="CE194" t="e">
        <f t="shared" si="97"/>
        <v>#VALUE!</v>
      </c>
      <c r="CF194" t="e">
        <f t="shared" si="97"/>
        <v>#VALUE!</v>
      </c>
      <c r="CG194" t="e">
        <f t="shared" si="94"/>
        <v>#VALUE!</v>
      </c>
      <c r="CH194" t="e">
        <f t="shared" si="94"/>
        <v>#VALUE!</v>
      </c>
      <c r="CI194" t="e">
        <f t="shared" si="94"/>
        <v>#VALUE!</v>
      </c>
      <c r="CJ194" t="e">
        <f t="shared" si="94"/>
        <v>#VALUE!</v>
      </c>
      <c r="CK194" t="e">
        <f t="shared" si="94"/>
        <v>#VALUE!</v>
      </c>
      <c r="CL194" t="e">
        <f t="shared" si="94"/>
        <v>#VALUE!</v>
      </c>
      <c r="CM194" t="e">
        <f t="shared" si="94"/>
        <v>#VALUE!</v>
      </c>
      <c r="CN194" t="e">
        <f t="shared" si="94"/>
        <v>#VALUE!</v>
      </c>
      <c r="CO194" t="e">
        <f t="shared" si="94"/>
        <v>#VALUE!</v>
      </c>
      <c r="CP194" t="e">
        <f t="shared" si="94"/>
        <v>#VALUE!</v>
      </c>
      <c r="CQ194" t="e">
        <f t="shared" si="94"/>
        <v>#VALUE!</v>
      </c>
      <c r="CR194" t="e">
        <f t="shared" si="94"/>
        <v>#VALUE!</v>
      </c>
      <c r="CS194" t="e">
        <f t="shared" si="94"/>
        <v>#VALUE!</v>
      </c>
      <c r="CT194" t="e">
        <f t="shared" si="94"/>
        <v>#VALUE!</v>
      </c>
      <c r="CU194" t="e">
        <f t="shared" si="94"/>
        <v>#VALUE!</v>
      </c>
      <c r="CV194" t="e">
        <f t="shared" si="94"/>
        <v>#VALUE!</v>
      </c>
      <c r="CW194" t="e">
        <f t="shared" si="94"/>
        <v>#VALUE!</v>
      </c>
      <c r="CX194" t="e">
        <f t="shared" si="94"/>
        <v>#VALUE!</v>
      </c>
      <c r="CY194" t="e">
        <f t="shared" si="94"/>
        <v>#VALUE!</v>
      </c>
      <c r="CZ194" t="e">
        <f t="shared" si="94"/>
        <v>#VALUE!</v>
      </c>
      <c r="DA194" t="e">
        <f t="shared" si="94"/>
        <v>#VALUE!</v>
      </c>
      <c r="DB194" t="e">
        <f t="shared" si="96"/>
        <v>#VALUE!</v>
      </c>
      <c r="DC194" t="e">
        <f t="shared" si="96"/>
        <v>#VALUE!</v>
      </c>
      <c r="DD194" t="e">
        <f t="shared" si="96"/>
        <v>#VALUE!</v>
      </c>
      <c r="DE194" t="e">
        <f t="shared" si="96"/>
        <v>#VALUE!</v>
      </c>
      <c r="DF194" t="e">
        <f t="shared" si="96"/>
        <v>#VALUE!</v>
      </c>
      <c r="DG194" t="e">
        <f t="shared" si="96"/>
        <v>#VALUE!</v>
      </c>
      <c r="DH194" t="e">
        <f t="shared" si="96"/>
        <v>#VALUE!</v>
      </c>
      <c r="DI194" t="e">
        <f t="shared" si="96"/>
        <v>#VALUE!</v>
      </c>
    </row>
    <row r="195" spans="5:113">
      <c r="E195">
        <f t="shared" si="98"/>
        <v>1</v>
      </c>
      <c r="F195">
        <f t="shared" si="98"/>
        <v>2</v>
      </c>
      <c r="G195">
        <f t="shared" si="98"/>
        <v>3</v>
      </c>
      <c r="H195">
        <f t="shared" si="98"/>
        <v>5</v>
      </c>
      <c r="I195">
        <f t="shared" si="98"/>
        <v>3</v>
      </c>
      <c r="J195">
        <f t="shared" si="98"/>
        <v>3</v>
      </c>
      <c r="K195">
        <f t="shared" si="98"/>
        <v>3</v>
      </c>
      <c r="L195">
        <f t="shared" si="98"/>
        <v>3</v>
      </c>
      <c r="M195">
        <f t="shared" si="98"/>
        <v>3</v>
      </c>
      <c r="N195">
        <f t="shared" si="98"/>
        <v>1</v>
      </c>
      <c r="O195">
        <f t="shared" si="98"/>
        <v>5</v>
      </c>
      <c r="P195">
        <f t="shared" si="98"/>
        <v>3</v>
      </c>
      <c r="Q195">
        <f t="shared" si="98"/>
        <v>2</v>
      </c>
      <c r="R195">
        <f t="shared" si="98"/>
        <v>3</v>
      </c>
      <c r="S195">
        <f t="shared" si="98"/>
        <v>3</v>
      </c>
      <c r="T195">
        <f t="shared" si="98"/>
        <v>2</v>
      </c>
      <c r="U195" t="e">
        <f t="shared" si="98"/>
        <v>#VALUE!</v>
      </c>
      <c r="V195" t="e">
        <f t="shared" si="98"/>
        <v>#VALUE!</v>
      </c>
      <c r="W195" t="e">
        <f t="shared" si="98"/>
        <v>#VALUE!</v>
      </c>
      <c r="X195" t="e">
        <f t="shared" si="98"/>
        <v>#VALUE!</v>
      </c>
      <c r="Y195" t="e">
        <f t="shared" si="98"/>
        <v>#VALUE!</v>
      </c>
      <c r="Z195" t="e">
        <f t="shared" si="98"/>
        <v>#VALUE!</v>
      </c>
      <c r="AA195" t="e">
        <f t="shared" si="98"/>
        <v>#VALUE!</v>
      </c>
      <c r="AB195" t="e">
        <f t="shared" si="98"/>
        <v>#VALUE!</v>
      </c>
      <c r="AC195" t="e">
        <f t="shared" si="98"/>
        <v>#VALUE!</v>
      </c>
      <c r="AD195" t="e">
        <f t="shared" si="98"/>
        <v>#VALUE!</v>
      </c>
      <c r="AE195" t="e">
        <f t="shared" si="98"/>
        <v>#VALUE!</v>
      </c>
      <c r="AF195" t="e">
        <f t="shared" si="98"/>
        <v>#VALUE!</v>
      </c>
      <c r="AG195" t="e">
        <f t="shared" si="98"/>
        <v>#VALUE!</v>
      </c>
      <c r="AH195" t="e">
        <f t="shared" si="98"/>
        <v>#VALUE!</v>
      </c>
      <c r="AI195" t="e">
        <f t="shared" si="98"/>
        <v>#VALUE!</v>
      </c>
      <c r="AJ195" t="e">
        <f t="shared" si="98"/>
        <v>#VALUE!</v>
      </c>
      <c r="AK195" t="e">
        <f t="shared" si="98"/>
        <v>#VALUE!</v>
      </c>
      <c r="AL195" t="e">
        <f t="shared" si="98"/>
        <v>#VALUE!</v>
      </c>
      <c r="AM195" t="e">
        <f t="shared" si="98"/>
        <v>#VALUE!</v>
      </c>
      <c r="AN195" t="e">
        <f t="shared" si="98"/>
        <v>#VALUE!</v>
      </c>
      <c r="AO195" t="e">
        <f t="shared" si="98"/>
        <v>#VALUE!</v>
      </c>
      <c r="AP195" t="e">
        <f t="shared" si="98"/>
        <v>#VALUE!</v>
      </c>
      <c r="AQ195" t="e">
        <f t="shared" si="98"/>
        <v>#VALUE!</v>
      </c>
      <c r="AR195" t="e">
        <f t="shared" si="98"/>
        <v>#VALUE!</v>
      </c>
      <c r="AS195" t="e">
        <f t="shared" si="98"/>
        <v>#VALUE!</v>
      </c>
      <c r="AT195" t="e">
        <f t="shared" si="98"/>
        <v>#VALUE!</v>
      </c>
      <c r="AU195" t="e">
        <f t="shared" si="98"/>
        <v>#VALUE!</v>
      </c>
      <c r="AV195" t="e">
        <f t="shared" si="98"/>
        <v>#VALUE!</v>
      </c>
      <c r="AW195" t="e">
        <f t="shared" si="98"/>
        <v>#VALUE!</v>
      </c>
      <c r="AX195" t="e">
        <f t="shared" si="98"/>
        <v>#VALUE!</v>
      </c>
      <c r="AY195" t="e">
        <f t="shared" si="98"/>
        <v>#VALUE!</v>
      </c>
      <c r="AZ195" t="e">
        <f t="shared" si="98"/>
        <v>#VALUE!</v>
      </c>
      <c r="BA195" t="e">
        <f t="shared" si="98"/>
        <v>#VALUE!</v>
      </c>
      <c r="BB195" t="e">
        <f t="shared" si="98"/>
        <v>#VALUE!</v>
      </c>
      <c r="BC195" t="e">
        <f t="shared" si="98"/>
        <v>#VALUE!</v>
      </c>
      <c r="BD195" t="e">
        <f t="shared" si="98"/>
        <v>#VALUE!</v>
      </c>
      <c r="BE195" t="e">
        <f t="shared" si="98"/>
        <v>#VALUE!</v>
      </c>
      <c r="BF195" t="e">
        <f t="shared" si="98"/>
        <v>#VALUE!</v>
      </c>
      <c r="BG195" t="e">
        <f t="shared" si="98"/>
        <v>#VALUE!</v>
      </c>
      <c r="BH195" t="e">
        <f t="shared" si="98"/>
        <v>#VALUE!</v>
      </c>
      <c r="BI195" t="e">
        <f t="shared" si="98"/>
        <v>#VALUE!</v>
      </c>
      <c r="BJ195" t="e">
        <f t="shared" si="98"/>
        <v>#VALUE!</v>
      </c>
      <c r="BK195" t="e">
        <f t="shared" si="98"/>
        <v>#VALUE!</v>
      </c>
      <c r="BL195" t="e">
        <f t="shared" si="98"/>
        <v>#VALUE!</v>
      </c>
      <c r="BM195" t="e">
        <f t="shared" si="98"/>
        <v>#VALUE!</v>
      </c>
      <c r="BN195" t="e">
        <f t="shared" si="98"/>
        <v>#VALUE!</v>
      </c>
      <c r="BO195" t="e">
        <f t="shared" si="98"/>
        <v>#VALUE!</v>
      </c>
      <c r="BP195" t="e">
        <f t="shared" si="98"/>
        <v>#VALUE!</v>
      </c>
      <c r="BQ195" t="e">
        <f t="shared" si="97"/>
        <v>#VALUE!</v>
      </c>
      <c r="BR195" t="e">
        <f t="shared" si="97"/>
        <v>#VALUE!</v>
      </c>
      <c r="BS195" t="e">
        <f t="shared" si="97"/>
        <v>#VALUE!</v>
      </c>
      <c r="BT195" t="e">
        <f t="shared" si="97"/>
        <v>#VALUE!</v>
      </c>
      <c r="BU195" t="e">
        <f t="shared" si="97"/>
        <v>#VALUE!</v>
      </c>
      <c r="BV195" t="e">
        <f t="shared" si="97"/>
        <v>#VALUE!</v>
      </c>
      <c r="BW195" t="e">
        <f t="shared" si="97"/>
        <v>#VALUE!</v>
      </c>
      <c r="BX195" t="e">
        <f t="shared" si="97"/>
        <v>#VALUE!</v>
      </c>
      <c r="BY195" t="e">
        <f t="shared" si="97"/>
        <v>#VALUE!</v>
      </c>
      <c r="BZ195" t="e">
        <f t="shared" si="97"/>
        <v>#VALUE!</v>
      </c>
      <c r="CA195" t="e">
        <f t="shared" si="97"/>
        <v>#VALUE!</v>
      </c>
      <c r="CB195" t="e">
        <f t="shared" si="97"/>
        <v>#VALUE!</v>
      </c>
      <c r="CC195" t="e">
        <f t="shared" si="97"/>
        <v>#VALUE!</v>
      </c>
      <c r="CD195" t="e">
        <f t="shared" si="97"/>
        <v>#VALUE!</v>
      </c>
      <c r="CE195" t="e">
        <f t="shared" si="97"/>
        <v>#VALUE!</v>
      </c>
      <c r="CF195" t="e">
        <f t="shared" si="97"/>
        <v>#VALUE!</v>
      </c>
      <c r="CG195" t="e">
        <f t="shared" si="94"/>
        <v>#VALUE!</v>
      </c>
      <c r="CH195" t="e">
        <f t="shared" si="94"/>
        <v>#VALUE!</v>
      </c>
      <c r="CI195" t="e">
        <f t="shared" si="94"/>
        <v>#VALUE!</v>
      </c>
      <c r="CJ195" t="e">
        <f t="shared" si="94"/>
        <v>#VALUE!</v>
      </c>
      <c r="CK195" t="e">
        <f t="shared" si="94"/>
        <v>#VALUE!</v>
      </c>
      <c r="CL195" t="e">
        <f t="shared" si="94"/>
        <v>#VALUE!</v>
      </c>
      <c r="CM195" t="e">
        <f t="shared" si="94"/>
        <v>#VALUE!</v>
      </c>
      <c r="CN195" t="e">
        <f t="shared" si="94"/>
        <v>#VALUE!</v>
      </c>
      <c r="CO195" t="e">
        <f t="shared" si="94"/>
        <v>#VALUE!</v>
      </c>
      <c r="CP195" t="e">
        <f t="shared" si="94"/>
        <v>#VALUE!</v>
      </c>
      <c r="CQ195" t="e">
        <f t="shared" si="94"/>
        <v>#VALUE!</v>
      </c>
      <c r="CR195" t="e">
        <f t="shared" si="94"/>
        <v>#VALUE!</v>
      </c>
      <c r="CS195" t="e">
        <f t="shared" si="94"/>
        <v>#VALUE!</v>
      </c>
      <c r="CT195" t="e">
        <f t="shared" si="94"/>
        <v>#VALUE!</v>
      </c>
      <c r="CU195" t="e">
        <f t="shared" si="94"/>
        <v>#VALUE!</v>
      </c>
      <c r="CV195" t="e">
        <f t="shared" si="94"/>
        <v>#VALUE!</v>
      </c>
      <c r="CW195" t="e">
        <f t="shared" si="94"/>
        <v>#VALUE!</v>
      </c>
      <c r="CX195" t="e">
        <f t="shared" si="94"/>
        <v>#VALUE!</v>
      </c>
      <c r="CY195" t="e">
        <f t="shared" si="94"/>
        <v>#VALUE!</v>
      </c>
      <c r="CZ195" t="e">
        <f t="shared" si="94"/>
        <v>#VALUE!</v>
      </c>
      <c r="DA195" t="e">
        <f t="shared" si="94"/>
        <v>#VALUE!</v>
      </c>
      <c r="DB195" t="e">
        <f t="shared" si="96"/>
        <v>#VALUE!</v>
      </c>
      <c r="DC195" t="e">
        <f t="shared" si="96"/>
        <v>#VALUE!</v>
      </c>
      <c r="DD195" t="e">
        <f t="shared" si="96"/>
        <v>#VALUE!</v>
      </c>
      <c r="DE195" t="e">
        <f t="shared" si="96"/>
        <v>#VALUE!</v>
      </c>
      <c r="DF195" t="e">
        <f t="shared" si="96"/>
        <v>#VALUE!</v>
      </c>
      <c r="DG195" t="e">
        <f t="shared" si="96"/>
        <v>#VALUE!</v>
      </c>
      <c r="DH195" t="e">
        <f t="shared" si="96"/>
        <v>#VALUE!</v>
      </c>
      <c r="DI195" t="e">
        <f t="shared" si="96"/>
        <v>#VALUE!</v>
      </c>
    </row>
    <row r="196" spans="5:113">
      <c r="E196">
        <f t="shared" si="98"/>
        <v>4</v>
      </c>
      <c r="F196">
        <f t="shared" si="98"/>
        <v>2</v>
      </c>
      <c r="G196">
        <f t="shared" si="98"/>
        <v>4</v>
      </c>
      <c r="H196">
        <f t="shared" si="98"/>
        <v>3</v>
      </c>
      <c r="I196">
        <f t="shared" si="98"/>
        <v>3</v>
      </c>
      <c r="J196">
        <f t="shared" si="98"/>
        <v>2</v>
      </c>
      <c r="K196">
        <f t="shared" si="98"/>
        <v>2</v>
      </c>
      <c r="L196">
        <f t="shared" si="98"/>
        <v>2</v>
      </c>
      <c r="M196">
        <f t="shared" si="98"/>
        <v>2</v>
      </c>
      <c r="N196">
        <f t="shared" si="98"/>
        <v>2</v>
      </c>
      <c r="O196">
        <f t="shared" si="98"/>
        <v>3</v>
      </c>
      <c r="P196">
        <f t="shared" si="98"/>
        <v>3</v>
      </c>
      <c r="Q196">
        <f t="shared" si="98"/>
        <v>2</v>
      </c>
      <c r="R196">
        <f t="shared" si="98"/>
        <v>2</v>
      </c>
      <c r="S196">
        <f t="shared" si="98"/>
        <v>3</v>
      </c>
      <c r="T196">
        <f t="shared" si="98"/>
        <v>3</v>
      </c>
      <c r="U196" t="e">
        <f t="shared" si="98"/>
        <v>#VALUE!</v>
      </c>
      <c r="V196" t="e">
        <f t="shared" si="98"/>
        <v>#VALUE!</v>
      </c>
      <c r="W196" t="e">
        <f t="shared" si="98"/>
        <v>#VALUE!</v>
      </c>
      <c r="X196" t="e">
        <f t="shared" si="98"/>
        <v>#VALUE!</v>
      </c>
      <c r="Y196" t="e">
        <f t="shared" si="98"/>
        <v>#VALUE!</v>
      </c>
      <c r="Z196" t="e">
        <f t="shared" si="98"/>
        <v>#VALUE!</v>
      </c>
      <c r="AA196" t="e">
        <f t="shared" si="98"/>
        <v>#VALUE!</v>
      </c>
      <c r="AB196" t="e">
        <f t="shared" si="98"/>
        <v>#VALUE!</v>
      </c>
      <c r="AC196" t="e">
        <f t="shared" si="98"/>
        <v>#VALUE!</v>
      </c>
      <c r="AD196" t="e">
        <f t="shared" si="98"/>
        <v>#VALUE!</v>
      </c>
      <c r="AE196" t="e">
        <f t="shared" si="98"/>
        <v>#VALUE!</v>
      </c>
      <c r="AF196" t="e">
        <f t="shared" si="98"/>
        <v>#VALUE!</v>
      </c>
      <c r="AG196" t="e">
        <f t="shared" si="98"/>
        <v>#VALUE!</v>
      </c>
      <c r="AH196" t="e">
        <f t="shared" si="98"/>
        <v>#VALUE!</v>
      </c>
      <c r="AI196" t="e">
        <f t="shared" si="98"/>
        <v>#VALUE!</v>
      </c>
      <c r="AJ196" t="e">
        <f t="shared" si="98"/>
        <v>#VALUE!</v>
      </c>
      <c r="AK196" t="e">
        <f t="shared" si="98"/>
        <v>#VALUE!</v>
      </c>
      <c r="AL196" t="e">
        <f t="shared" si="98"/>
        <v>#VALUE!</v>
      </c>
      <c r="AM196" t="e">
        <f t="shared" si="98"/>
        <v>#VALUE!</v>
      </c>
      <c r="AN196" t="e">
        <f t="shared" si="98"/>
        <v>#VALUE!</v>
      </c>
      <c r="AO196" t="e">
        <f t="shared" si="98"/>
        <v>#VALUE!</v>
      </c>
      <c r="AP196" t="e">
        <f t="shared" si="98"/>
        <v>#VALUE!</v>
      </c>
      <c r="AQ196" t="e">
        <f t="shared" si="98"/>
        <v>#VALUE!</v>
      </c>
      <c r="AR196" t="e">
        <f t="shared" si="98"/>
        <v>#VALUE!</v>
      </c>
      <c r="AS196" t="e">
        <f t="shared" si="98"/>
        <v>#VALUE!</v>
      </c>
      <c r="AT196" t="e">
        <f t="shared" si="98"/>
        <v>#VALUE!</v>
      </c>
      <c r="AU196" t="e">
        <f t="shared" si="98"/>
        <v>#VALUE!</v>
      </c>
      <c r="AV196" t="e">
        <f t="shared" si="98"/>
        <v>#VALUE!</v>
      </c>
      <c r="AW196" t="e">
        <f t="shared" si="98"/>
        <v>#VALUE!</v>
      </c>
      <c r="AX196" t="e">
        <f t="shared" si="98"/>
        <v>#VALUE!</v>
      </c>
      <c r="AY196" t="e">
        <f t="shared" si="98"/>
        <v>#VALUE!</v>
      </c>
      <c r="AZ196" t="e">
        <f t="shared" si="98"/>
        <v>#VALUE!</v>
      </c>
      <c r="BA196" t="e">
        <f t="shared" si="98"/>
        <v>#VALUE!</v>
      </c>
      <c r="BB196" t="e">
        <f t="shared" si="98"/>
        <v>#VALUE!</v>
      </c>
      <c r="BC196" t="e">
        <f t="shared" si="98"/>
        <v>#VALUE!</v>
      </c>
      <c r="BD196" t="e">
        <f t="shared" si="98"/>
        <v>#VALUE!</v>
      </c>
      <c r="BE196" t="e">
        <f t="shared" si="98"/>
        <v>#VALUE!</v>
      </c>
      <c r="BF196" t="e">
        <f t="shared" si="98"/>
        <v>#VALUE!</v>
      </c>
      <c r="BG196" t="e">
        <f t="shared" si="98"/>
        <v>#VALUE!</v>
      </c>
      <c r="BH196" t="e">
        <f t="shared" si="98"/>
        <v>#VALUE!</v>
      </c>
      <c r="BI196" t="e">
        <f t="shared" si="98"/>
        <v>#VALUE!</v>
      </c>
      <c r="BJ196" t="e">
        <f t="shared" si="98"/>
        <v>#VALUE!</v>
      </c>
      <c r="BK196" t="e">
        <f t="shared" si="98"/>
        <v>#VALUE!</v>
      </c>
      <c r="BL196" t="e">
        <f t="shared" si="98"/>
        <v>#VALUE!</v>
      </c>
      <c r="BM196" t="e">
        <f t="shared" si="98"/>
        <v>#VALUE!</v>
      </c>
      <c r="BN196" t="e">
        <f t="shared" si="98"/>
        <v>#VALUE!</v>
      </c>
      <c r="BO196" t="e">
        <f t="shared" si="98"/>
        <v>#VALUE!</v>
      </c>
      <c r="BP196" t="e">
        <f t="shared" ref="BP196:CF199" si="99">LEFT(BP38)+RIGHT(BP38)</f>
        <v>#VALUE!</v>
      </c>
      <c r="BQ196" t="e">
        <f t="shared" si="99"/>
        <v>#VALUE!</v>
      </c>
      <c r="BR196" t="e">
        <f t="shared" si="99"/>
        <v>#VALUE!</v>
      </c>
      <c r="BS196" t="e">
        <f t="shared" si="99"/>
        <v>#VALUE!</v>
      </c>
      <c r="BT196" t="e">
        <f t="shared" si="99"/>
        <v>#VALUE!</v>
      </c>
      <c r="BU196" t="e">
        <f t="shared" si="99"/>
        <v>#VALUE!</v>
      </c>
      <c r="BV196" t="e">
        <f t="shared" si="99"/>
        <v>#VALUE!</v>
      </c>
      <c r="BW196" t="e">
        <f t="shared" si="99"/>
        <v>#VALUE!</v>
      </c>
      <c r="BX196" t="e">
        <f t="shared" si="99"/>
        <v>#VALUE!</v>
      </c>
      <c r="BY196" t="e">
        <f t="shared" si="99"/>
        <v>#VALUE!</v>
      </c>
      <c r="BZ196" t="e">
        <f t="shared" si="99"/>
        <v>#VALUE!</v>
      </c>
      <c r="CA196" t="e">
        <f t="shared" si="99"/>
        <v>#VALUE!</v>
      </c>
      <c r="CB196" t="e">
        <f t="shared" si="99"/>
        <v>#VALUE!</v>
      </c>
      <c r="CC196" t="e">
        <f t="shared" si="99"/>
        <v>#VALUE!</v>
      </c>
      <c r="CD196" t="e">
        <f t="shared" si="99"/>
        <v>#VALUE!</v>
      </c>
      <c r="CE196" t="e">
        <f t="shared" si="99"/>
        <v>#VALUE!</v>
      </c>
      <c r="CF196" t="e">
        <f t="shared" si="99"/>
        <v>#VALUE!</v>
      </c>
      <c r="CG196" t="e">
        <f t="shared" si="94"/>
        <v>#VALUE!</v>
      </c>
      <c r="CH196" t="e">
        <f t="shared" si="94"/>
        <v>#VALUE!</v>
      </c>
      <c r="CI196" t="e">
        <f t="shared" si="94"/>
        <v>#VALUE!</v>
      </c>
      <c r="CJ196" t="e">
        <f t="shared" si="94"/>
        <v>#VALUE!</v>
      </c>
      <c r="CK196" t="e">
        <f t="shared" si="94"/>
        <v>#VALUE!</v>
      </c>
      <c r="CL196" t="e">
        <f t="shared" si="94"/>
        <v>#VALUE!</v>
      </c>
      <c r="CM196" t="e">
        <f t="shared" si="94"/>
        <v>#VALUE!</v>
      </c>
      <c r="CN196" t="e">
        <f t="shared" si="94"/>
        <v>#VALUE!</v>
      </c>
      <c r="CO196" t="e">
        <f t="shared" si="94"/>
        <v>#VALUE!</v>
      </c>
      <c r="CP196" t="e">
        <f t="shared" si="94"/>
        <v>#VALUE!</v>
      </c>
      <c r="CQ196" t="e">
        <f t="shared" si="94"/>
        <v>#VALUE!</v>
      </c>
      <c r="CR196" t="e">
        <f t="shared" si="94"/>
        <v>#VALUE!</v>
      </c>
      <c r="CS196" t="e">
        <f t="shared" si="94"/>
        <v>#VALUE!</v>
      </c>
      <c r="CT196" t="e">
        <f t="shared" si="94"/>
        <v>#VALUE!</v>
      </c>
      <c r="CU196" t="e">
        <f t="shared" si="94"/>
        <v>#VALUE!</v>
      </c>
      <c r="CV196" t="e">
        <f t="shared" si="94"/>
        <v>#VALUE!</v>
      </c>
      <c r="CW196" t="e">
        <f t="shared" si="94"/>
        <v>#VALUE!</v>
      </c>
      <c r="CX196" t="e">
        <f t="shared" si="94"/>
        <v>#VALUE!</v>
      </c>
      <c r="CY196" t="e">
        <f t="shared" si="94"/>
        <v>#VALUE!</v>
      </c>
      <c r="CZ196" t="e">
        <f t="shared" si="94"/>
        <v>#VALUE!</v>
      </c>
      <c r="DA196" t="e">
        <f t="shared" si="94"/>
        <v>#VALUE!</v>
      </c>
      <c r="DB196" t="e">
        <f t="shared" si="96"/>
        <v>#VALUE!</v>
      </c>
      <c r="DC196" t="e">
        <f t="shared" si="96"/>
        <v>#VALUE!</v>
      </c>
      <c r="DD196" t="e">
        <f t="shared" si="96"/>
        <v>#VALUE!</v>
      </c>
      <c r="DE196" t="e">
        <f t="shared" si="96"/>
        <v>#VALUE!</v>
      </c>
      <c r="DF196" t="e">
        <f t="shared" si="96"/>
        <v>#VALUE!</v>
      </c>
      <c r="DG196" t="e">
        <f t="shared" si="96"/>
        <v>#VALUE!</v>
      </c>
      <c r="DH196" t="e">
        <f t="shared" si="96"/>
        <v>#VALUE!</v>
      </c>
      <c r="DI196" t="e">
        <f t="shared" si="96"/>
        <v>#VALUE!</v>
      </c>
    </row>
    <row r="197" spans="5:113">
      <c r="E197">
        <f t="shared" ref="E197:BP200" si="100">LEFT(E39)+RIGHT(E39)</f>
        <v>3</v>
      </c>
      <c r="F197">
        <f t="shared" si="100"/>
        <v>1</v>
      </c>
      <c r="G197">
        <f t="shared" si="100"/>
        <v>3</v>
      </c>
      <c r="H197">
        <f t="shared" si="100"/>
        <v>3</v>
      </c>
      <c r="I197">
        <f t="shared" si="100"/>
        <v>2</v>
      </c>
      <c r="J197">
        <f t="shared" si="100"/>
        <v>2</v>
      </c>
      <c r="K197">
        <f t="shared" si="100"/>
        <v>1</v>
      </c>
      <c r="L197">
        <f t="shared" si="100"/>
        <v>3</v>
      </c>
      <c r="M197">
        <f t="shared" si="100"/>
        <v>1</v>
      </c>
      <c r="N197">
        <f t="shared" si="100"/>
        <v>1</v>
      </c>
      <c r="O197">
        <f t="shared" si="100"/>
        <v>3</v>
      </c>
      <c r="P197">
        <f t="shared" si="100"/>
        <v>2</v>
      </c>
      <c r="Q197">
        <f t="shared" si="100"/>
        <v>1</v>
      </c>
      <c r="R197">
        <f t="shared" si="100"/>
        <v>3</v>
      </c>
      <c r="S197">
        <f t="shared" si="100"/>
        <v>1</v>
      </c>
      <c r="T197">
        <f t="shared" si="100"/>
        <v>4</v>
      </c>
      <c r="U197" t="e">
        <f t="shared" si="100"/>
        <v>#VALUE!</v>
      </c>
      <c r="V197" t="e">
        <f t="shared" si="100"/>
        <v>#VALUE!</v>
      </c>
      <c r="W197" t="e">
        <f t="shared" si="100"/>
        <v>#VALUE!</v>
      </c>
      <c r="X197" t="e">
        <f t="shared" si="100"/>
        <v>#VALUE!</v>
      </c>
      <c r="Y197" t="e">
        <f t="shared" si="100"/>
        <v>#VALUE!</v>
      </c>
      <c r="Z197" t="e">
        <f t="shared" si="100"/>
        <v>#VALUE!</v>
      </c>
      <c r="AA197" t="e">
        <f t="shared" si="100"/>
        <v>#VALUE!</v>
      </c>
      <c r="AB197" t="e">
        <f t="shared" si="100"/>
        <v>#VALUE!</v>
      </c>
      <c r="AC197" t="e">
        <f t="shared" si="100"/>
        <v>#VALUE!</v>
      </c>
      <c r="AD197" t="e">
        <f t="shared" si="100"/>
        <v>#VALUE!</v>
      </c>
      <c r="AE197" t="e">
        <f t="shared" si="100"/>
        <v>#VALUE!</v>
      </c>
      <c r="AF197" t="e">
        <f t="shared" si="100"/>
        <v>#VALUE!</v>
      </c>
      <c r="AG197" t="e">
        <f t="shared" si="100"/>
        <v>#VALUE!</v>
      </c>
      <c r="AH197" t="e">
        <f t="shared" si="100"/>
        <v>#VALUE!</v>
      </c>
      <c r="AI197" t="e">
        <f t="shared" si="100"/>
        <v>#VALUE!</v>
      </c>
      <c r="AJ197" t="e">
        <f t="shared" si="100"/>
        <v>#VALUE!</v>
      </c>
      <c r="AK197" t="e">
        <f t="shared" si="100"/>
        <v>#VALUE!</v>
      </c>
      <c r="AL197" t="e">
        <f t="shared" si="100"/>
        <v>#VALUE!</v>
      </c>
      <c r="AM197" t="e">
        <f t="shared" si="100"/>
        <v>#VALUE!</v>
      </c>
      <c r="AN197" t="e">
        <f t="shared" si="100"/>
        <v>#VALUE!</v>
      </c>
      <c r="AO197" t="e">
        <f t="shared" si="100"/>
        <v>#VALUE!</v>
      </c>
      <c r="AP197" t="e">
        <f t="shared" si="100"/>
        <v>#VALUE!</v>
      </c>
      <c r="AQ197" t="e">
        <f t="shared" si="100"/>
        <v>#VALUE!</v>
      </c>
      <c r="AR197" t="e">
        <f t="shared" si="100"/>
        <v>#VALUE!</v>
      </c>
      <c r="AS197" t="e">
        <f t="shared" si="100"/>
        <v>#VALUE!</v>
      </c>
      <c r="AT197" t="e">
        <f t="shared" si="100"/>
        <v>#VALUE!</v>
      </c>
      <c r="AU197" t="e">
        <f t="shared" si="100"/>
        <v>#VALUE!</v>
      </c>
      <c r="AV197" t="e">
        <f t="shared" si="100"/>
        <v>#VALUE!</v>
      </c>
      <c r="AW197" t="e">
        <f t="shared" si="100"/>
        <v>#VALUE!</v>
      </c>
      <c r="AX197" t="e">
        <f t="shared" si="100"/>
        <v>#VALUE!</v>
      </c>
      <c r="AY197" t="e">
        <f t="shared" si="100"/>
        <v>#VALUE!</v>
      </c>
      <c r="AZ197" t="e">
        <f t="shared" si="100"/>
        <v>#VALUE!</v>
      </c>
      <c r="BA197" t="e">
        <f t="shared" si="100"/>
        <v>#VALUE!</v>
      </c>
      <c r="BB197" t="e">
        <f t="shared" si="100"/>
        <v>#VALUE!</v>
      </c>
      <c r="BC197" t="e">
        <f t="shared" si="100"/>
        <v>#VALUE!</v>
      </c>
      <c r="BD197" t="e">
        <f t="shared" si="100"/>
        <v>#VALUE!</v>
      </c>
      <c r="BE197" t="e">
        <f t="shared" si="100"/>
        <v>#VALUE!</v>
      </c>
      <c r="BF197" t="e">
        <f t="shared" si="100"/>
        <v>#VALUE!</v>
      </c>
      <c r="BG197" t="e">
        <f t="shared" si="100"/>
        <v>#VALUE!</v>
      </c>
      <c r="BH197" t="e">
        <f t="shared" si="100"/>
        <v>#VALUE!</v>
      </c>
      <c r="BI197" t="e">
        <f t="shared" si="100"/>
        <v>#VALUE!</v>
      </c>
      <c r="BJ197" t="e">
        <f t="shared" si="100"/>
        <v>#VALUE!</v>
      </c>
      <c r="BK197" t="e">
        <f t="shared" si="100"/>
        <v>#VALUE!</v>
      </c>
      <c r="BL197" t="e">
        <f t="shared" si="100"/>
        <v>#VALUE!</v>
      </c>
      <c r="BM197" t="e">
        <f t="shared" si="100"/>
        <v>#VALUE!</v>
      </c>
      <c r="BN197" t="e">
        <f t="shared" si="100"/>
        <v>#VALUE!</v>
      </c>
      <c r="BO197" t="e">
        <f t="shared" si="100"/>
        <v>#VALUE!</v>
      </c>
      <c r="BP197" t="e">
        <f t="shared" si="100"/>
        <v>#VALUE!</v>
      </c>
      <c r="BQ197" t="e">
        <f t="shared" si="99"/>
        <v>#VALUE!</v>
      </c>
      <c r="BR197" t="e">
        <f t="shared" si="99"/>
        <v>#VALUE!</v>
      </c>
      <c r="BS197" t="e">
        <f t="shared" si="99"/>
        <v>#VALUE!</v>
      </c>
      <c r="BT197" t="e">
        <f t="shared" si="99"/>
        <v>#VALUE!</v>
      </c>
      <c r="BU197" t="e">
        <f t="shared" si="99"/>
        <v>#VALUE!</v>
      </c>
      <c r="BV197" t="e">
        <f t="shared" si="99"/>
        <v>#VALUE!</v>
      </c>
      <c r="BW197" t="e">
        <f t="shared" si="99"/>
        <v>#VALUE!</v>
      </c>
      <c r="BX197" t="e">
        <f t="shared" si="99"/>
        <v>#VALUE!</v>
      </c>
      <c r="BY197" t="e">
        <f t="shared" si="99"/>
        <v>#VALUE!</v>
      </c>
      <c r="BZ197" t="e">
        <f t="shared" si="99"/>
        <v>#VALUE!</v>
      </c>
      <c r="CA197" t="e">
        <f t="shared" si="99"/>
        <v>#VALUE!</v>
      </c>
      <c r="CB197" t="e">
        <f t="shared" si="99"/>
        <v>#VALUE!</v>
      </c>
      <c r="CC197" t="e">
        <f t="shared" si="99"/>
        <v>#VALUE!</v>
      </c>
      <c r="CD197" t="e">
        <f t="shared" si="99"/>
        <v>#VALUE!</v>
      </c>
      <c r="CE197" t="e">
        <f t="shared" si="99"/>
        <v>#VALUE!</v>
      </c>
      <c r="CF197" t="e">
        <f t="shared" si="99"/>
        <v>#VALUE!</v>
      </c>
      <c r="CG197" t="e">
        <f t="shared" si="94"/>
        <v>#VALUE!</v>
      </c>
      <c r="CH197" t="e">
        <f t="shared" si="94"/>
        <v>#VALUE!</v>
      </c>
      <c r="CI197" t="e">
        <f t="shared" si="94"/>
        <v>#VALUE!</v>
      </c>
      <c r="CJ197" t="e">
        <f t="shared" si="94"/>
        <v>#VALUE!</v>
      </c>
      <c r="CK197" t="e">
        <f t="shared" si="94"/>
        <v>#VALUE!</v>
      </c>
      <c r="CL197" t="e">
        <f t="shared" si="94"/>
        <v>#VALUE!</v>
      </c>
      <c r="CM197" t="e">
        <f t="shared" si="94"/>
        <v>#VALUE!</v>
      </c>
      <c r="CN197" t="e">
        <f t="shared" si="94"/>
        <v>#VALUE!</v>
      </c>
      <c r="CO197" t="e">
        <f t="shared" si="94"/>
        <v>#VALUE!</v>
      </c>
      <c r="CP197" t="e">
        <f t="shared" si="94"/>
        <v>#VALUE!</v>
      </c>
      <c r="CQ197" t="e">
        <f t="shared" si="94"/>
        <v>#VALUE!</v>
      </c>
      <c r="CR197" t="e">
        <f t="shared" si="94"/>
        <v>#VALUE!</v>
      </c>
      <c r="CS197" t="e">
        <f t="shared" si="94"/>
        <v>#VALUE!</v>
      </c>
      <c r="CT197" t="e">
        <f t="shared" si="94"/>
        <v>#VALUE!</v>
      </c>
      <c r="CU197" t="e">
        <f t="shared" si="94"/>
        <v>#VALUE!</v>
      </c>
      <c r="CV197" t="e">
        <f t="shared" si="94"/>
        <v>#VALUE!</v>
      </c>
      <c r="CW197" t="e">
        <f t="shared" si="94"/>
        <v>#VALUE!</v>
      </c>
      <c r="CX197" t="e">
        <f t="shared" si="94"/>
        <v>#VALUE!</v>
      </c>
      <c r="CY197" t="e">
        <f t="shared" si="94"/>
        <v>#VALUE!</v>
      </c>
      <c r="CZ197" t="e">
        <f t="shared" si="94"/>
        <v>#VALUE!</v>
      </c>
      <c r="DA197" t="e">
        <f t="shared" si="94"/>
        <v>#VALUE!</v>
      </c>
      <c r="DB197" t="e">
        <f t="shared" si="96"/>
        <v>#VALUE!</v>
      </c>
      <c r="DC197" t="e">
        <f t="shared" si="96"/>
        <v>#VALUE!</v>
      </c>
      <c r="DD197" t="e">
        <f t="shared" si="96"/>
        <v>#VALUE!</v>
      </c>
      <c r="DE197" t="e">
        <f t="shared" si="96"/>
        <v>#VALUE!</v>
      </c>
      <c r="DF197" t="e">
        <f t="shared" si="96"/>
        <v>#VALUE!</v>
      </c>
      <c r="DG197" t="e">
        <f t="shared" si="96"/>
        <v>#VALUE!</v>
      </c>
      <c r="DH197" t="e">
        <f t="shared" si="96"/>
        <v>#VALUE!</v>
      </c>
      <c r="DI197" t="e">
        <f t="shared" si="96"/>
        <v>#VALUE!</v>
      </c>
    </row>
    <row r="198" spans="5:113">
      <c r="E198">
        <f t="shared" si="100"/>
        <v>1</v>
      </c>
      <c r="F198">
        <f t="shared" si="100"/>
        <v>1</v>
      </c>
      <c r="G198">
        <f t="shared" si="100"/>
        <v>1</v>
      </c>
      <c r="H198">
        <f t="shared" si="100"/>
        <v>3</v>
      </c>
      <c r="I198">
        <f t="shared" si="100"/>
        <v>4</v>
      </c>
      <c r="J198">
        <f t="shared" si="100"/>
        <v>3</v>
      </c>
      <c r="K198">
        <f t="shared" si="100"/>
        <v>1</v>
      </c>
      <c r="L198">
        <f t="shared" si="100"/>
        <v>1</v>
      </c>
      <c r="M198">
        <f t="shared" si="100"/>
        <v>1</v>
      </c>
      <c r="N198">
        <f t="shared" si="100"/>
        <v>2</v>
      </c>
      <c r="O198">
        <f t="shared" si="100"/>
        <v>1</v>
      </c>
      <c r="P198">
        <f t="shared" si="100"/>
        <v>1</v>
      </c>
      <c r="Q198">
        <f t="shared" si="100"/>
        <v>2</v>
      </c>
      <c r="R198">
        <f t="shared" si="100"/>
        <v>2</v>
      </c>
      <c r="S198">
        <f t="shared" si="100"/>
        <v>1</v>
      </c>
      <c r="T198">
        <f t="shared" si="100"/>
        <v>1</v>
      </c>
      <c r="U198" t="e">
        <f t="shared" si="100"/>
        <v>#VALUE!</v>
      </c>
      <c r="V198" t="e">
        <f t="shared" si="100"/>
        <v>#VALUE!</v>
      </c>
      <c r="W198" t="e">
        <f t="shared" si="100"/>
        <v>#VALUE!</v>
      </c>
      <c r="X198" t="e">
        <f t="shared" si="100"/>
        <v>#VALUE!</v>
      </c>
      <c r="Y198" t="e">
        <f t="shared" si="100"/>
        <v>#VALUE!</v>
      </c>
      <c r="Z198" t="e">
        <f t="shared" si="100"/>
        <v>#VALUE!</v>
      </c>
      <c r="AA198" t="e">
        <f t="shared" si="100"/>
        <v>#VALUE!</v>
      </c>
      <c r="AB198" t="e">
        <f t="shared" si="100"/>
        <v>#VALUE!</v>
      </c>
      <c r="AC198" t="e">
        <f t="shared" si="100"/>
        <v>#VALUE!</v>
      </c>
      <c r="AD198" t="e">
        <f t="shared" si="100"/>
        <v>#VALUE!</v>
      </c>
      <c r="AE198" t="e">
        <f t="shared" si="100"/>
        <v>#VALUE!</v>
      </c>
      <c r="AF198" t="e">
        <f t="shared" si="100"/>
        <v>#VALUE!</v>
      </c>
      <c r="AG198" t="e">
        <f t="shared" si="100"/>
        <v>#VALUE!</v>
      </c>
      <c r="AH198" t="e">
        <f t="shared" si="100"/>
        <v>#VALUE!</v>
      </c>
      <c r="AI198" t="e">
        <f t="shared" si="100"/>
        <v>#VALUE!</v>
      </c>
      <c r="AJ198" t="e">
        <f t="shared" si="100"/>
        <v>#VALUE!</v>
      </c>
      <c r="AK198" t="e">
        <f t="shared" si="100"/>
        <v>#VALUE!</v>
      </c>
      <c r="AL198" t="e">
        <f t="shared" si="100"/>
        <v>#VALUE!</v>
      </c>
      <c r="AM198" t="e">
        <f t="shared" si="100"/>
        <v>#VALUE!</v>
      </c>
      <c r="AN198" t="e">
        <f t="shared" si="100"/>
        <v>#VALUE!</v>
      </c>
      <c r="AO198" t="e">
        <f t="shared" si="100"/>
        <v>#VALUE!</v>
      </c>
      <c r="AP198" t="e">
        <f t="shared" si="100"/>
        <v>#VALUE!</v>
      </c>
      <c r="AQ198" t="e">
        <f t="shared" si="100"/>
        <v>#VALUE!</v>
      </c>
      <c r="AR198" t="e">
        <f t="shared" si="100"/>
        <v>#VALUE!</v>
      </c>
      <c r="AS198" t="e">
        <f t="shared" si="100"/>
        <v>#VALUE!</v>
      </c>
      <c r="AT198" t="e">
        <f t="shared" si="100"/>
        <v>#VALUE!</v>
      </c>
      <c r="AU198" t="e">
        <f t="shared" si="100"/>
        <v>#VALUE!</v>
      </c>
      <c r="AV198" t="e">
        <f t="shared" si="100"/>
        <v>#VALUE!</v>
      </c>
      <c r="AW198" t="e">
        <f t="shared" si="100"/>
        <v>#VALUE!</v>
      </c>
      <c r="AX198" t="e">
        <f t="shared" si="100"/>
        <v>#VALUE!</v>
      </c>
      <c r="AY198" t="e">
        <f t="shared" si="100"/>
        <v>#VALUE!</v>
      </c>
      <c r="AZ198" t="e">
        <f t="shared" si="100"/>
        <v>#VALUE!</v>
      </c>
      <c r="BA198" t="e">
        <f t="shared" si="100"/>
        <v>#VALUE!</v>
      </c>
      <c r="BB198" t="e">
        <f t="shared" si="100"/>
        <v>#VALUE!</v>
      </c>
      <c r="BC198" t="e">
        <f t="shared" si="100"/>
        <v>#VALUE!</v>
      </c>
      <c r="BD198" t="e">
        <f t="shared" si="100"/>
        <v>#VALUE!</v>
      </c>
      <c r="BE198" t="e">
        <f t="shared" si="100"/>
        <v>#VALUE!</v>
      </c>
      <c r="BF198" t="e">
        <f t="shared" si="100"/>
        <v>#VALUE!</v>
      </c>
      <c r="BG198" t="e">
        <f t="shared" si="100"/>
        <v>#VALUE!</v>
      </c>
      <c r="BH198" t="e">
        <f t="shared" si="100"/>
        <v>#VALUE!</v>
      </c>
      <c r="BI198" t="e">
        <f t="shared" si="100"/>
        <v>#VALUE!</v>
      </c>
      <c r="BJ198" t="e">
        <f t="shared" si="100"/>
        <v>#VALUE!</v>
      </c>
      <c r="BK198" t="e">
        <f t="shared" si="100"/>
        <v>#VALUE!</v>
      </c>
      <c r="BL198" t="e">
        <f t="shared" si="100"/>
        <v>#VALUE!</v>
      </c>
      <c r="BM198" t="e">
        <f t="shared" si="100"/>
        <v>#VALUE!</v>
      </c>
      <c r="BN198" t="e">
        <f t="shared" si="100"/>
        <v>#VALUE!</v>
      </c>
      <c r="BO198" t="e">
        <f t="shared" si="100"/>
        <v>#VALUE!</v>
      </c>
      <c r="BP198" t="e">
        <f t="shared" si="100"/>
        <v>#VALUE!</v>
      </c>
      <c r="BQ198" t="e">
        <f t="shared" si="99"/>
        <v>#VALUE!</v>
      </c>
      <c r="BR198" t="e">
        <f t="shared" si="99"/>
        <v>#VALUE!</v>
      </c>
      <c r="BS198" t="e">
        <f t="shared" si="99"/>
        <v>#VALUE!</v>
      </c>
      <c r="BT198" t="e">
        <f t="shared" si="99"/>
        <v>#VALUE!</v>
      </c>
      <c r="BU198" t="e">
        <f t="shared" si="99"/>
        <v>#VALUE!</v>
      </c>
      <c r="BV198" t="e">
        <f t="shared" si="99"/>
        <v>#VALUE!</v>
      </c>
      <c r="BW198" t="e">
        <f t="shared" si="99"/>
        <v>#VALUE!</v>
      </c>
      <c r="BX198" t="e">
        <f t="shared" si="99"/>
        <v>#VALUE!</v>
      </c>
      <c r="BY198" t="e">
        <f t="shared" si="99"/>
        <v>#VALUE!</v>
      </c>
      <c r="BZ198" t="e">
        <f t="shared" si="99"/>
        <v>#VALUE!</v>
      </c>
      <c r="CA198" t="e">
        <f t="shared" si="99"/>
        <v>#VALUE!</v>
      </c>
      <c r="CB198" t="e">
        <f t="shared" si="99"/>
        <v>#VALUE!</v>
      </c>
      <c r="CC198" t="e">
        <f t="shared" si="99"/>
        <v>#VALUE!</v>
      </c>
      <c r="CD198" t="e">
        <f t="shared" si="99"/>
        <v>#VALUE!</v>
      </c>
      <c r="CE198" t="e">
        <f t="shared" si="99"/>
        <v>#VALUE!</v>
      </c>
      <c r="CF198" t="e">
        <f t="shared" si="99"/>
        <v>#VALUE!</v>
      </c>
      <c r="CG198" t="e">
        <f t="shared" si="94"/>
        <v>#VALUE!</v>
      </c>
      <c r="CH198" t="e">
        <f t="shared" si="94"/>
        <v>#VALUE!</v>
      </c>
      <c r="CI198" t="e">
        <f t="shared" si="94"/>
        <v>#VALUE!</v>
      </c>
      <c r="CJ198" t="e">
        <f t="shared" si="94"/>
        <v>#VALUE!</v>
      </c>
      <c r="CK198" t="e">
        <f t="shared" si="94"/>
        <v>#VALUE!</v>
      </c>
      <c r="CL198" t="e">
        <f t="shared" si="94"/>
        <v>#VALUE!</v>
      </c>
      <c r="CM198" t="e">
        <f t="shared" si="94"/>
        <v>#VALUE!</v>
      </c>
      <c r="CN198" t="e">
        <f t="shared" si="94"/>
        <v>#VALUE!</v>
      </c>
      <c r="CO198" t="e">
        <f t="shared" si="94"/>
        <v>#VALUE!</v>
      </c>
      <c r="CP198" t="e">
        <f t="shared" si="94"/>
        <v>#VALUE!</v>
      </c>
      <c r="CQ198" t="e">
        <f t="shared" si="94"/>
        <v>#VALUE!</v>
      </c>
      <c r="CR198" t="e">
        <f t="shared" si="94"/>
        <v>#VALUE!</v>
      </c>
      <c r="CS198" t="e">
        <f t="shared" si="94"/>
        <v>#VALUE!</v>
      </c>
      <c r="CT198" t="e">
        <f t="shared" si="94"/>
        <v>#VALUE!</v>
      </c>
      <c r="CU198" t="e">
        <f t="shared" si="94"/>
        <v>#VALUE!</v>
      </c>
      <c r="CV198" t="e">
        <f t="shared" si="94"/>
        <v>#VALUE!</v>
      </c>
      <c r="CW198" t="e">
        <f t="shared" si="94"/>
        <v>#VALUE!</v>
      </c>
      <c r="CX198" t="e">
        <f t="shared" si="94"/>
        <v>#VALUE!</v>
      </c>
      <c r="CY198" t="e">
        <f t="shared" si="94"/>
        <v>#VALUE!</v>
      </c>
      <c r="CZ198" t="e">
        <f t="shared" si="94"/>
        <v>#VALUE!</v>
      </c>
      <c r="DA198" t="e">
        <f t="shared" si="94"/>
        <v>#VALUE!</v>
      </c>
      <c r="DB198" t="e">
        <f t="shared" si="96"/>
        <v>#VALUE!</v>
      </c>
      <c r="DC198" t="e">
        <f t="shared" si="96"/>
        <v>#VALUE!</v>
      </c>
      <c r="DD198" t="e">
        <f t="shared" si="96"/>
        <v>#VALUE!</v>
      </c>
      <c r="DE198" t="e">
        <f t="shared" si="96"/>
        <v>#VALUE!</v>
      </c>
      <c r="DF198" t="e">
        <f t="shared" si="96"/>
        <v>#VALUE!</v>
      </c>
      <c r="DG198" t="e">
        <f t="shared" si="96"/>
        <v>#VALUE!</v>
      </c>
      <c r="DH198" t="e">
        <f t="shared" si="96"/>
        <v>#VALUE!</v>
      </c>
      <c r="DI198" t="e">
        <f t="shared" si="96"/>
        <v>#VALUE!</v>
      </c>
    </row>
    <row r="199" spans="5:113">
      <c r="E199">
        <f t="shared" si="100"/>
        <v>2</v>
      </c>
      <c r="F199">
        <f t="shared" si="100"/>
        <v>2</v>
      </c>
      <c r="G199">
        <f t="shared" si="100"/>
        <v>4</v>
      </c>
      <c r="H199">
        <f t="shared" si="100"/>
        <v>3</v>
      </c>
      <c r="I199">
        <f t="shared" si="100"/>
        <v>3</v>
      </c>
      <c r="J199">
        <f t="shared" si="100"/>
        <v>2</v>
      </c>
      <c r="K199">
        <f t="shared" si="100"/>
        <v>1</v>
      </c>
      <c r="L199">
        <f t="shared" si="100"/>
        <v>2</v>
      </c>
      <c r="M199">
        <f t="shared" si="100"/>
        <v>3</v>
      </c>
      <c r="N199">
        <f t="shared" si="100"/>
        <v>2</v>
      </c>
      <c r="O199">
        <f t="shared" si="100"/>
        <v>2</v>
      </c>
      <c r="P199">
        <f t="shared" si="100"/>
        <v>2</v>
      </c>
      <c r="Q199">
        <f t="shared" si="100"/>
        <v>2</v>
      </c>
      <c r="R199">
        <f t="shared" si="100"/>
        <v>3</v>
      </c>
      <c r="S199">
        <f t="shared" si="100"/>
        <v>3</v>
      </c>
      <c r="T199">
        <f t="shared" si="100"/>
        <v>3</v>
      </c>
      <c r="U199" t="e">
        <f t="shared" si="100"/>
        <v>#VALUE!</v>
      </c>
      <c r="V199" t="e">
        <f t="shared" si="100"/>
        <v>#VALUE!</v>
      </c>
      <c r="W199" t="e">
        <f t="shared" si="100"/>
        <v>#VALUE!</v>
      </c>
      <c r="X199" t="e">
        <f t="shared" si="100"/>
        <v>#VALUE!</v>
      </c>
      <c r="Y199" t="e">
        <f t="shared" si="100"/>
        <v>#VALUE!</v>
      </c>
      <c r="Z199" t="e">
        <f t="shared" si="100"/>
        <v>#VALUE!</v>
      </c>
      <c r="AA199" t="e">
        <f t="shared" si="100"/>
        <v>#VALUE!</v>
      </c>
      <c r="AB199" t="e">
        <f t="shared" si="100"/>
        <v>#VALUE!</v>
      </c>
      <c r="AC199" t="e">
        <f t="shared" si="100"/>
        <v>#VALUE!</v>
      </c>
      <c r="AD199" t="e">
        <f t="shared" si="100"/>
        <v>#VALUE!</v>
      </c>
      <c r="AE199" t="e">
        <f t="shared" si="100"/>
        <v>#VALUE!</v>
      </c>
      <c r="AF199" t="e">
        <f t="shared" si="100"/>
        <v>#VALUE!</v>
      </c>
      <c r="AG199" t="e">
        <f t="shared" si="100"/>
        <v>#VALUE!</v>
      </c>
      <c r="AH199" t="e">
        <f t="shared" si="100"/>
        <v>#VALUE!</v>
      </c>
      <c r="AI199" t="e">
        <f t="shared" si="100"/>
        <v>#VALUE!</v>
      </c>
      <c r="AJ199" t="e">
        <f t="shared" si="100"/>
        <v>#VALUE!</v>
      </c>
      <c r="AK199" t="e">
        <f t="shared" si="100"/>
        <v>#VALUE!</v>
      </c>
      <c r="AL199" t="e">
        <f t="shared" si="100"/>
        <v>#VALUE!</v>
      </c>
      <c r="AM199" t="e">
        <f t="shared" si="100"/>
        <v>#VALUE!</v>
      </c>
      <c r="AN199" t="e">
        <f t="shared" si="100"/>
        <v>#VALUE!</v>
      </c>
      <c r="AO199" t="e">
        <f t="shared" si="100"/>
        <v>#VALUE!</v>
      </c>
      <c r="AP199" t="e">
        <f t="shared" si="100"/>
        <v>#VALUE!</v>
      </c>
      <c r="AQ199" t="e">
        <f t="shared" si="100"/>
        <v>#VALUE!</v>
      </c>
      <c r="AR199" t="e">
        <f t="shared" si="100"/>
        <v>#VALUE!</v>
      </c>
      <c r="AS199" t="e">
        <f t="shared" si="100"/>
        <v>#VALUE!</v>
      </c>
      <c r="AT199" t="e">
        <f t="shared" si="100"/>
        <v>#VALUE!</v>
      </c>
      <c r="AU199" t="e">
        <f t="shared" si="100"/>
        <v>#VALUE!</v>
      </c>
      <c r="AV199" t="e">
        <f t="shared" si="100"/>
        <v>#VALUE!</v>
      </c>
      <c r="AW199" t="e">
        <f t="shared" si="100"/>
        <v>#VALUE!</v>
      </c>
      <c r="AX199" t="e">
        <f t="shared" si="100"/>
        <v>#VALUE!</v>
      </c>
      <c r="AY199" t="e">
        <f t="shared" si="100"/>
        <v>#VALUE!</v>
      </c>
      <c r="AZ199" t="e">
        <f t="shared" si="100"/>
        <v>#VALUE!</v>
      </c>
      <c r="BA199" t="e">
        <f t="shared" si="100"/>
        <v>#VALUE!</v>
      </c>
      <c r="BB199" t="e">
        <f t="shared" si="100"/>
        <v>#VALUE!</v>
      </c>
      <c r="BC199" t="e">
        <f t="shared" si="100"/>
        <v>#VALUE!</v>
      </c>
      <c r="BD199" t="e">
        <f t="shared" si="100"/>
        <v>#VALUE!</v>
      </c>
      <c r="BE199" t="e">
        <f t="shared" si="100"/>
        <v>#VALUE!</v>
      </c>
      <c r="BF199" t="e">
        <f t="shared" si="100"/>
        <v>#VALUE!</v>
      </c>
      <c r="BG199" t="e">
        <f t="shared" si="100"/>
        <v>#VALUE!</v>
      </c>
      <c r="BH199" t="e">
        <f t="shared" si="100"/>
        <v>#VALUE!</v>
      </c>
      <c r="BI199" t="e">
        <f t="shared" si="100"/>
        <v>#VALUE!</v>
      </c>
      <c r="BJ199" t="e">
        <f t="shared" si="100"/>
        <v>#VALUE!</v>
      </c>
      <c r="BK199" t="e">
        <f t="shared" si="100"/>
        <v>#VALUE!</v>
      </c>
      <c r="BL199" t="e">
        <f t="shared" si="100"/>
        <v>#VALUE!</v>
      </c>
      <c r="BM199" t="e">
        <f t="shared" si="100"/>
        <v>#VALUE!</v>
      </c>
      <c r="BN199" t="e">
        <f t="shared" si="100"/>
        <v>#VALUE!</v>
      </c>
      <c r="BO199" t="e">
        <f t="shared" si="100"/>
        <v>#VALUE!</v>
      </c>
      <c r="BP199" t="e">
        <f t="shared" si="100"/>
        <v>#VALUE!</v>
      </c>
      <c r="BQ199" t="e">
        <f t="shared" si="99"/>
        <v>#VALUE!</v>
      </c>
      <c r="BR199" t="e">
        <f t="shared" si="99"/>
        <v>#VALUE!</v>
      </c>
      <c r="BS199" t="e">
        <f t="shared" si="99"/>
        <v>#VALUE!</v>
      </c>
      <c r="BT199" t="e">
        <f t="shared" si="99"/>
        <v>#VALUE!</v>
      </c>
      <c r="BU199" t="e">
        <f t="shared" si="99"/>
        <v>#VALUE!</v>
      </c>
      <c r="BV199" t="e">
        <f t="shared" si="99"/>
        <v>#VALUE!</v>
      </c>
      <c r="BW199" t="e">
        <f t="shared" si="99"/>
        <v>#VALUE!</v>
      </c>
      <c r="BX199" t="e">
        <f t="shared" si="99"/>
        <v>#VALUE!</v>
      </c>
      <c r="BY199" t="e">
        <f t="shared" si="99"/>
        <v>#VALUE!</v>
      </c>
      <c r="BZ199" t="e">
        <f t="shared" si="99"/>
        <v>#VALUE!</v>
      </c>
      <c r="CA199" t="e">
        <f t="shared" si="99"/>
        <v>#VALUE!</v>
      </c>
      <c r="CB199" t="e">
        <f t="shared" si="99"/>
        <v>#VALUE!</v>
      </c>
      <c r="CC199" t="e">
        <f t="shared" si="99"/>
        <v>#VALUE!</v>
      </c>
      <c r="CD199" t="e">
        <f t="shared" si="99"/>
        <v>#VALUE!</v>
      </c>
      <c r="CE199" t="e">
        <f t="shared" si="99"/>
        <v>#VALUE!</v>
      </c>
      <c r="CF199" t="e">
        <f t="shared" si="99"/>
        <v>#VALUE!</v>
      </c>
      <c r="CG199" t="e">
        <f t="shared" si="94"/>
        <v>#VALUE!</v>
      </c>
      <c r="CH199" t="e">
        <f t="shared" si="94"/>
        <v>#VALUE!</v>
      </c>
      <c r="CI199" t="e">
        <f t="shared" si="94"/>
        <v>#VALUE!</v>
      </c>
      <c r="CJ199" t="e">
        <f t="shared" si="94"/>
        <v>#VALUE!</v>
      </c>
      <c r="CK199" t="e">
        <f t="shared" si="94"/>
        <v>#VALUE!</v>
      </c>
      <c r="CL199" t="e">
        <f t="shared" si="94"/>
        <v>#VALUE!</v>
      </c>
      <c r="CM199" t="e">
        <f t="shared" si="94"/>
        <v>#VALUE!</v>
      </c>
      <c r="CN199" t="e">
        <f t="shared" si="94"/>
        <v>#VALUE!</v>
      </c>
      <c r="CO199" t="e">
        <f t="shared" si="94"/>
        <v>#VALUE!</v>
      </c>
      <c r="CP199" t="e">
        <f t="shared" si="94"/>
        <v>#VALUE!</v>
      </c>
      <c r="CQ199" t="e">
        <f t="shared" si="94"/>
        <v>#VALUE!</v>
      </c>
      <c r="CR199" t="e">
        <f t="shared" si="94"/>
        <v>#VALUE!</v>
      </c>
      <c r="CS199" t="e">
        <f t="shared" si="94"/>
        <v>#VALUE!</v>
      </c>
      <c r="CT199" t="e">
        <f t="shared" si="94"/>
        <v>#VALUE!</v>
      </c>
      <c r="CU199" t="e">
        <f t="shared" si="94"/>
        <v>#VALUE!</v>
      </c>
      <c r="CV199" t="e">
        <f t="shared" si="94"/>
        <v>#VALUE!</v>
      </c>
      <c r="CW199" t="e">
        <f t="shared" si="94"/>
        <v>#VALUE!</v>
      </c>
      <c r="CX199" t="e">
        <f t="shared" si="94"/>
        <v>#VALUE!</v>
      </c>
      <c r="CY199" t="e">
        <f t="shared" si="94"/>
        <v>#VALUE!</v>
      </c>
      <c r="CZ199" t="e">
        <f t="shared" si="94"/>
        <v>#VALUE!</v>
      </c>
      <c r="DA199" t="e">
        <f t="shared" si="94"/>
        <v>#VALUE!</v>
      </c>
      <c r="DB199" t="e">
        <f t="shared" si="96"/>
        <v>#VALUE!</v>
      </c>
      <c r="DC199" t="e">
        <f t="shared" si="96"/>
        <v>#VALUE!</v>
      </c>
      <c r="DD199" t="e">
        <f t="shared" si="96"/>
        <v>#VALUE!</v>
      </c>
      <c r="DE199" t="e">
        <f t="shared" si="96"/>
        <v>#VALUE!</v>
      </c>
      <c r="DF199" t="e">
        <f t="shared" si="96"/>
        <v>#VALUE!</v>
      </c>
      <c r="DG199" t="e">
        <f t="shared" si="96"/>
        <v>#VALUE!</v>
      </c>
      <c r="DH199" t="e">
        <f t="shared" si="96"/>
        <v>#VALUE!</v>
      </c>
      <c r="DI199" t="e">
        <f t="shared" si="96"/>
        <v>#VALUE!</v>
      </c>
    </row>
    <row r="200" spans="5:113">
      <c r="E200">
        <f t="shared" si="100"/>
        <v>2</v>
      </c>
      <c r="F200">
        <f t="shared" si="100"/>
        <v>1</v>
      </c>
      <c r="G200">
        <f t="shared" si="100"/>
        <v>1</v>
      </c>
      <c r="H200">
        <f t="shared" si="100"/>
        <v>2</v>
      </c>
      <c r="I200">
        <f t="shared" si="100"/>
        <v>2</v>
      </c>
      <c r="J200">
        <f t="shared" si="100"/>
        <v>3</v>
      </c>
      <c r="K200">
        <f t="shared" si="100"/>
        <v>2</v>
      </c>
      <c r="L200">
        <f t="shared" si="100"/>
        <v>3</v>
      </c>
      <c r="M200">
        <f t="shared" si="100"/>
        <v>2</v>
      </c>
      <c r="N200">
        <f t="shared" si="100"/>
        <v>2</v>
      </c>
      <c r="O200">
        <f t="shared" si="100"/>
        <v>1</v>
      </c>
      <c r="P200">
        <f t="shared" si="100"/>
        <v>2</v>
      </c>
      <c r="Q200">
        <f t="shared" si="100"/>
        <v>2</v>
      </c>
      <c r="R200">
        <f t="shared" si="100"/>
        <v>2</v>
      </c>
      <c r="S200">
        <f t="shared" si="100"/>
        <v>3</v>
      </c>
      <c r="T200">
        <f t="shared" si="100"/>
        <v>2</v>
      </c>
      <c r="U200" t="e">
        <f t="shared" si="100"/>
        <v>#VALUE!</v>
      </c>
      <c r="V200" t="e">
        <f t="shared" si="100"/>
        <v>#VALUE!</v>
      </c>
      <c r="W200" t="e">
        <f t="shared" si="100"/>
        <v>#VALUE!</v>
      </c>
      <c r="X200" t="e">
        <f t="shared" si="100"/>
        <v>#VALUE!</v>
      </c>
      <c r="Y200" t="e">
        <f t="shared" si="100"/>
        <v>#VALUE!</v>
      </c>
      <c r="Z200" t="e">
        <f t="shared" si="100"/>
        <v>#VALUE!</v>
      </c>
      <c r="AA200" t="e">
        <f t="shared" si="100"/>
        <v>#VALUE!</v>
      </c>
      <c r="AB200" t="e">
        <f t="shared" si="100"/>
        <v>#VALUE!</v>
      </c>
      <c r="AC200" t="e">
        <f t="shared" si="100"/>
        <v>#VALUE!</v>
      </c>
      <c r="AD200" t="e">
        <f t="shared" si="100"/>
        <v>#VALUE!</v>
      </c>
      <c r="AE200" t="e">
        <f t="shared" si="100"/>
        <v>#VALUE!</v>
      </c>
      <c r="AF200" t="e">
        <f t="shared" si="100"/>
        <v>#VALUE!</v>
      </c>
      <c r="AG200" t="e">
        <f t="shared" si="100"/>
        <v>#VALUE!</v>
      </c>
      <c r="AH200" t="e">
        <f t="shared" si="100"/>
        <v>#VALUE!</v>
      </c>
      <c r="AI200" t="e">
        <f t="shared" si="100"/>
        <v>#VALUE!</v>
      </c>
      <c r="AJ200" t="e">
        <f t="shared" si="100"/>
        <v>#VALUE!</v>
      </c>
      <c r="AK200" t="e">
        <f t="shared" si="100"/>
        <v>#VALUE!</v>
      </c>
      <c r="AL200" t="e">
        <f t="shared" si="100"/>
        <v>#VALUE!</v>
      </c>
      <c r="AM200" t="e">
        <f t="shared" si="100"/>
        <v>#VALUE!</v>
      </c>
      <c r="AN200" t="e">
        <f t="shared" si="100"/>
        <v>#VALUE!</v>
      </c>
      <c r="AO200" t="e">
        <f t="shared" si="100"/>
        <v>#VALUE!</v>
      </c>
      <c r="AP200" t="e">
        <f t="shared" si="100"/>
        <v>#VALUE!</v>
      </c>
      <c r="AQ200" t="e">
        <f t="shared" si="100"/>
        <v>#VALUE!</v>
      </c>
      <c r="AR200" t="e">
        <f t="shared" si="100"/>
        <v>#VALUE!</v>
      </c>
      <c r="AS200" t="e">
        <f t="shared" si="100"/>
        <v>#VALUE!</v>
      </c>
      <c r="AT200" t="e">
        <f t="shared" si="100"/>
        <v>#VALUE!</v>
      </c>
      <c r="AU200" t="e">
        <f t="shared" si="100"/>
        <v>#VALUE!</v>
      </c>
      <c r="AV200" t="e">
        <f t="shared" si="100"/>
        <v>#VALUE!</v>
      </c>
      <c r="AW200" t="e">
        <f t="shared" si="100"/>
        <v>#VALUE!</v>
      </c>
      <c r="AX200" t="e">
        <f t="shared" si="100"/>
        <v>#VALUE!</v>
      </c>
      <c r="AY200" t="e">
        <f t="shared" si="100"/>
        <v>#VALUE!</v>
      </c>
      <c r="AZ200" t="e">
        <f t="shared" si="100"/>
        <v>#VALUE!</v>
      </c>
      <c r="BA200" t="e">
        <f t="shared" si="100"/>
        <v>#VALUE!</v>
      </c>
      <c r="BB200" t="e">
        <f t="shared" si="100"/>
        <v>#VALUE!</v>
      </c>
      <c r="BC200" t="e">
        <f t="shared" si="100"/>
        <v>#VALUE!</v>
      </c>
      <c r="BD200" t="e">
        <f t="shared" si="100"/>
        <v>#VALUE!</v>
      </c>
      <c r="BE200" t="e">
        <f t="shared" si="100"/>
        <v>#VALUE!</v>
      </c>
      <c r="BF200" t="e">
        <f t="shared" si="100"/>
        <v>#VALUE!</v>
      </c>
      <c r="BG200" t="e">
        <f t="shared" si="100"/>
        <v>#VALUE!</v>
      </c>
      <c r="BH200" t="e">
        <f t="shared" si="100"/>
        <v>#VALUE!</v>
      </c>
      <c r="BI200" t="e">
        <f t="shared" si="100"/>
        <v>#VALUE!</v>
      </c>
      <c r="BJ200" t="e">
        <f t="shared" si="100"/>
        <v>#VALUE!</v>
      </c>
      <c r="BK200" t="e">
        <f t="shared" si="100"/>
        <v>#VALUE!</v>
      </c>
      <c r="BL200" t="e">
        <f t="shared" si="100"/>
        <v>#VALUE!</v>
      </c>
      <c r="BM200" t="e">
        <f t="shared" si="100"/>
        <v>#VALUE!</v>
      </c>
      <c r="BN200" t="e">
        <f t="shared" si="100"/>
        <v>#VALUE!</v>
      </c>
      <c r="BO200" t="e">
        <f t="shared" si="100"/>
        <v>#VALUE!</v>
      </c>
      <c r="BP200" t="e">
        <f t="shared" ref="BP200:DA208" si="101">LEFT(BP42)+RIGHT(BP42)</f>
        <v>#VALUE!</v>
      </c>
      <c r="BQ200" t="e">
        <f t="shared" si="101"/>
        <v>#VALUE!</v>
      </c>
      <c r="BR200" t="e">
        <f t="shared" si="101"/>
        <v>#VALUE!</v>
      </c>
      <c r="BS200" t="e">
        <f t="shared" si="101"/>
        <v>#VALUE!</v>
      </c>
      <c r="BT200" t="e">
        <f t="shared" si="101"/>
        <v>#VALUE!</v>
      </c>
      <c r="BU200" t="e">
        <f t="shared" si="101"/>
        <v>#VALUE!</v>
      </c>
      <c r="BV200" t="e">
        <f t="shared" si="101"/>
        <v>#VALUE!</v>
      </c>
      <c r="BW200" t="e">
        <f t="shared" si="101"/>
        <v>#VALUE!</v>
      </c>
      <c r="BX200" t="e">
        <f t="shared" si="101"/>
        <v>#VALUE!</v>
      </c>
      <c r="BY200" t="e">
        <f t="shared" si="101"/>
        <v>#VALUE!</v>
      </c>
      <c r="BZ200" t="e">
        <f t="shared" si="101"/>
        <v>#VALUE!</v>
      </c>
      <c r="CA200" t="e">
        <f t="shared" si="101"/>
        <v>#VALUE!</v>
      </c>
      <c r="CB200" t="e">
        <f t="shared" si="101"/>
        <v>#VALUE!</v>
      </c>
      <c r="CC200" t="e">
        <f t="shared" si="101"/>
        <v>#VALUE!</v>
      </c>
      <c r="CD200" t="e">
        <f t="shared" si="101"/>
        <v>#VALUE!</v>
      </c>
      <c r="CE200" t="e">
        <f t="shared" si="101"/>
        <v>#VALUE!</v>
      </c>
      <c r="CF200" t="e">
        <f t="shared" si="101"/>
        <v>#VALUE!</v>
      </c>
      <c r="CG200" t="e">
        <f t="shared" si="94"/>
        <v>#VALUE!</v>
      </c>
      <c r="CH200" t="e">
        <f t="shared" ref="CH200:DI208" si="102">LEFT(CH42)+RIGHT(CH42)</f>
        <v>#VALUE!</v>
      </c>
      <c r="CI200" t="e">
        <f t="shared" si="102"/>
        <v>#VALUE!</v>
      </c>
      <c r="CJ200" t="e">
        <f t="shared" si="102"/>
        <v>#VALUE!</v>
      </c>
      <c r="CK200" t="e">
        <f t="shared" si="102"/>
        <v>#VALUE!</v>
      </c>
      <c r="CL200" t="e">
        <f t="shared" si="102"/>
        <v>#VALUE!</v>
      </c>
      <c r="CM200" t="e">
        <f t="shared" si="102"/>
        <v>#VALUE!</v>
      </c>
      <c r="CN200" t="e">
        <f t="shared" si="102"/>
        <v>#VALUE!</v>
      </c>
      <c r="CO200" t="e">
        <f t="shared" si="102"/>
        <v>#VALUE!</v>
      </c>
      <c r="CP200" t="e">
        <f t="shared" si="102"/>
        <v>#VALUE!</v>
      </c>
      <c r="CQ200" t="e">
        <f t="shared" si="102"/>
        <v>#VALUE!</v>
      </c>
      <c r="CR200" t="e">
        <f t="shared" si="102"/>
        <v>#VALUE!</v>
      </c>
      <c r="CS200" t="e">
        <f t="shared" si="102"/>
        <v>#VALUE!</v>
      </c>
      <c r="CT200" t="e">
        <f t="shared" si="102"/>
        <v>#VALUE!</v>
      </c>
      <c r="CU200" t="e">
        <f t="shared" si="102"/>
        <v>#VALUE!</v>
      </c>
      <c r="CV200" t="e">
        <f t="shared" si="102"/>
        <v>#VALUE!</v>
      </c>
      <c r="CW200" t="e">
        <f t="shared" si="102"/>
        <v>#VALUE!</v>
      </c>
      <c r="CX200" t="e">
        <f t="shared" si="102"/>
        <v>#VALUE!</v>
      </c>
      <c r="CY200" t="e">
        <f t="shared" si="102"/>
        <v>#VALUE!</v>
      </c>
      <c r="CZ200" t="e">
        <f t="shared" si="102"/>
        <v>#VALUE!</v>
      </c>
      <c r="DA200" t="e">
        <f t="shared" si="102"/>
        <v>#VALUE!</v>
      </c>
      <c r="DB200" t="e">
        <f t="shared" si="102"/>
        <v>#VALUE!</v>
      </c>
      <c r="DC200" t="e">
        <f t="shared" si="102"/>
        <v>#VALUE!</v>
      </c>
      <c r="DD200" t="e">
        <f t="shared" si="102"/>
        <v>#VALUE!</v>
      </c>
      <c r="DE200" t="e">
        <f t="shared" si="102"/>
        <v>#VALUE!</v>
      </c>
      <c r="DF200" t="e">
        <f t="shared" si="102"/>
        <v>#VALUE!</v>
      </c>
      <c r="DG200" t="e">
        <f t="shared" si="102"/>
        <v>#VALUE!</v>
      </c>
      <c r="DH200" t="e">
        <f t="shared" si="102"/>
        <v>#VALUE!</v>
      </c>
      <c r="DI200" t="e">
        <f t="shared" si="102"/>
        <v>#VALUE!</v>
      </c>
    </row>
    <row r="201" spans="5:113">
      <c r="E201">
        <f t="shared" ref="E201:BP204" si="103">LEFT(E43)+RIGHT(E43)</f>
        <v>3</v>
      </c>
      <c r="F201">
        <f t="shared" si="103"/>
        <v>2</v>
      </c>
      <c r="G201">
        <f t="shared" si="103"/>
        <v>3</v>
      </c>
      <c r="H201">
        <f t="shared" si="103"/>
        <v>2</v>
      </c>
      <c r="I201">
        <f t="shared" si="103"/>
        <v>2</v>
      </c>
      <c r="J201">
        <f t="shared" si="103"/>
        <v>2</v>
      </c>
      <c r="K201">
        <f t="shared" si="103"/>
        <v>3</v>
      </c>
      <c r="L201">
        <f t="shared" si="103"/>
        <v>3</v>
      </c>
      <c r="M201">
        <f t="shared" si="103"/>
        <v>1</v>
      </c>
      <c r="N201">
        <f t="shared" si="103"/>
        <v>3</v>
      </c>
      <c r="O201">
        <f t="shared" si="103"/>
        <v>2</v>
      </c>
      <c r="P201">
        <f t="shared" si="103"/>
        <v>2</v>
      </c>
      <c r="Q201">
        <f t="shared" si="103"/>
        <v>2</v>
      </c>
      <c r="R201">
        <f t="shared" si="103"/>
        <v>3</v>
      </c>
      <c r="S201">
        <f t="shared" si="103"/>
        <v>2</v>
      </c>
      <c r="T201">
        <f t="shared" si="103"/>
        <v>4</v>
      </c>
      <c r="U201" t="e">
        <f t="shared" si="103"/>
        <v>#VALUE!</v>
      </c>
      <c r="V201" t="e">
        <f t="shared" si="103"/>
        <v>#VALUE!</v>
      </c>
      <c r="W201" t="e">
        <f t="shared" si="103"/>
        <v>#VALUE!</v>
      </c>
      <c r="X201" t="e">
        <f t="shared" si="103"/>
        <v>#VALUE!</v>
      </c>
      <c r="Y201" t="e">
        <f t="shared" si="103"/>
        <v>#VALUE!</v>
      </c>
      <c r="Z201" t="e">
        <f t="shared" si="103"/>
        <v>#VALUE!</v>
      </c>
      <c r="AA201" t="e">
        <f t="shared" si="103"/>
        <v>#VALUE!</v>
      </c>
      <c r="AB201" t="e">
        <f t="shared" si="103"/>
        <v>#VALUE!</v>
      </c>
      <c r="AC201" t="e">
        <f t="shared" si="103"/>
        <v>#VALUE!</v>
      </c>
      <c r="AD201" t="e">
        <f t="shared" si="103"/>
        <v>#VALUE!</v>
      </c>
      <c r="AE201" t="e">
        <f t="shared" si="103"/>
        <v>#VALUE!</v>
      </c>
      <c r="AF201" t="e">
        <f t="shared" si="103"/>
        <v>#VALUE!</v>
      </c>
      <c r="AG201" t="e">
        <f t="shared" si="103"/>
        <v>#VALUE!</v>
      </c>
      <c r="AH201" t="e">
        <f t="shared" si="103"/>
        <v>#VALUE!</v>
      </c>
      <c r="AI201" t="e">
        <f t="shared" si="103"/>
        <v>#VALUE!</v>
      </c>
      <c r="AJ201" t="e">
        <f t="shared" si="103"/>
        <v>#VALUE!</v>
      </c>
      <c r="AK201" t="e">
        <f t="shared" si="103"/>
        <v>#VALUE!</v>
      </c>
      <c r="AL201" t="e">
        <f t="shared" si="103"/>
        <v>#VALUE!</v>
      </c>
      <c r="AM201" t="e">
        <f t="shared" si="103"/>
        <v>#VALUE!</v>
      </c>
      <c r="AN201" t="e">
        <f t="shared" si="103"/>
        <v>#VALUE!</v>
      </c>
      <c r="AO201" t="e">
        <f t="shared" si="103"/>
        <v>#VALUE!</v>
      </c>
      <c r="AP201" t="e">
        <f t="shared" si="103"/>
        <v>#VALUE!</v>
      </c>
      <c r="AQ201" t="e">
        <f t="shared" si="103"/>
        <v>#VALUE!</v>
      </c>
      <c r="AR201" t="e">
        <f t="shared" si="103"/>
        <v>#VALUE!</v>
      </c>
      <c r="AS201" t="e">
        <f t="shared" si="103"/>
        <v>#VALUE!</v>
      </c>
      <c r="AT201" t="e">
        <f t="shared" si="103"/>
        <v>#VALUE!</v>
      </c>
      <c r="AU201" t="e">
        <f t="shared" si="103"/>
        <v>#VALUE!</v>
      </c>
      <c r="AV201" t="e">
        <f t="shared" si="103"/>
        <v>#VALUE!</v>
      </c>
      <c r="AW201" t="e">
        <f t="shared" si="103"/>
        <v>#VALUE!</v>
      </c>
      <c r="AX201" t="e">
        <f t="shared" si="103"/>
        <v>#VALUE!</v>
      </c>
      <c r="AY201" t="e">
        <f t="shared" si="103"/>
        <v>#VALUE!</v>
      </c>
      <c r="AZ201" t="e">
        <f t="shared" si="103"/>
        <v>#VALUE!</v>
      </c>
      <c r="BA201" t="e">
        <f t="shared" si="103"/>
        <v>#VALUE!</v>
      </c>
      <c r="BB201" t="e">
        <f t="shared" si="103"/>
        <v>#VALUE!</v>
      </c>
      <c r="BC201" t="e">
        <f t="shared" si="103"/>
        <v>#VALUE!</v>
      </c>
      <c r="BD201" t="e">
        <f t="shared" si="103"/>
        <v>#VALUE!</v>
      </c>
      <c r="BE201" t="e">
        <f t="shared" si="103"/>
        <v>#VALUE!</v>
      </c>
      <c r="BF201" t="e">
        <f t="shared" si="103"/>
        <v>#VALUE!</v>
      </c>
      <c r="BG201" t="e">
        <f t="shared" si="103"/>
        <v>#VALUE!</v>
      </c>
      <c r="BH201" t="e">
        <f t="shared" si="103"/>
        <v>#VALUE!</v>
      </c>
      <c r="BI201" t="e">
        <f t="shared" si="103"/>
        <v>#VALUE!</v>
      </c>
      <c r="BJ201" t="e">
        <f t="shared" si="103"/>
        <v>#VALUE!</v>
      </c>
      <c r="BK201" t="e">
        <f t="shared" si="103"/>
        <v>#VALUE!</v>
      </c>
      <c r="BL201" t="e">
        <f t="shared" si="103"/>
        <v>#VALUE!</v>
      </c>
      <c r="BM201" t="e">
        <f t="shared" si="103"/>
        <v>#VALUE!</v>
      </c>
      <c r="BN201" t="e">
        <f t="shared" si="103"/>
        <v>#VALUE!</v>
      </c>
      <c r="BO201" t="e">
        <f t="shared" si="103"/>
        <v>#VALUE!</v>
      </c>
      <c r="BP201" t="e">
        <f t="shared" si="103"/>
        <v>#VALUE!</v>
      </c>
      <c r="BQ201" t="e">
        <f t="shared" si="101"/>
        <v>#VALUE!</v>
      </c>
      <c r="BR201" t="e">
        <f t="shared" si="101"/>
        <v>#VALUE!</v>
      </c>
      <c r="BS201" t="e">
        <f t="shared" si="101"/>
        <v>#VALUE!</v>
      </c>
      <c r="BT201" t="e">
        <f t="shared" si="101"/>
        <v>#VALUE!</v>
      </c>
      <c r="BU201" t="e">
        <f t="shared" si="101"/>
        <v>#VALUE!</v>
      </c>
      <c r="BV201" t="e">
        <f t="shared" si="101"/>
        <v>#VALUE!</v>
      </c>
      <c r="BW201" t="e">
        <f t="shared" si="101"/>
        <v>#VALUE!</v>
      </c>
      <c r="BX201" t="e">
        <f t="shared" si="101"/>
        <v>#VALUE!</v>
      </c>
      <c r="BY201" t="e">
        <f t="shared" si="101"/>
        <v>#VALUE!</v>
      </c>
      <c r="BZ201" t="e">
        <f t="shared" si="101"/>
        <v>#VALUE!</v>
      </c>
      <c r="CA201" t="e">
        <f t="shared" si="101"/>
        <v>#VALUE!</v>
      </c>
      <c r="CB201" t="e">
        <f t="shared" si="101"/>
        <v>#VALUE!</v>
      </c>
      <c r="CC201" t="e">
        <f t="shared" si="101"/>
        <v>#VALUE!</v>
      </c>
      <c r="CD201" t="e">
        <f t="shared" si="101"/>
        <v>#VALUE!</v>
      </c>
      <c r="CE201" t="e">
        <f t="shared" si="101"/>
        <v>#VALUE!</v>
      </c>
      <c r="CF201" t="e">
        <f t="shared" si="101"/>
        <v>#VALUE!</v>
      </c>
      <c r="CG201" t="e">
        <f t="shared" si="101"/>
        <v>#VALUE!</v>
      </c>
      <c r="CH201" t="e">
        <f t="shared" si="101"/>
        <v>#VALUE!</v>
      </c>
      <c r="CI201" t="e">
        <f t="shared" si="101"/>
        <v>#VALUE!</v>
      </c>
      <c r="CJ201" t="e">
        <f t="shared" si="101"/>
        <v>#VALUE!</v>
      </c>
      <c r="CK201" t="e">
        <f t="shared" si="101"/>
        <v>#VALUE!</v>
      </c>
      <c r="CL201" t="e">
        <f t="shared" si="101"/>
        <v>#VALUE!</v>
      </c>
      <c r="CM201" t="e">
        <f t="shared" si="101"/>
        <v>#VALUE!</v>
      </c>
      <c r="CN201" t="e">
        <f t="shared" si="101"/>
        <v>#VALUE!</v>
      </c>
      <c r="CO201" t="e">
        <f t="shared" si="101"/>
        <v>#VALUE!</v>
      </c>
      <c r="CP201" t="e">
        <f t="shared" si="101"/>
        <v>#VALUE!</v>
      </c>
      <c r="CQ201" t="e">
        <f t="shared" si="101"/>
        <v>#VALUE!</v>
      </c>
      <c r="CR201" t="e">
        <f t="shared" si="101"/>
        <v>#VALUE!</v>
      </c>
      <c r="CS201" t="e">
        <f t="shared" si="101"/>
        <v>#VALUE!</v>
      </c>
      <c r="CT201" t="e">
        <f t="shared" si="101"/>
        <v>#VALUE!</v>
      </c>
      <c r="CU201" t="e">
        <f t="shared" si="101"/>
        <v>#VALUE!</v>
      </c>
      <c r="CV201" t="e">
        <f t="shared" si="101"/>
        <v>#VALUE!</v>
      </c>
      <c r="CW201" t="e">
        <f t="shared" si="101"/>
        <v>#VALUE!</v>
      </c>
      <c r="CX201" t="e">
        <f t="shared" si="101"/>
        <v>#VALUE!</v>
      </c>
      <c r="CY201" t="e">
        <f t="shared" si="101"/>
        <v>#VALUE!</v>
      </c>
      <c r="CZ201" t="e">
        <f t="shared" si="101"/>
        <v>#VALUE!</v>
      </c>
      <c r="DA201" t="e">
        <f t="shared" si="101"/>
        <v>#VALUE!</v>
      </c>
      <c r="DB201" t="e">
        <f t="shared" si="102"/>
        <v>#VALUE!</v>
      </c>
      <c r="DC201" t="e">
        <f t="shared" si="102"/>
        <v>#VALUE!</v>
      </c>
      <c r="DD201" t="e">
        <f t="shared" si="102"/>
        <v>#VALUE!</v>
      </c>
      <c r="DE201" t="e">
        <f t="shared" si="102"/>
        <v>#VALUE!</v>
      </c>
      <c r="DF201" t="e">
        <f t="shared" si="102"/>
        <v>#VALUE!</v>
      </c>
      <c r="DG201" t="e">
        <f t="shared" si="102"/>
        <v>#VALUE!</v>
      </c>
      <c r="DH201" t="e">
        <f t="shared" si="102"/>
        <v>#VALUE!</v>
      </c>
      <c r="DI201" t="e">
        <f t="shared" si="102"/>
        <v>#VALUE!</v>
      </c>
    </row>
    <row r="202" spans="5:113">
      <c r="E202">
        <f t="shared" si="103"/>
        <v>2</v>
      </c>
      <c r="F202">
        <f t="shared" si="103"/>
        <v>2</v>
      </c>
      <c r="G202">
        <f t="shared" si="103"/>
        <v>4</v>
      </c>
      <c r="H202">
        <f t="shared" si="103"/>
        <v>1</v>
      </c>
      <c r="I202">
        <f t="shared" si="103"/>
        <v>2</v>
      </c>
      <c r="J202">
        <f t="shared" si="103"/>
        <v>2</v>
      </c>
      <c r="K202">
        <f t="shared" si="103"/>
        <v>2</v>
      </c>
      <c r="L202">
        <f t="shared" si="103"/>
        <v>2</v>
      </c>
      <c r="M202">
        <f t="shared" si="103"/>
        <v>2</v>
      </c>
      <c r="N202">
        <f t="shared" si="103"/>
        <v>1</v>
      </c>
      <c r="O202">
        <f t="shared" si="103"/>
        <v>1</v>
      </c>
      <c r="P202">
        <f t="shared" si="103"/>
        <v>2</v>
      </c>
      <c r="Q202">
        <f t="shared" si="103"/>
        <v>2</v>
      </c>
      <c r="R202">
        <f t="shared" si="103"/>
        <v>2</v>
      </c>
      <c r="S202">
        <f t="shared" si="103"/>
        <v>1</v>
      </c>
      <c r="T202">
        <f t="shared" si="103"/>
        <v>3</v>
      </c>
      <c r="U202" t="e">
        <f t="shared" si="103"/>
        <v>#VALUE!</v>
      </c>
      <c r="V202" t="e">
        <f t="shared" si="103"/>
        <v>#VALUE!</v>
      </c>
      <c r="W202" t="e">
        <f t="shared" si="103"/>
        <v>#VALUE!</v>
      </c>
      <c r="X202" t="e">
        <f t="shared" si="103"/>
        <v>#VALUE!</v>
      </c>
      <c r="Y202" t="e">
        <f t="shared" si="103"/>
        <v>#VALUE!</v>
      </c>
      <c r="Z202" t="e">
        <f t="shared" si="103"/>
        <v>#VALUE!</v>
      </c>
      <c r="AA202" t="e">
        <f t="shared" si="103"/>
        <v>#VALUE!</v>
      </c>
      <c r="AB202" t="e">
        <f t="shared" si="103"/>
        <v>#VALUE!</v>
      </c>
      <c r="AC202" t="e">
        <f t="shared" si="103"/>
        <v>#VALUE!</v>
      </c>
      <c r="AD202" t="e">
        <f t="shared" si="103"/>
        <v>#VALUE!</v>
      </c>
      <c r="AE202" t="e">
        <f t="shared" si="103"/>
        <v>#VALUE!</v>
      </c>
      <c r="AF202" t="e">
        <f t="shared" si="103"/>
        <v>#VALUE!</v>
      </c>
      <c r="AG202" t="e">
        <f t="shared" si="103"/>
        <v>#VALUE!</v>
      </c>
      <c r="AH202" t="e">
        <f t="shared" si="103"/>
        <v>#VALUE!</v>
      </c>
      <c r="AI202" t="e">
        <f t="shared" si="103"/>
        <v>#VALUE!</v>
      </c>
      <c r="AJ202" t="e">
        <f t="shared" si="103"/>
        <v>#VALUE!</v>
      </c>
      <c r="AK202" t="e">
        <f t="shared" si="103"/>
        <v>#VALUE!</v>
      </c>
      <c r="AL202" t="e">
        <f t="shared" si="103"/>
        <v>#VALUE!</v>
      </c>
      <c r="AM202" t="e">
        <f t="shared" si="103"/>
        <v>#VALUE!</v>
      </c>
      <c r="AN202" t="e">
        <f t="shared" si="103"/>
        <v>#VALUE!</v>
      </c>
      <c r="AO202" t="e">
        <f t="shared" si="103"/>
        <v>#VALUE!</v>
      </c>
      <c r="AP202" t="e">
        <f t="shared" si="103"/>
        <v>#VALUE!</v>
      </c>
      <c r="AQ202" t="e">
        <f t="shared" si="103"/>
        <v>#VALUE!</v>
      </c>
      <c r="AR202" t="e">
        <f t="shared" si="103"/>
        <v>#VALUE!</v>
      </c>
      <c r="AS202" t="e">
        <f t="shared" si="103"/>
        <v>#VALUE!</v>
      </c>
      <c r="AT202" t="e">
        <f t="shared" si="103"/>
        <v>#VALUE!</v>
      </c>
      <c r="AU202" t="e">
        <f t="shared" si="103"/>
        <v>#VALUE!</v>
      </c>
      <c r="AV202" t="e">
        <f t="shared" si="103"/>
        <v>#VALUE!</v>
      </c>
      <c r="AW202" t="e">
        <f t="shared" si="103"/>
        <v>#VALUE!</v>
      </c>
      <c r="AX202" t="e">
        <f t="shared" si="103"/>
        <v>#VALUE!</v>
      </c>
      <c r="AY202" t="e">
        <f t="shared" si="103"/>
        <v>#VALUE!</v>
      </c>
      <c r="AZ202" t="e">
        <f t="shared" si="103"/>
        <v>#VALUE!</v>
      </c>
      <c r="BA202" t="e">
        <f t="shared" si="103"/>
        <v>#VALUE!</v>
      </c>
      <c r="BB202" t="e">
        <f t="shared" si="103"/>
        <v>#VALUE!</v>
      </c>
      <c r="BC202" t="e">
        <f t="shared" si="103"/>
        <v>#VALUE!</v>
      </c>
      <c r="BD202" t="e">
        <f t="shared" si="103"/>
        <v>#VALUE!</v>
      </c>
      <c r="BE202" t="e">
        <f t="shared" si="103"/>
        <v>#VALUE!</v>
      </c>
      <c r="BF202" t="e">
        <f t="shared" si="103"/>
        <v>#VALUE!</v>
      </c>
      <c r="BG202" t="e">
        <f t="shared" si="103"/>
        <v>#VALUE!</v>
      </c>
      <c r="BH202" t="e">
        <f t="shared" si="103"/>
        <v>#VALUE!</v>
      </c>
      <c r="BI202" t="e">
        <f t="shared" si="103"/>
        <v>#VALUE!</v>
      </c>
      <c r="BJ202" t="e">
        <f t="shared" si="103"/>
        <v>#VALUE!</v>
      </c>
      <c r="BK202" t="e">
        <f t="shared" si="103"/>
        <v>#VALUE!</v>
      </c>
      <c r="BL202" t="e">
        <f t="shared" si="103"/>
        <v>#VALUE!</v>
      </c>
      <c r="BM202" t="e">
        <f t="shared" si="103"/>
        <v>#VALUE!</v>
      </c>
      <c r="BN202" t="e">
        <f t="shared" si="103"/>
        <v>#VALUE!</v>
      </c>
      <c r="BO202" t="e">
        <f t="shared" si="103"/>
        <v>#VALUE!</v>
      </c>
      <c r="BP202" t="e">
        <f t="shared" si="103"/>
        <v>#VALUE!</v>
      </c>
      <c r="BQ202" t="e">
        <f t="shared" si="101"/>
        <v>#VALUE!</v>
      </c>
      <c r="BR202" t="e">
        <f t="shared" si="101"/>
        <v>#VALUE!</v>
      </c>
      <c r="BS202" t="e">
        <f t="shared" si="101"/>
        <v>#VALUE!</v>
      </c>
      <c r="BT202" t="e">
        <f t="shared" si="101"/>
        <v>#VALUE!</v>
      </c>
      <c r="BU202" t="e">
        <f t="shared" si="101"/>
        <v>#VALUE!</v>
      </c>
      <c r="BV202" t="e">
        <f t="shared" si="101"/>
        <v>#VALUE!</v>
      </c>
      <c r="BW202" t="e">
        <f t="shared" si="101"/>
        <v>#VALUE!</v>
      </c>
      <c r="BX202" t="e">
        <f t="shared" si="101"/>
        <v>#VALUE!</v>
      </c>
      <c r="BY202" t="e">
        <f t="shared" si="101"/>
        <v>#VALUE!</v>
      </c>
      <c r="BZ202" t="e">
        <f t="shared" si="101"/>
        <v>#VALUE!</v>
      </c>
      <c r="CA202" t="e">
        <f t="shared" si="101"/>
        <v>#VALUE!</v>
      </c>
      <c r="CB202" t="e">
        <f t="shared" si="101"/>
        <v>#VALUE!</v>
      </c>
      <c r="CC202" t="e">
        <f t="shared" si="101"/>
        <v>#VALUE!</v>
      </c>
      <c r="CD202" t="e">
        <f t="shared" si="101"/>
        <v>#VALUE!</v>
      </c>
      <c r="CE202" t="e">
        <f t="shared" si="101"/>
        <v>#VALUE!</v>
      </c>
      <c r="CF202" t="e">
        <f t="shared" si="101"/>
        <v>#VALUE!</v>
      </c>
      <c r="CG202" t="e">
        <f t="shared" si="101"/>
        <v>#VALUE!</v>
      </c>
      <c r="CH202" t="e">
        <f t="shared" si="101"/>
        <v>#VALUE!</v>
      </c>
      <c r="CI202" t="e">
        <f t="shared" si="101"/>
        <v>#VALUE!</v>
      </c>
      <c r="CJ202" t="e">
        <f t="shared" si="101"/>
        <v>#VALUE!</v>
      </c>
      <c r="CK202" t="e">
        <f t="shared" si="101"/>
        <v>#VALUE!</v>
      </c>
      <c r="CL202" t="e">
        <f t="shared" si="101"/>
        <v>#VALUE!</v>
      </c>
      <c r="CM202" t="e">
        <f t="shared" si="101"/>
        <v>#VALUE!</v>
      </c>
      <c r="CN202" t="e">
        <f t="shared" si="101"/>
        <v>#VALUE!</v>
      </c>
      <c r="CO202" t="e">
        <f t="shared" si="101"/>
        <v>#VALUE!</v>
      </c>
      <c r="CP202" t="e">
        <f t="shared" si="101"/>
        <v>#VALUE!</v>
      </c>
      <c r="CQ202" t="e">
        <f t="shared" si="101"/>
        <v>#VALUE!</v>
      </c>
      <c r="CR202" t="e">
        <f t="shared" si="101"/>
        <v>#VALUE!</v>
      </c>
      <c r="CS202" t="e">
        <f t="shared" si="101"/>
        <v>#VALUE!</v>
      </c>
      <c r="CT202" t="e">
        <f t="shared" si="101"/>
        <v>#VALUE!</v>
      </c>
      <c r="CU202" t="e">
        <f t="shared" si="101"/>
        <v>#VALUE!</v>
      </c>
      <c r="CV202" t="e">
        <f t="shared" si="101"/>
        <v>#VALUE!</v>
      </c>
      <c r="CW202" t="e">
        <f t="shared" si="101"/>
        <v>#VALUE!</v>
      </c>
      <c r="CX202" t="e">
        <f t="shared" si="101"/>
        <v>#VALUE!</v>
      </c>
      <c r="CY202" t="e">
        <f t="shared" si="101"/>
        <v>#VALUE!</v>
      </c>
      <c r="CZ202" t="e">
        <f t="shared" si="101"/>
        <v>#VALUE!</v>
      </c>
      <c r="DA202" t="e">
        <f t="shared" si="101"/>
        <v>#VALUE!</v>
      </c>
      <c r="DB202" t="e">
        <f t="shared" si="102"/>
        <v>#VALUE!</v>
      </c>
      <c r="DC202" t="e">
        <f t="shared" si="102"/>
        <v>#VALUE!</v>
      </c>
      <c r="DD202" t="e">
        <f t="shared" si="102"/>
        <v>#VALUE!</v>
      </c>
      <c r="DE202" t="e">
        <f t="shared" si="102"/>
        <v>#VALUE!</v>
      </c>
      <c r="DF202" t="e">
        <f t="shared" si="102"/>
        <v>#VALUE!</v>
      </c>
      <c r="DG202" t="e">
        <f t="shared" si="102"/>
        <v>#VALUE!</v>
      </c>
      <c r="DH202" t="e">
        <f t="shared" si="102"/>
        <v>#VALUE!</v>
      </c>
      <c r="DI202" t="e">
        <f t="shared" si="102"/>
        <v>#VALUE!</v>
      </c>
    </row>
    <row r="203" spans="5:113">
      <c r="E203">
        <f t="shared" si="103"/>
        <v>3</v>
      </c>
      <c r="F203">
        <f t="shared" si="103"/>
        <v>2</v>
      </c>
      <c r="G203">
        <f t="shared" si="103"/>
        <v>2</v>
      </c>
      <c r="H203">
        <f t="shared" si="103"/>
        <v>2</v>
      </c>
      <c r="I203">
        <f t="shared" si="103"/>
        <v>3</v>
      </c>
      <c r="J203">
        <f t="shared" si="103"/>
        <v>3</v>
      </c>
      <c r="K203">
        <f t="shared" si="103"/>
        <v>2</v>
      </c>
      <c r="L203">
        <f t="shared" si="103"/>
        <v>2</v>
      </c>
      <c r="M203">
        <f t="shared" si="103"/>
        <v>2</v>
      </c>
      <c r="N203">
        <f t="shared" si="103"/>
        <v>3</v>
      </c>
      <c r="O203">
        <f t="shared" si="103"/>
        <v>3</v>
      </c>
      <c r="P203">
        <f t="shared" si="103"/>
        <v>1</v>
      </c>
      <c r="Q203">
        <f t="shared" si="103"/>
        <v>2</v>
      </c>
      <c r="R203">
        <f t="shared" si="103"/>
        <v>2</v>
      </c>
      <c r="S203">
        <f t="shared" si="103"/>
        <v>5</v>
      </c>
      <c r="T203">
        <f t="shared" si="103"/>
        <v>2</v>
      </c>
      <c r="U203" t="e">
        <f t="shared" si="103"/>
        <v>#VALUE!</v>
      </c>
      <c r="V203" t="e">
        <f t="shared" si="103"/>
        <v>#VALUE!</v>
      </c>
      <c r="W203" t="e">
        <f t="shared" si="103"/>
        <v>#VALUE!</v>
      </c>
      <c r="X203" t="e">
        <f t="shared" si="103"/>
        <v>#VALUE!</v>
      </c>
      <c r="Y203" t="e">
        <f t="shared" si="103"/>
        <v>#VALUE!</v>
      </c>
      <c r="Z203" t="e">
        <f t="shared" si="103"/>
        <v>#VALUE!</v>
      </c>
      <c r="AA203" t="e">
        <f t="shared" si="103"/>
        <v>#VALUE!</v>
      </c>
      <c r="AB203" t="e">
        <f t="shared" si="103"/>
        <v>#VALUE!</v>
      </c>
      <c r="AC203" t="e">
        <f t="shared" si="103"/>
        <v>#VALUE!</v>
      </c>
      <c r="AD203" t="e">
        <f t="shared" si="103"/>
        <v>#VALUE!</v>
      </c>
      <c r="AE203" t="e">
        <f t="shared" si="103"/>
        <v>#VALUE!</v>
      </c>
      <c r="AF203" t="e">
        <f t="shared" si="103"/>
        <v>#VALUE!</v>
      </c>
      <c r="AG203" t="e">
        <f t="shared" si="103"/>
        <v>#VALUE!</v>
      </c>
      <c r="AH203" t="e">
        <f t="shared" si="103"/>
        <v>#VALUE!</v>
      </c>
      <c r="AI203" t="e">
        <f t="shared" si="103"/>
        <v>#VALUE!</v>
      </c>
      <c r="AJ203" t="e">
        <f t="shared" si="103"/>
        <v>#VALUE!</v>
      </c>
      <c r="AK203" t="e">
        <f t="shared" si="103"/>
        <v>#VALUE!</v>
      </c>
      <c r="AL203" t="e">
        <f t="shared" si="103"/>
        <v>#VALUE!</v>
      </c>
      <c r="AM203" t="e">
        <f t="shared" si="103"/>
        <v>#VALUE!</v>
      </c>
      <c r="AN203" t="e">
        <f t="shared" si="103"/>
        <v>#VALUE!</v>
      </c>
      <c r="AO203" t="e">
        <f t="shared" si="103"/>
        <v>#VALUE!</v>
      </c>
      <c r="AP203" t="e">
        <f t="shared" si="103"/>
        <v>#VALUE!</v>
      </c>
      <c r="AQ203" t="e">
        <f t="shared" si="103"/>
        <v>#VALUE!</v>
      </c>
      <c r="AR203" t="e">
        <f t="shared" si="103"/>
        <v>#VALUE!</v>
      </c>
      <c r="AS203" t="e">
        <f t="shared" si="103"/>
        <v>#VALUE!</v>
      </c>
      <c r="AT203" t="e">
        <f t="shared" si="103"/>
        <v>#VALUE!</v>
      </c>
      <c r="AU203" t="e">
        <f t="shared" si="103"/>
        <v>#VALUE!</v>
      </c>
      <c r="AV203" t="e">
        <f t="shared" si="103"/>
        <v>#VALUE!</v>
      </c>
      <c r="AW203" t="e">
        <f t="shared" si="103"/>
        <v>#VALUE!</v>
      </c>
      <c r="AX203" t="e">
        <f t="shared" si="103"/>
        <v>#VALUE!</v>
      </c>
      <c r="AY203" t="e">
        <f t="shared" si="103"/>
        <v>#VALUE!</v>
      </c>
      <c r="AZ203" t="e">
        <f t="shared" si="103"/>
        <v>#VALUE!</v>
      </c>
      <c r="BA203" t="e">
        <f t="shared" si="103"/>
        <v>#VALUE!</v>
      </c>
      <c r="BB203" t="e">
        <f t="shared" si="103"/>
        <v>#VALUE!</v>
      </c>
      <c r="BC203" t="e">
        <f t="shared" si="103"/>
        <v>#VALUE!</v>
      </c>
      <c r="BD203" t="e">
        <f t="shared" si="103"/>
        <v>#VALUE!</v>
      </c>
      <c r="BE203" t="e">
        <f t="shared" si="103"/>
        <v>#VALUE!</v>
      </c>
      <c r="BF203" t="e">
        <f t="shared" si="103"/>
        <v>#VALUE!</v>
      </c>
      <c r="BG203" t="e">
        <f t="shared" si="103"/>
        <v>#VALUE!</v>
      </c>
      <c r="BH203" t="e">
        <f t="shared" si="103"/>
        <v>#VALUE!</v>
      </c>
      <c r="BI203" t="e">
        <f t="shared" si="103"/>
        <v>#VALUE!</v>
      </c>
      <c r="BJ203" t="e">
        <f t="shared" si="103"/>
        <v>#VALUE!</v>
      </c>
      <c r="BK203" t="e">
        <f t="shared" si="103"/>
        <v>#VALUE!</v>
      </c>
      <c r="BL203" t="e">
        <f t="shared" si="103"/>
        <v>#VALUE!</v>
      </c>
      <c r="BM203" t="e">
        <f t="shared" si="103"/>
        <v>#VALUE!</v>
      </c>
      <c r="BN203" t="e">
        <f t="shared" si="103"/>
        <v>#VALUE!</v>
      </c>
      <c r="BO203" t="e">
        <f t="shared" si="103"/>
        <v>#VALUE!</v>
      </c>
      <c r="BP203" t="e">
        <f t="shared" si="103"/>
        <v>#VALUE!</v>
      </c>
      <c r="BQ203" t="e">
        <f t="shared" si="101"/>
        <v>#VALUE!</v>
      </c>
      <c r="BR203" t="e">
        <f t="shared" si="101"/>
        <v>#VALUE!</v>
      </c>
      <c r="BS203" t="e">
        <f t="shared" si="101"/>
        <v>#VALUE!</v>
      </c>
      <c r="BT203" t="e">
        <f t="shared" si="101"/>
        <v>#VALUE!</v>
      </c>
      <c r="BU203" t="e">
        <f t="shared" si="101"/>
        <v>#VALUE!</v>
      </c>
      <c r="BV203" t="e">
        <f t="shared" si="101"/>
        <v>#VALUE!</v>
      </c>
      <c r="BW203" t="e">
        <f t="shared" si="101"/>
        <v>#VALUE!</v>
      </c>
      <c r="BX203" t="e">
        <f t="shared" si="101"/>
        <v>#VALUE!</v>
      </c>
      <c r="BY203" t="e">
        <f t="shared" si="101"/>
        <v>#VALUE!</v>
      </c>
      <c r="BZ203" t="e">
        <f t="shared" si="101"/>
        <v>#VALUE!</v>
      </c>
      <c r="CA203" t="e">
        <f t="shared" si="101"/>
        <v>#VALUE!</v>
      </c>
      <c r="CB203" t="e">
        <f t="shared" si="101"/>
        <v>#VALUE!</v>
      </c>
      <c r="CC203" t="e">
        <f t="shared" si="101"/>
        <v>#VALUE!</v>
      </c>
      <c r="CD203" t="e">
        <f t="shared" si="101"/>
        <v>#VALUE!</v>
      </c>
      <c r="CE203" t="e">
        <f t="shared" si="101"/>
        <v>#VALUE!</v>
      </c>
      <c r="CF203" t="e">
        <f t="shared" si="101"/>
        <v>#VALUE!</v>
      </c>
      <c r="CG203" t="e">
        <f t="shared" si="101"/>
        <v>#VALUE!</v>
      </c>
      <c r="CH203" t="e">
        <f t="shared" si="101"/>
        <v>#VALUE!</v>
      </c>
      <c r="CI203" t="e">
        <f t="shared" si="101"/>
        <v>#VALUE!</v>
      </c>
      <c r="CJ203" t="e">
        <f t="shared" si="101"/>
        <v>#VALUE!</v>
      </c>
      <c r="CK203" t="e">
        <f t="shared" si="101"/>
        <v>#VALUE!</v>
      </c>
      <c r="CL203" t="e">
        <f t="shared" si="101"/>
        <v>#VALUE!</v>
      </c>
      <c r="CM203" t="e">
        <f t="shared" si="101"/>
        <v>#VALUE!</v>
      </c>
      <c r="CN203" t="e">
        <f t="shared" si="101"/>
        <v>#VALUE!</v>
      </c>
      <c r="CO203" t="e">
        <f t="shared" si="101"/>
        <v>#VALUE!</v>
      </c>
      <c r="CP203" t="e">
        <f t="shared" si="101"/>
        <v>#VALUE!</v>
      </c>
      <c r="CQ203" t="e">
        <f t="shared" si="101"/>
        <v>#VALUE!</v>
      </c>
      <c r="CR203" t="e">
        <f t="shared" si="101"/>
        <v>#VALUE!</v>
      </c>
      <c r="CS203" t="e">
        <f t="shared" si="101"/>
        <v>#VALUE!</v>
      </c>
      <c r="CT203" t="e">
        <f t="shared" si="101"/>
        <v>#VALUE!</v>
      </c>
      <c r="CU203" t="e">
        <f t="shared" si="101"/>
        <v>#VALUE!</v>
      </c>
      <c r="CV203" t="e">
        <f t="shared" si="101"/>
        <v>#VALUE!</v>
      </c>
      <c r="CW203" t="e">
        <f t="shared" si="101"/>
        <v>#VALUE!</v>
      </c>
      <c r="CX203" t="e">
        <f t="shared" si="101"/>
        <v>#VALUE!</v>
      </c>
      <c r="CY203" t="e">
        <f t="shared" si="101"/>
        <v>#VALUE!</v>
      </c>
      <c r="CZ203" t="e">
        <f t="shared" si="101"/>
        <v>#VALUE!</v>
      </c>
      <c r="DA203" t="e">
        <f t="shared" si="101"/>
        <v>#VALUE!</v>
      </c>
      <c r="DB203" t="e">
        <f t="shared" si="102"/>
        <v>#VALUE!</v>
      </c>
      <c r="DC203" t="e">
        <f t="shared" si="102"/>
        <v>#VALUE!</v>
      </c>
      <c r="DD203" t="e">
        <f t="shared" si="102"/>
        <v>#VALUE!</v>
      </c>
      <c r="DE203" t="e">
        <f t="shared" si="102"/>
        <v>#VALUE!</v>
      </c>
      <c r="DF203" t="e">
        <f t="shared" si="102"/>
        <v>#VALUE!</v>
      </c>
      <c r="DG203" t="e">
        <f t="shared" si="102"/>
        <v>#VALUE!</v>
      </c>
      <c r="DH203" t="e">
        <f t="shared" si="102"/>
        <v>#VALUE!</v>
      </c>
      <c r="DI203" t="e">
        <f t="shared" si="102"/>
        <v>#VALUE!</v>
      </c>
    </row>
    <row r="204" spans="5:113">
      <c r="E204">
        <f t="shared" si="103"/>
        <v>2</v>
      </c>
      <c r="F204">
        <f t="shared" si="103"/>
        <v>2</v>
      </c>
      <c r="G204">
        <f t="shared" si="103"/>
        <v>1</v>
      </c>
      <c r="H204">
        <f t="shared" si="103"/>
        <v>2</v>
      </c>
      <c r="I204">
        <f t="shared" si="103"/>
        <v>3</v>
      </c>
      <c r="J204">
        <f t="shared" si="103"/>
        <v>2</v>
      </c>
      <c r="K204">
        <f t="shared" si="103"/>
        <v>1</v>
      </c>
      <c r="L204">
        <f t="shared" si="103"/>
        <v>1</v>
      </c>
      <c r="M204">
        <f t="shared" si="103"/>
        <v>1</v>
      </c>
      <c r="N204">
        <f t="shared" si="103"/>
        <v>1</v>
      </c>
      <c r="O204">
        <f t="shared" si="103"/>
        <v>1</v>
      </c>
      <c r="P204">
        <f t="shared" si="103"/>
        <v>2</v>
      </c>
      <c r="Q204">
        <f t="shared" si="103"/>
        <v>1</v>
      </c>
      <c r="R204">
        <f t="shared" si="103"/>
        <v>3</v>
      </c>
      <c r="S204">
        <f t="shared" si="103"/>
        <v>2</v>
      </c>
      <c r="T204">
        <f t="shared" si="103"/>
        <v>2</v>
      </c>
      <c r="U204" t="e">
        <f t="shared" si="103"/>
        <v>#VALUE!</v>
      </c>
      <c r="V204" t="e">
        <f t="shared" si="103"/>
        <v>#VALUE!</v>
      </c>
      <c r="W204" t="e">
        <f t="shared" si="103"/>
        <v>#VALUE!</v>
      </c>
      <c r="X204" t="e">
        <f t="shared" si="103"/>
        <v>#VALUE!</v>
      </c>
      <c r="Y204" t="e">
        <f t="shared" si="103"/>
        <v>#VALUE!</v>
      </c>
      <c r="Z204" t="e">
        <f t="shared" si="103"/>
        <v>#VALUE!</v>
      </c>
      <c r="AA204" t="e">
        <f t="shared" si="103"/>
        <v>#VALUE!</v>
      </c>
      <c r="AB204" t="e">
        <f t="shared" si="103"/>
        <v>#VALUE!</v>
      </c>
      <c r="AC204" t="e">
        <f t="shared" si="103"/>
        <v>#VALUE!</v>
      </c>
      <c r="AD204" t="e">
        <f t="shared" si="103"/>
        <v>#VALUE!</v>
      </c>
      <c r="AE204" t="e">
        <f t="shared" si="103"/>
        <v>#VALUE!</v>
      </c>
      <c r="AF204" t="e">
        <f t="shared" si="103"/>
        <v>#VALUE!</v>
      </c>
      <c r="AG204" t="e">
        <f t="shared" si="103"/>
        <v>#VALUE!</v>
      </c>
      <c r="AH204" t="e">
        <f t="shared" si="103"/>
        <v>#VALUE!</v>
      </c>
      <c r="AI204" t="e">
        <f t="shared" si="103"/>
        <v>#VALUE!</v>
      </c>
      <c r="AJ204" t="e">
        <f t="shared" si="103"/>
        <v>#VALUE!</v>
      </c>
      <c r="AK204" t="e">
        <f t="shared" si="103"/>
        <v>#VALUE!</v>
      </c>
      <c r="AL204" t="e">
        <f t="shared" si="103"/>
        <v>#VALUE!</v>
      </c>
      <c r="AM204" t="e">
        <f t="shared" si="103"/>
        <v>#VALUE!</v>
      </c>
      <c r="AN204" t="e">
        <f t="shared" si="103"/>
        <v>#VALUE!</v>
      </c>
      <c r="AO204" t="e">
        <f t="shared" si="103"/>
        <v>#VALUE!</v>
      </c>
      <c r="AP204" t="e">
        <f t="shared" si="103"/>
        <v>#VALUE!</v>
      </c>
      <c r="AQ204" t="e">
        <f t="shared" si="103"/>
        <v>#VALUE!</v>
      </c>
      <c r="AR204" t="e">
        <f t="shared" si="103"/>
        <v>#VALUE!</v>
      </c>
      <c r="AS204" t="e">
        <f t="shared" si="103"/>
        <v>#VALUE!</v>
      </c>
      <c r="AT204" t="e">
        <f t="shared" si="103"/>
        <v>#VALUE!</v>
      </c>
      <c r="AU204" t="e">
        <f t="shared" si="103"/>
        <v>#VALUE!</v>
      </c>
      <c r="AV204" t="e">
        <f t="shared" si="103"/>
        <v>#VALUE!</v>
      </c>
      <c r="AW204" t="e">
        <f t="shared" si="103"/>
        <v>#VALUE!</v>
      </c>
      <c r="AX204" t="e">
        <f t="shared" si="103"/>
        <v>#VALUE!</v>
      </c>
      <c r="AY204" t="e">
        <f t="shared" si="103"/>
        <v>#VALUE!</v>
      </c>
      <c r="AZ204" t="e">
        <f t="shared" si="103"/>
        <v>#VALUE!</v>
      </c>
      <c r="BA204" t="e">
        <f t="shared" si="103"/>
        <v>#VALUE!</v>
      </c>
      <c r="BB204" t="e">
        <f t="shared" si="103"/>
        <v>#VALUE!</v>
      </c>
      <c r="BC204" t="e">
        <f t="shared" si="103"/>
        <v>#VALUE!</v>
      </c>
      <c r="BD204" t="e">
        <f t="shared" si="103"/>
        <v>#VALUE!</v>
      </c>
      <c r="BE204" t="e">
        <f t="shared" si="103"/>
        <v>#VALUE!</v>
      </c>
      <c r="BF204" t="e">
        <f t="shared" si="103"/>
        <v>#VALUE!</v>
      </c>
      <c r="BG204" t="e">
        <f t="shared" si="103"/>
        <v>#VALUE!</v>
      </c>
      <c r="BH204" t="e">
        <f t="shared" si="103"/>
        <v>#VALUE!</v>
      </c>
      <c r="BI204" t="e">
        <f t="shared" si="103"/>
        <v>#VALUE!</v>
      </c>
      <c r="BJ204" t="e">
        <f t="shared" si="103"/>
        <v>#VALUE!</v>
      </c>
      <c r="BK204" t="e">
        <f t="shared" si="103"/>
        <v>#VALUE!</v>
      </c>
      <c r="BL204" t="e">
        <f t="shared" si="103"/>
        <v>#VALUE!</v>
      </c>
      <c r="BM204" t="e">
        <f t="shared" si="103"/>
        <v>#VALUE!</v>
      </c>
      <c r="BN204" t="e">
        <f t="shared" si="103"/>
        <v>#VALUE!</v>
      </c>
      <c r="BO204" t="e">
        <f t="shared" si="103"/>
        <v>#VALUE!</v>
      </c>
      <c r="BP204" t="e">
        <f t="shared" ref="BP204:CF207" si="104">LEFT(BP46)+RIGHT(BP46)</f>
        <v>#VALUE!</v>
      </c>
      <c r="BQ204" t="e">
        <f t="shared" si="104"/>
        <v>#VALUE!</v>
      </c>
      <c r="BR204" t="e">
        <f t="shared" si="104"/>
        <v>#VALUE!</v>
      </c>
      <c r="BS204" t="e">
        <f t="shared" si="104"/>
        <v>#VALUE!</v>
      </c>
      <c r="BT204" t="e">
        <f t="shared" si="104"/>
        <v>#VALUE!</v>
      </c>
      <c r="BU204" t="e">
        <f t="shared" si="104"/>
        <v>#VALUE!</v>
      </c>
      <c r="BV204" t="e">
        <f t="shared" si="104"/>
        <v>#VALUE!</v>
      </c>
      <c r="BW204" t="e">
        <f t="shared" si="104"/>
        <v>#VALUE!</v>
      </c>
      <c r="BX204" t="e">
        <f t="shared" si="104"/>
        <v>#VALUE!</v>
      </c>
      <c r="BY204" t="e">
        <f t="shared" si="104"/>
        <v>#VALUE!</v>
      </c>
      <c r="BZ204" t="e">
        <f t="shared" si="104"/>
        <v>#VALUE!</v>
      </c>
      <c r="CA204" t="e">
        <f t="shared" si="104"/>
        <v>#VALUE!</v>
      </c>
      <c r="CB204" t="e">
        <f t="shared" si="104"/>
        <v>#VALUE!</v>
      </c>
      <c r="CC204" t="e">
        <f t="shared" si="104"/>
        <v>#VALUE!</v>
      </c>
      <c r="CD204" t="e">
        <f t="shared" si="104"/>
        <v>#VALUE!</v>
      </c>
      <c r="CE204" t="e">
        <f t="shared" si="104"/>
        <v>#VALUE!</v>
      </c>
      <c r="CF204" t="e">
        <f t="shared" si="104"/>
        <v>#VALUE!</v>
      </c>
      <c r="CG204" t="e">
        <f t="shared" si="101"/>
        <v>#VALUE!</v>
      </c>
      <c r="CH204" t="e">
        <f t="shared" si="101"/>
        <v>#VALUE!</v>
      </c>
      <c r="CI204" t="e">
        <f t="shared" si="101"/>
        <v>#VALUE!</v>
      </c>
      <c r="CJ204" t="e">
        <f t="shared" si="101"/>
        <v>#VALUE!</v>
      </c>
      <c r="CK204" t="e">
        <f t="shared" si="101"/>
        <v>#VALUE!</v>
      </c>
      <c r="CL204" t="e">
        <f t="shared" si="101"/>
        <v>#VALUE!</v>
      </c>
      <c r="CM204" t="e">
        <f t="shared" si="101"/>
        <v>#VALUE!</v>
      </c>
      <c r="CN204" t="e">
        <f t="shared" si="101"/>
        <v>#VALUE!</v>
      </c>
      <c r="CO204" t="e">
        <f t="shared" si="101"/>
        <v>#VALUE!</v>
      </c>
      <c r="CP204" t="e">
        <f t="shared" si="101"/>
        <v>#VALUE!</v>
      </c>
      <c r="CQ204" t="e">
        <f t="shared" si="101"/>
        <v>#VALUE!</v>
      </c>
      <c r="CR204" t="e">
        <f t="shared" si="101"/>
        <v>#VALUE!</v>
      </c>
      <c r="CS204" t="e">
        <f t="shared" si="101"/>
        <v>#VALUE!</v>
      </c>
      <c r="CT204" t="e">
        <f t="shared" si="101"/>
        <v>#VALUE!</v>
      </c>
      <c r="CU204" t="e">
        <f t="shared" si="101"/>
        <v>#VALUE!</v>
      </c>
      <c r="CV204" t="e">
        <f t="shared" si="101"/>
        <v>#VALUE!</v>
      </c>
      <c r="CW204" t="e">
        <f t="shared" si="101"/>
        <v>#VALUE!</v>
      </c>
      <c r="CX204" t="e">
        <f t="shared" si="101"/>
        <v>#VALUE!</v>
      </c>
      <c r="CY204" t="e">
        <f t="shared" si="101"/>
        <v>#VALUE!</v>
      </c>
      <c r="CZ204" t="e">
        <f t="shared" si="101"/>
        <v>#VALUE!</v>
      </c>
      <c r="DA204" t="e">
        <f t="shared" si="101"/>
        <v>#VALUE!</v>
      </c>
      <c r="DB204" t="e">
        <f t="shared" si="102"/>
        <v>#VALUE!</v>
      </c>
      <c r="DC204" t="e">
        <f t="shared" si="102"/>
        <v>#VALUE!</v>
      </c>
      <c r="DD204" t="e">
        <f t="shared" si="102"/>
        <v>#VALUE!</v>
      </c>
      <c r="DE204" t="e">
        <f t="shared" si="102"/>
        <v>#VALUE!</v>
      </c>
      <c r="DF204" t="e">
        <f t="shared" si="102"/>
        <v>#VALUE!</v>
      </c>
      <c r="DG204" t="e">
        <f t="shared" si="102"/>
        <v>#VALUE!</v>
      </c>
      <c r="DH204" t="e">
        <f t="shared" si="102"/>
        <v>#VALUE!</v>
      </c>
      <c r="DI204" t="e">
        <f t="shared" si="102"/>
        <v>#VALUE!</v>
      </c>
    </row>
    <row r="205" spans="5:113">
      <c r="E205">
        <f t="shared" ref="E205:BP208" si="105">LEFT(E47)+RIGHT(E47)</f>
        <v>2</v>
      </c>
      <c r="F205">
        <f t="shared" si="105"/>
        <v>0</v>
      </c>
      <c r="G205">
        <f t="shared" si="105"/>
        <v>2</v>
      </c>
      <c r="H205">
        <f t="shared" si="105"/>
        <v>2</v>
      </c>
      <c r="I205">
        <f t="shared" si="105"/>
        <v>3</v>
      </c>
      <c r="J205">
        <f t="shared" si="105"/>
        <v>3</v>
      </c>
      <c r="K205">
        <f t="shared" si="105"/>
        <v>1</v>
      </c>
      <c r="L205">
        <f t="shared" si="105"/>
        <v>1</v>
      </c>
      <c r="M205">
        <f t="shared" si="105"/>
        <v>1</v>
      </c>
      <c r="N205">
        <f t="shared" si="105"/>
        <v>2</v>
      </c>
      <c r="O205">
        <f t="shared" si="105"/>
        <v>2</v>
      </c>
      <c r="P205">
        <f t="shared" si="105"/>
        <v>1</v>
      </c>
      <c r="Q205">
        <f t="shared" si="105"/>
        <v>0</v>
      </c>
      <c r="R205">
        <f t="shared" si="105"/>
        <v>2</v>
      </c>
      <c r="S205">
        <f t="shared" si="105"/>
        <v>1</v>
      </c>
      <c r="T205">
        <f t="shared" si="105"/>
        <v>2</v>
      </c>
      <c r="U205" t="e">
        <f t="shared" si="105"/>
        <v>#VALUE!</v>
      </c>
      <c r="V205" t="e">
        <f t="shared" si="105"/>
        <v>#VALUE!</v>
      </c>
      <c r="W205" t="e">
        <f t="shared" si="105"/>
        <v>#VALUE!</v>
      </c>
      <c r="X205" t="e">
        <f t="shared" si="105"/>
        <v>#VALUE!</v>
      </c>
      <c r="Y205" t="e">
        <f t="shared" si="105"/>
        <v>#VALUE!</v>
      </c>
      <c r="Z205" t="e">
        <f t="shared" si="105"/>
        <v>#VALUE!</v>
      </c>
      <c r="AA205" t="e">
        <f t="shared" si="105"/>
        <v>#VALUE!</v>
      </c>
      <c r="AB205" t="e">
        <f t="shared" si="105"/>
        <v>#VALUE!</v>
      </c>
      <c r="AC205" t="e">
        <f t="shared" si="105"/>
        <v>#VALUE!</v>
      </c>
      <c r="AD205" t="e">
        <f t="shared" si="105"/>
        <v>#VALUE!</v>
      </c>
      <c r="AE205" t="e">
        <f t="shared" si="105"/>
        <v>#VALUE!</v>
      </c>
      <c r="AF205" t="e">
        <f t="shared" si="105"/>
        <v>#VALUE!</v>
      </c>
      <c r="AG205" t="e">
        <f t="shared" si="105"/>
        <v>#VALUE!</v>
      </c>
      <c r="AH205" t="e">
        <f t="shared" si="105"/>
        <v>#VALUE!</v>
      </c>
      <c r="AI205" t="e">
        <f t="shared" si="105"/>
        <v>#VALUE!</v>
      </c>
      <c r="AJ205" t="e">
        <f t="shared" si="105"/>
        <v>#VALUE!</v>
      </c>
      <c r="AK205" t="e">
        <f t="shared" si="105"/>
        <v>#VALUE!</v>
      </c>
      <c r="AL205" t="e">
        <f t="shared" si="105"/>
        <v>#VALUE!</v>
      </c>
      <c r="AM205" t="e">
        <f t="shared" si="105"/>
        <v>#VALUE!</v>
      </c>
      <c r="AN205" t="e">
        <f t="shared" si="105"/>
        <v>#VALUE!</v>
      </c>
      <c r="AO205" t="e">
        <f t="shared" si="105"/>
        <v>#VALUE!</v>
      </c>
      <c r="AP205" t="e">
        <f t="shared" si="105"/>
        <v>#VALUE!</v>
      </c>
      <c r="AQ205" t="e">
        <f t="shared" si="105"/>
        <v>#VALUE!</v>
      </c>
      <c r="AR205" t="e">
        <f t="shared" si="105"/>
        <v>#VALUE!</v>
      </c>
      <c r="AS205" t="e">
        <f t="shared" si="105"/>
        <v>#VALUE!</v>
      </c>
      <c r="AT205" t="e">
        <f t="shared" si="105"/>
        <v>#VALUE!</v>
      </c>
      <c r="AU205" t="e">
        <f t="shared" si="105"/>
        <v>#VALUE!</v>
      </c>
      <c r="AV205" t="e">
        <f t="shared" si="105"/>
        <v>#VALUE!</v>
      </c>
      <c r="AW205" t="e">
        <f t="shared" si="105"/>
        <v>#VALUE!</v>
      </c>
      <c r="AX205" t="e">
        <f t="shared" si="105"/>
        <v>#VALUE!</v>
      </c>
      <c r="AY205" t="e">
        <f t="shared" si="105"/>
        <v>#VALUE!</v>
      </c>
      <c r="AZ205" t="e">
        <f t="shared" si="105"/>
        <v>#VALUE!</v>
      </c>
      <c r="BA205" t="e">
        <f t="shared" si="105"/>
        <v>#VALUE!</v>
      </c>
      <c r="BB205" t="e">
        <f t="shared" si="105"/>
        <v>#VALUE!</v>
      </c>
      <c r="BC205" t="e">
        <f t="shared" si="105"/>
        <v>#VALUE!</v>
      </c>
      <c r="BD205" t="e">
        <f t="shared" si="105"/>
        <v>#VALUE!</v>
      </c>
      <c r="BE205" t="e">
        <f t="shared" si="105"/>
        <v>#VALUE!</v>
      </c>
      <c r="BF205" t="e">
        <f t="shared" si="105"/>
        <v>#VALUE!</v>
      </c>
      <c r="BG205" t="e">
        <f t="shared" si="105"/>
        <v>#VALUE!</v>
      </c>
      <c r="BH205" t="e">
        <f t="shared" si="105"/>
        <v>#VALUE!</v>
      </c>
      <c r="BI205" t="e">
        <f t="shared" si="105"/>
        <v>#VALUE!</v>
      </c>
      <c r="BJ205" t="e">
        <f t="shared" si="105"/>
        <v>#VALUE!</v>
      </c>
      <c r="BK205" t="e">
        <f t="shared" si="105"/>
        <v>#VALUE!</v>
      </c>
      <c r="BL205" t="e">
        <f t="shared" si="105"/>
        <v>#VALUE!</v>
      </c>
      <c r="BM205" t="e">
        <f t="shared" si="105"/>
        <v>#VALUE!</v>
      </c>
      <c r="BN205" t="e">
        <f t="shared" si="105"/>
        <v>#VALUE!</v>
      </c>
      <c r="BO205" t="e">
        <f t="shared" si="105"/>
        <v>#VALUE!</v>
      </c>
      <c r="BP205" t="e">
        <f t="shared" si="105"/>
        <v>#VALUE!</v>
      </c>
      <c r="BQ205" t="e">
        <f t="shared" si="104"/>
        <v>#VALUE!</v>
      </c>
      <c r="BR205" t="e">
        <f t="shared" si="104"/>
        <v>#VALUE!</v>
      </c>
      <c r="BS205" t="e">
        <f t="shared" si="104"/>
        <v>#VALUE!</v>
      </c>
      <c r="BT205" t="e">
        <f t="shared" si="104"/>
        <v>#VALUE!</v>
      </c>
      <c r="BU205" t="e">
        <f t="shared" si="104"/>
        <v>#VALUE!</v>
      </c>
      <c r="BV205" t="e">
        <f t="shared" si="104"/>
        <v>#VALUE!</v>
      </c>
      <c r="BW205" t="e">
        <f t="shared" si="104"/>
        <v>#VALUE!</v>
      </c>
      <c r="BX205" t="e">
        <f t="shared" si="104"/>
        <v>#VALUE!</v>
      </c>
      <c r="BY205" t="e">
        <f t="shared" si="104"/>
        <v>#VALUE!</v>
      </c>
      <c r="BZ205" t="e">
        <f t="shared" si="104"/>
        <v>#VALUE!</v>
      </c>
      <c r="CA205" t="e">
        <f t="shared" si="104"/>
        <v>#VALUE!</v>
      </c>
      <c r="CB205" t="e">
        <f t="shared" si="104"/>
        <v>#VALUE!</v>
      </c>
      <c r="CC205" t="e">
        <f t="shared" si="104"/>
        <v>#VALUE!</v>
      </c>
      <c r="CD205" t="e">
        <f t="shared" si="104"/>
        <v>#VALUE!</v>
      </c>
      <c r="CE205" t="e">
        <f t="shared" si="104"/>
        <v>#VALUE!</v>
      </c>
      <c r="CF205" t="e">
        <f t="shared" si="104"/>
        <v>#VALUE!</v>
      </c>
      <c r="CG205" t="e">
        <f t="shared" si="101"/>
        <v>#VALUE!</v>
      </c>
      <c r="CH205" t="e">
        <f t="shared" si="101"/>
        <v>#VALUE!</v>
      </c>
      <c r="CI205" t="e">
        <f t="shared" si="101"/>
        <v>#VALUE!</v>
      </c>
      <c r="CJ205" t="e">
        <f t="shared" si="101"/>
        <v>#VALUE!</v>
      </c>
      <c r="CK205" t="e">
        <f t="shared" si="101"/>
        <v>#VALUE!</v>
      </c>
      <c r="CL205" t="e">
        <f t="shared" si="101"/>
        <v>#VALUE!</v>
      </c>
      <c r="CM205" t="e">
        <f t="shared" si="101"/>
        <v>#VALUE!</v>
      </c>
      <c r="CN205" t="e">
        <f t="shared" si="101"/>
        <v>#VALUE!</v>
      </c>
      <c r="CO205" t="e">
        <f t="shared" si="101"/>
        <v>#VALUE!</v>
      </c>
      <c r="CP205" t="e">
        <f t="shared" si="101"/>
        <v>#VALUE!</v>
      </c>
      <c r="CQ205" t="e">
        <f t="shared" si="101"/>
        <v>#VALUE!</v>
      </c>
      <c r="CR205" t="e">
        <f t="shared" si="101"/>
        <v>#VALUE!</v>
      </c>
      <c r="CS205" t="e">
        <f t="shared" si="101"/>
        <v>#VALUE!</v>
      </c>
      <c r="CT205" t="e">
        <f t="shared" si="101"/>
        <v>#VALUE!</v>
      </c>
      <c r="CU205" t="e">
        <f t="shared" si="101"/>
        <v>#VALUE!</v>
      </c>
      <c r="CV205" t="e">
        <f t="shared" si="101"/>
        <v>#VALUE!</v>
      </c>
      <c r="CW205" t="e">
        <f t="shared" si="101"/>
        <v>#VALUE!</v>
      </c>
      <c r="CX205" t="e">
        <f t="shared" si="101"/>
        <v>#VALUE!</v>
      </c>
      <c r="CY205" t="e">
        <f t="shared" si="101"/>
        <v>#VALUE!</v>
      </c>
      <c r="CZ205" t="e">
        <f t="shared" si="101"/>
        <v>#VALUE!</v>
      </c>
      <c r="DA205" t="e">
        <f t="shared" si="101"/>
        <v>#VALUE!</v>
      </c>
      <c r="DB205" t="e">
        <f t="shared" si="102"/>
        <v>#VALUE!</v>
      </c>
      <c r="DC205" t="e">
        <f t="shared" si="102"/>
        <v>#VALUE!</v>
      </c>
      <c r="DD205" t="e">
        <f t="shared" si="102"/>
        <v>#VALUE!</v>
      </c>
      <c r="DE205" t="e">
        <f t="shared" si="102"/>
        <v>#VALUE!</v>
      </c>
      <c r="DF205" t="e">
        <f t="shared" si="102"/>
        <v>#VALUE!</v>
      </c>
      <c r="DG205" t="e">
        <f t="shared" si="102"/>
        <v>#VALUE!</v>
      </c>
      <c r="DH205" t="e">
        <f t="shared" si="102"/>
        <v>#VALUE!</v>
      </c>
      <c r="DI205" t="e">
        <f t="shared" si="102"/>
        <v>#VALUE!</v>
      </c>
    </row>
    <row r="206" spans="5:113">
      <c r="E206">
        <f t="shared" si="105"/>
        <v>2</v>
      </c>
      <c r="F206">
        <f t="shared" si="105"/>
        <v>3</v>
      </c>
      <c r="G206">
        <f t="shared" si="105"/>
        <v>2</v>
      </c>
      <c r="H206">
        <f t="shared" si="105"/>
        <v>3</v>
      </c>
      <c r="I206">
        <f t="shared" si="105"/>
        <v>5</v>
      </c>
      <c r="J206">
        <f t="shared" si="105"/>
        <v>4</v>
      </c>
      <c r="K206">
        <f t="shared" si="105"/>
        <v>3</v>
      </c>
      <c r="L206">
        <f t="shared" si="105"/>
        <v>3</v>
      </c>
      <c r="M206">
        <f t="shared" si="105"/>
        <v>1</v>
      </c>
      <c r="N206">
        <f t="shared" si="105"/>
        <v>3</v>
      </c>
      <c r="O206">
        <f t="shared" si="105"/>
        <v>3</v>
      </c>
      <c r="P206">
        <f t="shared" si="105"/>
        <v>3</v>
      </c>
      <c r="Q206">
        <f t="shared" si="105"/>
        <v>1</v>
      </c>
      <c r="R206">
        <f t="shared" si="105"/>
        <v>3</v>
      </c>
      <c r="S206">
        <f t="shared" si="105"/>
        <v>3</v>
      </c>
      <c r="T206">
        <f t="shared" si="105"/>
        <v>1</v>
      </c>
      <c r="U206" t="e">
        <f t="shared" si="105"/>
        <v>#VALUE!</v>
      </c>
      <c r="V206" t="e">
        <f t="shared" si="105"/>
        <v>#VALUE!</v>
      </c>
      <c r="W206" t="e">
        <f t="shared" si="105"/>
        <v>#VALUE!</v>
      </c>
      <c r="X206" t="e">
        <f t="shared" si="105"/>
        <v>#VALUE!</v>
      </c>
      <c r="Y206" t="e">
        <f t="shared" si="105"/>
        <v>#VALUE!</v>
      </c>
      <c r="Z206" t="e">
        <f t="shared" si="105"/>
        <v>#VALUE!</v>
      </c>
      <c r="AA206" t="e">
        <f t="shared" si="105"/>
        <v>#VALUE!</v>
      </c>
      <c r="AB206" t="e">
        <f t="shared" si="105"/>
        <v>#VALUE!</v>
      </c>
      <c r="AC206" t="e">
        <f t="shared" si="105"/>
        <v>#VALUE!</v>
      </c>
      <c r="AD206" t="e">
        <f t="shared" si="105"/>
        <v>#VALUE!</v>
      </c>
      <c r="AE206" t="e">
        <f t="shared" si="105"/>
        <v>#VALUE!</v>
      </c>
      <c r="AF206" t="e">
        <f t="shared" si="105"/>
        <v>#VALUE!</v>
      </c>
      <c r="AG206" t="e">
        <f t="shared" si="105"/>
        <v>#VALUE!</v>
      </c>
      <c r="AH206" t="e">
        <f t="shared" si="105"/>
        <v>#VALUE!</v>
      </c>
      <c r="AI206" t="e">
        <f t="shared" si="105"/>
        <v>#VALUE!</v>
      </c>
      <c r="AJ206" t="e">
        <f t="shared" si="105"/>
        <v>#VALUE!</v>
      </c>
      <c r="AK206" t="e">
        <f t="shared" si="105"/>
        <v>#VALUE!</v>
      </c>
      <c r="AL206" t="e">
        <f t="shared" si="105"/>
        <v>#VALUE!</v>
      </c>
      <c r="AM206" t="e">
        <f t="shared" si="105"/>
        <v>#VALUE!</v>
      </c>
      <c r="AN206" t="e">
        <f t="shared" si="105"/>
        <v>#VALUE!</v>
      </c>
      <c r="AO206" t="e">
        <f t="shared" si="105"/>
        <v>#VALUE!</v>
      </c>
      <c r="AP206" t="e">
        <f t="shared" si="105"/>
        <v>#VALUE!</v>
      </c>
      <c r="AQ206" t="e">
        <f t="shared" si="105"/>
        <v>#VALUE!</v>
      </c>
      <c r="AR206" t="e">
        <f t="shared" si="105"/>
        <v>#VALUE!</v>
      </c>
      <c r="AS206" t="e">
        <f t="shared" si="105"/>
        <v>#VALUE!</v>
      </c>
      <c r="AT206" t="e">
        <f t="shared" si="105"/>
        <v>#VALUE!</v>
      </c>
      <c r="AU206" t="e">
        <f t="shared" si="105"/>
        <v>#VALUE!</v>
      </c>
      <c r="AV206" t="e">
        <f t="shared" si="105"/>
        <v>#VALUE!</v>
      </c>
      <c r="AW206" t="e">
        <f t="shared" si="105"/>
        <v>#VALUE!</v>
      </c>
      <c r="AX206" t="e">
        <f t="shared" si="105"/>
        <v>#VALUE!</v>
      </c>
      <c r="AY206" t="e">
        <f t="shared" si="105"/>
        <v>#VALUE!</v>
      </c>
      <c r="AZ206" t="e">
        <f t="shared" si="105"/>
        <v>#VALUE!</v>
      </c>
      <c r="BA206" t="e">
        <f t="shared" si="105"/>
        <v>#VALUE!</v>
      </c>
      <c r="BB206" t="e">
        <f t="shared" si="105"/>
        <v>#VALUE!</v>
      </c>
      <c r="BC206" t="e">
        <f t="shared" si="105"/>
        <v>#VALUE!</v>
      </c>
      <c r="BD206" t="e">
        <f t="shared" si="105"/>
        <v>#VALUE!</v>
      </c>
      <c r="BE206" t="e">
        <f t="shared" si="105"/>
        <v>#VALUE!</v>
      </c>
      <c r="BF206" t="e">
        <f t="shared" si="105"/>
        <v>#VALUE!</v>
      </c>
      <c r="BG206" t="e">
        <f t="shared" si="105"/>
        <v>#VALUE!</v>
      </c>
      <c r="BH206" t="e">
        <f t="shared" si="105"/>
        <v>#VALUE!</v>
      </c>
      <c r="BI206" t="e">
        <f t="shared" si="105"/>
        <v>#VALUE!</v>
      </c>
      <c r="BJ206" t="e">
        <f t="shared" si="105"/>
        <v>#VALUE!</v>
      </c>
      <c r="BK206" t="e">
        <f t="shared" si="105"/>
        <v>#VALUE!</v>
      </c>
      <c r="BL206" t="e">
        <f t="shared" si="105"/>
        <v>#VALUE!</v>
      </c>
      <c r="BM206" t="e">
        <f t="shared" si="105"/>
        <v>#VALUE!</v>
      </c>
      <c r="BN206" t="e">
        <f t="shared" si="105"/>
        <v>#VALUE!</v>
      </c>
      <c r="BO206" t="e">
        <f t="shared" si="105"/>
        <v>#VALUE!</v>
      </c>
      <c r="BP206" t="e">
        <f t="shared" si="105"/>
        <v>#VALUE!</v>
      </c>
      <c r="BQ206" t="e">
        <f t="shared" si="104"/>
        <v>#VALUE!</v>
      </c>
      <c r="BR206" t="e">
        <f t="shared" si="104"/>
        <v>#VALUE!</v>
      </c>
      <c r="BS206" t="e">
        <f t="shared" si="104"/>
        <v>#VALUE!</v>
      </c>
      <c r="BT206" t="e">
        <f t="shared" si="104"/>
        <v>#VALUE!</v>
      </c>
      <c r="BU206" t="e">
        <f t="shared" si="104"/>
        <v>#VALUE!</v>
      </c>
      <c r="BV206" t="e">
        <f t="shared" si="104"/>
        <v>#VALUE!</v>
      </c>
      <c r="BW206" t="e">
        <f t="shared" si="104"/>
        <v>#VALUE!</v>
      </c>
      <c r="BX206" t="e">
        <f t="shared" si="104"/>
        <v>#VALUE!</v>
      </c>
      <c r="BY206" t="e">
        <f t="shared" si="104"/>
        <v>#VALUE!</v>
      </c>
      <c r="BZ206" t="e">
        <f t="shared" si="104"/>
        <v>#VALUE!</v>
      </c>
      <c r="CA206" t="e">
        <f t="shared" si="104"/>
        <v>#VALUE!</v>
      </c>
      <c r="CB206" t="e">
        <f t="shared" si="104"/>
        <v>#VALUE!</v>
      </c>
      <c r="CC206" t="e">
        <f t="shared" si="104"/>
        <v>#VALUE!</v>
      </c>
      <c r="CD206" t="e">
        <f t="shared" si="104"/>
        <v>#VALUE!</v>
      </c>
      <c r="CE206" t="e">
        <f t="shared" si="104"/>
        <v>#VALUE!</v>
      </c>
      <c r="CF206" t="e">
        <f t="shared" si="104"/>
        <v>#VALUE!</v>
      </c>
      <c r="CG206" t="e">
        <f t="shared" si="101"/>
        <v>#VALUE!</v>
      </c>
      <c r="CH206" t="e">
        <f t="shared" si="101"/>
        <v>#VALUE!</v>
      </c>
      <c r="CI206" t="e">
        <f t="shared" si="101"/>
        <v>#VALUE!</v>
      </c>
      <c r="CJ206" t="e">
        <f t="shared" si="101"/>
        <v>#VALUE!</v>
      </c>
      <c r="CK206" t="e">
        <f t="shared" si="101"/>
        <v>#VALUE!</v>
      </c>
      <c r="CL206" t="e">
        <f t="shared" si="101"/>
        <v>#VALUE!</v>
      </c>
      <c r="CM206" t="e">
        <f t="shared" si="101"/>
        <v>#VALUE!</v>
      </c>
      <c r="CN206" t="e">
        <f t="shared" si="101"/>
        <v>#VALUE!</v>
      </c>
      <c r="CO206" t="e">
        <f t="shared" si="101"/>
        <v>#VALUE!</v>
      </c>
      <c r="CP206" t="e">
        <f t="shared" si="101"/>
        <v>#VALUE!</v>
      </c>
      <c r="CQ206" t="e">
        <f t="shared" si="101"/>
        <v>#VALUE!</v>
      </c>
      <c r="CR206" t="e">
        <f t="shared" si="101"/>
        <v>#VALUE!</v>
      </c>
      <c r="CS206" t="e">
        <f t="shared" si="101"/>
        <v>#VALUE!</v>
      </c>
      <c r="CT206" t="e">
        <f t="shared" si="101"/>
        <v>#VALUE!</v>
      </c>
      <c r="CU206" t="e">
        <f t="shared" si="101"/>
        <v>#VALUE!</v>
      </c>
      <c r="CV206" t="e">
        <f t="shared" si="101"/>
        <v>#VALUE!</v>
      </c>
      <c r="CW206" t="e">
        <f t="shared" si="101"/>
        <v>#VALUE!</v>
      </c>
      <c r="CX206" t="e">
        <f t="shared" si="101"/>
        <v>#VALUE!</v>
      </c>
      <c r="CY206" t="e">
        <f t="shared" si="101"/>
        <v>#VALUE!</v>
      </c>
      <c r="CZ206" t="e">
        <f t="shared" si="101"/>
        <v>#VALUE!</v>
      </c>
      <c r="DA206" t="e">
        <f t="shared" si="101"/>
        <v>#VALUE!</v>
      </c>
      <c r="DB206" t="e">
        <f t="shared" si="102"/>
        <v>#VALUE!</v>
      </c>
      <c r="DC206" t="e">
        <f t="shared" si="102"/>
        <v>#VALUE!</v>
      </c>
      <c r="DD206" t="e">
        <f t="shared" si="102"/>
        <v>#VALUE!</v>
      </c>
      <c r="DE206" t="e">
        <f t="shared" si="102"/>
        <v>#VALUE!</v>
      </c>
      <c r="DF206" t="e">
        <f t="shared" si="102"/>
        <v>#VALUE!</v>
      </c>
      <c r="DG206" t="e">
        <f t="shared" si="102"/>
        <v>#VALUE!</v>
      </c>
      <c r="DH206" t="e">
        <f t="shared" si="102"/>
        <v>#VALUE!</v>
      </c>
      <c r="DI206" t="e">
        <f t="shared" si="102"/>
        <v>#VALUE!</v>
      </c>
    </row>
    <row r="207" spans="5:113">
      <c r="E207">
        <f t="shared" si="105"/>
        <v>3</v>
      </c>
      <c r="F207">
        <f t="shared" si="105"/>
        <v>2</v>
      </c>
      <c r="G207">
        <f t="shared" si="105"/>
        <v>3</v>
      </c>
      <c r="H207">
        <f t="shared" si="105"/>
        <v>2</v>
      </c>
      <c r="I207">
        <f t="shared" si="105"/>
        <v>3</v>
      </c>
      <c r="J207">
        <f t="shared" si="105"/>
        <v>2</v>
      </c>
      <c r="K207">
        <f t="shared" si="105"/>
        <v>3</v>
      </c>
      <c r="L207">
        <f t="shared" si="105"/>
        <v>3</v>
      </c>
      <c r="M207">
        <f t="shared" si="105"/>
        <v>2</v>
      </c>
      <c r="N207">
        <f t="shared" si="105"/>
        <v>2</v>
      </c>
      <c r="O207">
        <f t="shared" si="105"/>
        <v>2</v>
      </c>
      <c r="P207">
        <f t="shared" si="105"/>
        <v>4</v>
      </c>
      <c r="Q207">
        <f t="shared" si="105"/>
        <v>2</v>
      </c>
      <c r="R207">
        <f t="shared" si="105"/>
        <v>3</v>
      </c>
      <c r="S207">
        <f t="shared" si="105"/>
        <v>5</v>
      </c>
      <c r="T207">
        <f t="shared" si="105"/>
        <v>3</v>
      </c>
      <c r="U207" t="e">
        <f t="shared" si="105"/>
        <v>#VALUE!</v>
      </c>
      <c r="V207" t="e">
        <f t="shared" si="105"/>
        <v>#VALUE!</v>
      </c>
      <c r="W207" t="e">
        <f t="shared" si="105"/>
        <v>#VALUE!</v>
      </c>
      <c r="X207" t="e">
        <f t="shared" si="105"/>
        <v>#VALUE!</v>
      </c>
      <c r="Y207" t="e">
        <f t="shared" si="105"/>
        <v>#VALUE!</v>
      </c>
      <c r="Z207" t="e">
        <f t="shared" si="105"/>
        <v>#VALUE!</v>
      </c>
      <c r="AA207" t="e">
        <f t="shared" si="105"/>
        <v>#VALUE!</v>
      </c>
      <c r="AB207" t="e">
        <f t="shared" si="105"/>
        <v>#VALUE!</v>
      </c>
      <c r="AC207" t="e">
        <f t="shared" si="105"/>
        <v>#VALUE!</v>
      </c>
      <c r="AD207" t="e">
        <f t="shared" si="105"/>
        <v>#VALUE!</v>
      </c>
      <c r="AE207" t="e">
        <f t="shared" si="105"/>
        <v>#VALUE!</v>
      </c>
      <c r="AF207" t="e">
        <f t="shared" si="105"/>
        <v>#VALUE!</v>
      </c>
      <c r="AG207" t="e">
        <f t="shared" si="105"/>
        <v>#VALUE!</v>
      </c>
      <c r="AH207" t="e">
        <f t="shared" si="105"/>
        <v>#VALUE!</v>
      </c>
      <c r="AI207" t="e">
        <f t="shared" si="105"/>
        <v>#VALUE!</v>
      </c>
      <c r="AJ207" t="e">
        <f t="shared" si="105"/>
        <v>#VALUE!</v>
      </c>
      <c r="AK207" t="e">
        <f t="shared" si="105"/>
        <v>#VALUE!</v>
      </c>
      <c r="AL207" t="e">
        <f t="shared" si="105"/>
        <v>#VALUE!</v>
      </c>
      <c r="AM207" t="e">
        <f t="shared" si="105"/>
        <v>#VALUE!</v>
      </c>
      <c r="AN207" t="e">
        <f t="shared" si="105"/>
        <v>#VALUE!</v>
      </c>
      <c r="AO207" t="e">
        <f t="shared" si="105"/>
        <v>#VALUE!</v>
      </c>
      <c r="AP207" t="e">
        <f t="shared" si="105"/>
        <v>#VALUE!</v>
      </c>
      <c r="AQ207" t="e">
        <f t="shared" si="105"/>
        <v>#VALUE!</v>
      </c>
      <c r="AR207" t="e">
        <f t="shared" si="105"/>
        <v>#VALUE!</v>
      </c>
      <c r="AS207" t="e">
        <f t="shared" si="105"/>
        <v>#VALUE!</v>
      </c>
      <c r="AT207" t="e">
        <f t="shared" si="105"/>
        <v>#VALUE!</v>
      </c>
      <c r="AU207" t="e">
        <f t="shared" si="105"/>
        <v>#VALUE!</v>
      </c>
      <c r="AV207" t="e">
        <f t="shared" si="105"/>
        <v>#VALUE!</v>
      </c>
      <c r="AW207" t="e">
        <f t="shared" si="105"/>
        <v>#VALUE!</v>
      </c>
      <c r="AX207" t="e">
        <f t="shared" si="105"/>
        <v>#VALUE!</v>
      </c>
      <c r="AY207" t="e">
        <f t="shared" si="105"/>
        <v>#VALUE!</v>
      </c>
      <c r="AZ207" t="e">
        <f t="shared" si="105"/>
        <v>#VALUE!</v>
      </c>
      <c r="BA207" t="e">
        <f t="shared" si="105"/>
        <v>#VALUE!</v>
      </c>
      <c r="BB207" t="e">
        <f t="shared" si="105"/>
        <v>#VALUE!</v>
      </c>
      <c r="BC207" t="e">
        <f t="shared" si="105"/>
        <v>#VALUE!</v>
      </c>
      <c r="BD207" t="e">
        <f t="shared" si="105"/>
        <v>#VALUE!</v>
      </c>
      <c r="BE207" t="e">
        <f t="shared" si="105"/>
        <v>#VALUE!</v>
      </c>
      <c r="BF207" t="e">
        <f t="shared" si="105"/>
        <v>#VALUE!</v>
      </c>
      <c r="BG207" t="e">
        <f t="shared" si="105"/>
        <v>#VALUE!</v>
      </c>
      <c r="BH207" t="e">
        <f t="shared" si="105"/>
        <v>#VALUE!</v>
      </c>
      <c r="BI207" t="e">
        <f t="shared" si="105"/>
        <v>#VALUE!</v>
      </c>
      <c r="BJ207" t="e">
        <f t="shared" si="105"/>
        <v>#VALUE!</v>
      </c>
      <c r="BK207" t="e">
        <f t="shared" si="105"/>
        <v>#VALUE!</v>
      </c>
      <c r="BL207" t="e">
        <f t="shared" si="105"/>
        <v>#VALUE!</v>
      </c>
      <c r="BM207" t="e">
        <f t="shared" si="105"/>
        <v>#VALUE!</v>
      </c>
      <c r="BN207" t="e">
        <f t="shared" si="105"/>
        <v>#VALUE!</v>
      </c>
      <c r="BO207" t="e">
        <f t="shared" si="105"/>
        <v>#VALUE!</v>
      </c>
      <c r="BP207" t="e">
        <f t="shared" si="105"/>
        <v>#VALUE!</v>
      </c>
      <c r="BQ207" t="e">
        <f t="shared" si="104"/>
        <v>#VALUE!</v>
      </c>
      <c r="BR207" t="e">
        <f t="shared" si="104"/>
        <v>#VALUE!</v>
      </c>
      <c r="BS207" t="e">
        <f t="shared" si="104"/>
        <v>#VALUE!</v>
      </c>
      <c r="BT207" t="e">
        <f t="shared" si="104"/>
        <v>#VALUE!</v>
      </c>
      <c r="BU207" t="e">
        <f t="shared" si="104"/>
        <v>#VALUE!</v>
      </c>
      <c r="BV207" t="e">
        <f t="shared" si="104"/>
        <v>#VALUE!</v>
      </c>
      <c r="BW207" t="e">
        <f t="shared" si="104"/>
        <v>#VALUE!</v>
      </c>
      <c r="BX207" t="e">
        <f t="shared" si="104"/>
        <v>#VALUE!</v>
      </c>
      <c r="BY207" t="e">
        <f t="shared" si="104"/>
        <v>#VALUE!</v>
      </c>
      <c r="BZ207" t="e">
        <f t="shared" si="104"/>
        <v>#VALUE!</v>
      </c>
      <c r="CA207" t="e">
        <f t="shared" si="104"/>
        <v>#VALUE!</v>
      </c>
      <c r="CB207" t="e">
        <f t="shared" si="104"/>
        <v>#VALUE!</v>
      </c>
      <c r="CC207" t="e">
        <f t="shared" si="104"/>
        <v>#VALUE!</v>
      </c>
      <c r="CD207" t="e">
        <f t="shared" si="104"/>
        <v>#VALUE!</v>
      </c>
      <c r="CE207" t="e">
        <f t="shared" si="104"/>
        <v>#VALUE!</v>
      </c>
      <c r="CF207" t="e">
        <f t="shared" si="104"/>
        <v>#VALUE!</v>
      </c>
      <c r="CG207" t="e">
        <f t="shared" si="101"/>
        <v>#VALUE!</v>
      </c>
      <c r="CH207" t="e">
        <f t="shared" si="101"/>
        <v>#VALUE!</v>
      </c>
      <c r="CI207" t="e">
        <f t="shared" si="101"/>
        <v>#VALUE!</v>
      </c>
      <c r="CJ207" t="e">
        <f t="shared" si="101"/>
        <v>#VALUE!</v>
      </c>
      <c r="CK207" t="e">
        <f t="shared" si="101"/>
        <v>#VALUE!</v>
      </c>
      <c r="CL207" t="e">
        <f t="shared" si="101"/>
        <v>#VALUE!</v>
      </c>
      <c r="CM207" t="e">
        <f t="shared" si="101"/>
        <v>#VALUE!</v>
      </c>
      <c r="CN207" t="e">
        <f t="shared" si="101"/>
        <v>#VALUE!</v>
      </c>
      <c r="CO207" t="e">
        <f t="shared" si="101"/>
        <v>#VALUE!</v>
      </c>
      <c r="CP207" t="e">
        <f t="shared" si="101"/>
        <v>#VALUE!</v>
      </c>
      <c r="CQ207" t="e">
        <f t="shared" si="101"/>
        <v>#VALUE!</v>
      </c>
      <c r="CR207" t="e">
        <f t="shared" si="101"/>
        <v>#VALUE!</v>
      </c>
      <c r="CS207" t="e">
        <f t="shared" si="101"/>
        <v>#VALUE!</v>
      </c>
      <c r="CT207" t="e">
        <f t="shared" si="101"/>
        <v>#VALUE!</v>
      </c>
      <c r="CU207" t="e">
        <f t="shared" si="101"/>
        <v>#VALUE!</v>
      </c>
      <c r="CV207" t="e">
        <f t="shared" si="101"/>
        <v>#VALUE!</v>
      </c>
      <c r="CW207" t="e">
        <f t="shared" si="101"/>
        <v>#VALUE!</v>
      </c>
      <c r="CX207" t="e">
        <f t="shared" si="101"/>
        <v>#VALUE!</v>
      </c>
      <c r="CY207" t="e">
        <f t="shared" si="101"/>
        <v>#VALUE!</v>
      </c>
      <c r="CZ207" t="e">
        <f t="shared" si="101"/>
        <v>#VALUE!</v>
      </c>
      <c r="DA207" t="e">
        <f t="shared" si="101"/>
        <v>#VALUE!</v>
      </c>
      <c r="DB207" t="e">
        <f t="shared" si="102"/>
        <v>#VALUE!</v>
      </c>
      <c r="DC207" t="e">
        <f t="shared" si="102"/>
        <v>#VALUE!</v>
      </c>
      <c r="DD207" t="e">
        <f t="shared" si="102"/>
        <v>#VALUE!</v>
      </c>
      <c r="DE207" t="e">
        <f t="shared" si="102"/>
        <v>#VALUE!</v>
      </c>
      <c r="DF207" t="e">
        <f t="shared" si="102"/>
        <v>#VALUE!</v>
      </c>
      <c r="DG207" t="e">
        <f t="shared" si="102"/>
        <v>#VALUE!</v>
      </c>
      <c r="DH207" t="e">
        <f t="shared" si="102"/>
        <v>#VALUE!</v>
      </c>
      <c r="DI207" t="e">
        <f t="shared" si="102"/>
        <v>#VALUE!</v>
      </c>
    </row>
    <row r="208" spans="5:113">
      <c r="E208">
        <f t="shared" si="105"/>
        <v>1</v>
      </c>
      <c r="F208">
        <f t="shared" si="105"/>
        <v>1</v>
      </c>
      <c r="G208">
        <f t="shared" si="105"/>
        <v>3</v>
      </c>
      <c r="H208">
        <f t="shared" si="105"/>
        <v>4</v>
      </c>
      <c r="I208">
        <f t="shared" si="105"/>
        <v>2</v>
      </c>
      <c r="J208">
        <f t="shared" si="105"/>
        <v>1</v>
      </c>
      <c r="K208">
        <f t="shared" si="105"/>
        <v>2</v>
      </c>
      <c r="L208">
        <f t="shared" si="105"/>
        <v>1</v>
      </c>
      <c r="M208">
        <f t="shared" si="105"/>
        <v>1</v>
      </c>
      <c r="N208">
        <f t="shared" si="105"/>
        <v>3</v>
      </c>
      <c r="O208">
        <f t="shared" si="105"/>
        <v>2</v>
      </c>
      <c r="P208">
        <f t="shared" si="105"/>
        <v>2</v>
      </c>
      <c r="Q208">
        <f t="shared" si="105"/>
        <v>2</v>
      </c>
      <c r="R208">
        <f t="shared" si="105"/>
        <v>3</v>
      </c>
      <c r="S208">
        <f t="shared" si="105"/>
        <v>4</v>
      </c>
      <c r="T208">
        <f t="shared" si="105"/>
        <v>2</v>
      </c>
      <c r="U208" t="e">
        <f t="shared" si="105"/>
        <v>#VALUE!</v>
      </c>
      <c r="V208" t="e">
        <f t="shared" si="105"/>
        <v>#VALUE!</v>
      </c>
      <c r="W208" t="e">
        <f t="shared" si="105"/>
        <v>#VALUE!</v>
      </c>
      <c r="X208" t="e">
        <f t="shared" si="105"/>
        <v>#VALUE!</v>
      </c>
      <c r="Y208" t="e">
        <f t="shared" si="105"/>
        <v>#VALUE!</v>
      </c>
      <c r="Z208" t="e">
        <f t="shared" si="105"/>
        <v>#VALUE!</v>
      </c>
      <c r="AA208" t="e">
        <f t="shared" si="105"/>
        <v>#VALUE!</v>
      </c>
      <c r="AB208" t="e">
        <f t="shared" si="105"/>
        <v>#VALUE!</v>
      </c>
      <c r="AC208" t="e">
        <f t="shared" si="105"/>
        <v>#VALUE!</v>
      </c>
      <c r="AD208" t="e">
        <f t="shared" si="105"/>
        <v>#VALUE!</v>
      </c>
      <c r="AE208" t="e">
        <f t="shared" si="105"/>
        <v>#VALUE!</v>
      </c>
      <c r="AF208" t="e">
        <f t="shared" si="105"/>
        <v>#VALUE!</v>
      </c>
      <c r="AG208" t="e">
        <f t="shared" si="105"/>
        <v>#VALUE!</v>
      </c>
      <c r="AH208" t="e">
        <f t="shared" si="105"/>
        <v>#VALUE!</v>
      </c>
      <c r="AI208" t="e">
        <f t="shared" si="105"/>
        <v>#VALUE!</v>
      </c>
      <c r="AJ208" t="e">
        <f t="shared" si="105"/>
        <v>#VALUE!</v>
      </c>
      <c r="AK208" t="e">
        <f t="shared" si="105"/>
        <v>#VALUE!</v>
      </c>
      <c r="AL208" t="e">
        <f t="shared" si="105"/>
        <v>#VALUE!</v>
      </c>
      <c r="AM208" t="e">
        <f t="shared" si="105"/>
        <v>#VALUE!</v>
      </c>
      <c r="AN208" t="e">
        <f t="shared" si="105"/>
        <v>#VALUE!</v>
      </c>
      <c r="AO208" t="e">
        <f t="shared" si="105"/>
        <v>#VALUE!</v>
      </c>
      <c r="AP208" t="e">
        <f t="shared" si="105"/>
        <v>#VALUE!</v>
      </c>
      <c r="AQ208" t="e">
        <f t="shared" si="105"/>
        <v>#VALUE!</v>
      </c>
      <c r="AR208" t="e">
        <f t="shared" si="105"/>
        <v>#VALUE!</v>
      </c>
      <c r="AS208" t="e">
        <f t="shared" si="105"/>
        <v>#VALUE!</v>
      </c>
      <c r="AT208" t="e">
        <f t="shared" si="105"/>
        <v>#VALUE!</v>
      </c>
      <c r="AU208" t="e">
        <f t="shared" si="105"/>
        <v>#VALUE!</v>
      </c>
      <c r="AV208" t="e">
        <f t="shared" si="105"/>
        <v>#VALUE!</v>
      </c>
      <c r="AW208" t="e">
        <f t="shared" si="105"/>
        <v>#VALUE!</v>
      </c>
      <c r="AX208" t="e">
        <f t="shared" si="105"/>
        <v>#VALUE!</v>
      </c>
      <c r="AY208" t="e">
        <f t="shared" si="105"/>
        <v>#VALUE!</v>
      </c>
      <c r="AZ208" t="e">
        <f t="shared" si="105"/>
        <v>#VALUE!</v>
      </c>
      <c r="BA208" t="e">
        <f t="shared" si="105"/>
        <v>#VALUE!</v>
      </c>
      <c r="BB208" t="e">
        <f t="shared" si="105"/>
        <v>#VALUE!</v>
      </c>
      <c r="BC208" t="e">
        <f t="shared" si="105"/>
        <v>#VALUE!</v>
      </c>
      <c r="BD208" t="e">
        <f t="shared" si="105"/>
        <v>#VALUE!</v>
      </c>
      <c r="BE208" t="e">
        <f t="shared" si="105"/>
        <v>#VALUE!</v>
      </c>
      <c r="BF208" t="e">
        <f t="shared" si="105"/>
        <v>#VALUE!</v>
      </c>
      <c r="BG208" t="e">
        <f t="shared" si="105"/>
        <v>#VALUE!</v>
      </c>
      <c r="BH208" t="e">
        <f t="shared" si="105"/>
        <v>#VALUE!</v>
      </c>
      <c r="BI208" t="e">
        <f t="shared" si="105"/>
        <v>#VALUE!</v>
      </c>
      <c r="BJ208" t="e">
        <f t="shared" si="105"/>
        <v>#VALUE!</v>
      </c>
      <c r="BK208" t="e">
        <f t="shared" si="105"/>
        <v>#VALUE!</v>
      </c>
      <c r="BL208" t="e">
        <f t="shared" si="105"/>
        <v>#VALUE!</v>
      </c>
      <c r="BM208" t="e">
        <f t="shared" si="105"/>
        <v>#VALUE!</v>
      </c>
      <c r="BN208" t="e">
        <f t="shared" si="105"/>
        <v>#VALUE!</v>
      </c>
      <c r="BO208" t="e">
        <f t="shared" si="105"/>
        <v>#VALUE!</v>
      </c>
      <c r="BP208" t="e">
        <f t="shared" ref="BP208:CF208" si="106">LEFT(BP50)+RIGHT(BP50)</f>
        <v>#VALUE!</v>
      </c>
      <c r="BQ208" t="e">
        <f t="shared" si="106"/>
        <v>#VALUE!</v>
      </c>
      <c r="BR208" t="e">
        <f t="shared" si="106"/>
        <v>#VALUE!</v>
      </c>
      <c r="BS208" t="e">
        <f t="shared" si="106"/>
        <v>#VALUE!</v>
      </c>
      <c r="BT208" t="e">
        <f t="shared" si="106"/>
        <v>#VALUE!</v>
      </c>
      <c r="BU208" t="e">
        <f t="shared" si="106"/>
        <v>#VALUE!</v>
      </c>
      <c r="BV208" t="e">
        <f t="shared" si="106"/>
        <v>#VALUE!</v>
      </c>
      <c r="BW208" t="e">
        <f t="shared" si="106"/>
        <v>#VALUE!</v>
      </c>
      <c r="BX208" t="e">
        <f t="shared" si="106"/>
        <v>#VALUE!</v>
      </c>
      <c r="BY208" t="e">
        <f t="shared" si="106"/>
        <v>#VALUE!</v>
      </c>
      <c r="BZ208" t="e">
        <f t="shared" si="106"/>
        <v>#VALUE!</v>
      </c>
      <c r="CA208" t="e">
        <f t="shared" si="106"/>
        <v>#VALUE!</v>
      </c>
      <c r="CB208" t="e">
        <f t="shared" si="106"/>
        <v>#VALUE!</v>
      </c>
      <c r="CC208" t="e">
        <f t="shared" si="106"/>
        <v>#VALUE!</v>
      </c>
      <c r="CD208" t="e">
        <f t="shared" si="106"/>
        <v>#VALUE!</v>
      </c>
      <c r="CE208" t="e">
        <f t="shared" si="106"/>
        <v>#VALUE!</v>
      </c>
      <c r="CF208" t="e">
        <f t="shared" si="106"/>
        <v>#VALUE!</v>
      </c>
      <c r="CG208" t="e">
        <f t="shared" si="101"/>
        <v>#VALUE!</v>
      </c>
      <c r="CH208" t="e">
        <f t="shared" si="101"/>
        <v>#VALUE!</v>
      </c>
      <c r="CI208" t="e">
        <f t="shared" si="101"/>
        <v>#VALUE!</v>
      </c>
      <c r="CJ208" t="e">
        <f t="shared" si="101"/>
        <v>#VALUE!</v>
      </c>
      <c r="CK208" t="e">
        <f t="shared" si="101"/>
        <v>#VALUE!</v>
      </c>
      <c r="CL208" t="e">
        <f t="shared" si="101"/>
        <v>#VALUE!</v>
      </c>
      <c r="CM208" t="e">
        <f t="shared" si="101"/>
        <v>#VALUE!</v>
      </c>
      <c r="CN208" t="e">
        <f t="shared" si="101"/>
        <v>#VALUE!</v>
      </c>
      <c r="CO208" t="e">
        <f t="shared" si="101"/>
        <v>#VALUE!</v>
      </c>
      <c r="CP208" t="e">
        <f t="shared" si="101"/>
        <v>#VALUE!</v>
      </c>
      <c r="CQ208" t="e">
        <f t="shared" si="101"/>
        <v>#VALUE!</v>
      </c>
      <c r="CR208" t="e">
        <f t="shared" si="101"/>
        <v>#VALUE!</v>
      </c>
      <c r="CS208" t="e">
        <f t="shared" si="101"/>
        <v>#VALUE!</v>
      </c>
      <c r="CT208" t="e">
        <f t="shared" si="101"/>
        <v>#VALUE!</v>
      </c>
      <c r="CU208" t="e">
        <f t="shared" si="101"/>
        <v>#VALUE!</v>
      </c>
      <c r="CV208" t="e">
        <f t="shared" si="101"/>
        <v>#VALUE!</v>
      </c>
      <c r="CW208" t="e">
        <f t="shared" si="101"/>
        <v>#VALUE!</v>
      </c>
      <c r="CX208" t="e">
        <f t="shared" si="101"/>
        <v>#VALUE!</v>
      </c>
      <c r="CY208" t="e">
        <f t="shared" si="101"/>
        <v>#VALUE!</v>
      </c>
      <c r="CZ208" t="e">
        <f t="shared" si="101"/>
        <v>#VALUE!</v>
      </c>
      <c r="DA208" t="e">
        <f t="shared" si="101"/>
        <v>#VALUE!</v>
      </c>
      <c r="DB208" t="e">
        <f t="shared" si="102"/>
        <v>#VALUE!</v>
      </c>
      <c r="DC208" t="e">
        <f t="shared" si="102"/>
        <v>#VALUE!</v>
      </c>
      <c r="DD208" t="e">
        <f t="shared" si="102"/>
        <v>#VALUE!</v>
      </c>
      <c r="DE208" t="e">
        <f t="shared" si="102"/>
        <v>#VALUE!</v>
      </c>
      <c r="DF208" t="e">
        <f t="shared" si="102"/>
        <v>#VALUE!</v>
      </c>
      <c r="DG208" t="e">
        <f t="shared" si="102"/>
        <v>#VALUE!</v>
      </c>
      <c r="DH208" t="e">
        <f t="shared" si="102"/>
        <v>#VALUE!</v>
      </c>
      <c r="DI208" t="e">
        <f t="shared" si="102"/>
        <v>#VALUE!</v>
      </c>
    </row>
    <row r="225" spans="1:4">
      <c r="A225" t="s">
        <v>2970</v>
      </c>
    </row>
    <row r="229" spans="1:4">
      <c r="C229" t="s">
        <v>3075</v>
      </c>
      <c r="D229" t="str">
        <f>'Tornooi schema pronostiek'!E10&amp;" - "&amp;'Tornooi schema pronostiek'!H10</f>
        <v>Duitsland - Schotland</v>
      </c>
    </row>
    <row r="230" spans="1:4">
      <c r="C230" t="s">
        <v>3076</v>
      </c>
      <c r="D230" t="str">
        <f>'Tornooi schema pronostiek'!E11&amp;" - "&amp;'Tornooi schema pronostiek'!H11</f>
        <v>Hongarije - Zwitserland</v>
      </c>
    </row>
    <row r="231" spans="1:4">
      <c r="C231" t="s">
        <v>3076</v>
      </c>
      <c r="D231" t="str">
        <f>'Tornooi schema pronostiek'!E12&amp;" - "&amp;'Tornooi schema pronostiek'!H12</f>
        <v>Spanje - Kroatië</v>
      </c>
    </row>
    <row r="232" spans="1:4">
      <c r="C232" t="s">
        <v>3076</v>
      </c>
      <c r="D232" t="str">
        <f>'Tornooi schema pronostiek'!E13&amp;" - "&amp;'Tornooi schema pronostiek'!H13</f>
        <v>Italië - Albanië</v>
      </c>
    </row>
    <row r="233" spans="1:4">
      <c r="C233" t="s">
        <v>3077</v>
      </c>
      <c r="D233" t="str">
        <f>'Tornooi schema pronostiek'!E14&amp;" - "&amp;'Tornooi schema pronostiek'!H14</f>
        <v>Polen - Nederland</v>
      </c>
    </row>
    <row r="234" spans="1:4">
      <c r="C234" t="s">
        <v>3077</v>
      </c>
      <c r="D234" t="str">
        <f>'Tornooi schema pronostiek'!E15&amp;" - "&amp;'Tornooi schema pronostiek'!H15</f>
        <v>Slovenië - Denemarken</v>
      </c>
    </row>
    <row r="235" spans="1:4">
      <c r="C235" t="s">
        <v>3077</v>
      </c>
      <c r="D235" t="str">
        <f>'Tornooi schema pronostiek'!E16&amp;" - "&amp;'Tornooi schema pronostiek'!H16</f>
        <v>Servië - Engeland</v>
      </c>
    </row>
    <row r="236" spans="1:4">
      <c r="C236" t="s">
        <v>3078</v>
      </c>
      <c r="D236" t="str">
        <f>'Tornooi schema pronostiek'!E17&amp;" - "&amp;'Tornooi schema pronostiek'!H17</f>
        <v>Roemenië - Oekraïne</v>
      </c>
    </row>
    <row r="237" spans="1:4">
      <c r="C237" t="s">
        <v>3078</v>
      </c>
      <c r="D237" t="str">
        <f>'Tornooi schema pronostiek'!E18&amp;" - "&amp;'Tornooi schema pronostiek'!H18</f>
        <v>België - Slowakije</v>
      </c>
    </row>
    <row r="238" spans="1:4">
      <c r="C238" t="s">
        <v>3078</v>
      </c>
      <c r="D238" t="str">
        <f>'Tornooi schema pronostiek'!E19&amp;" - "&amp;'Tornooi schema pronostiek'!H19</f>
        <v>Oostenrijk - Frankrijk</v>
      </c>
    </row>
    <row r="239" spans="1:4">
      <c r="C239" t="s">
        <v>3079</v>
      </c>
      <c r="D239" t="str">
        <f>'Tornooi schema pronostiek'!E20&amp;" - "&amp;'Tornooi schema pronostiek'!H20</f>
        <v>Turkije - Georgië</v>
      </c>
    </row>
    <row r="240" spans="1:4">
      <c r="C240" t="s">
        <v>3079</v>
      </c>
      <c r="D240" t="str">
        <f>'Tornooi schema pronostiek'!E21&amp;" - "&amp;'Tornooi schema pronostiek'!H21</f>
        <v>Portugal - Tsjechische Republiek</v>
      </c>
    </row>
    <row r="241" spans="3:4">
      <c r="C241" t="s">
        <v>3080</v>
      </c>
      <c r="D241" t="str">
        <f>'Tornooi schema pronostiek'!E22&amp;" - "&amp;'Tornooi schema pronostiek'!H22</f>
        <v>Kroatië - Albanië</v>
      </c>
    </row>
    <row r="242" spans="3:4">
      <c r="C242" t="s">
        <v>3080</v>
      </c>
      <c r="D242" t="str">
        <f>'Tornooi schema pronostiek'!E23&amp;" - "&amp;'Tornooi schema pronostiek'!H23</f>
        <v>Duitsland - Hongarije</v>
      </c>
    </row>
    <row r="243" spans="3:4">
      <c r="C243" t="s">
        <v>3080</v>
      </c>
      <c r="D243" t="str">
        <f>'Tornooi schema pronostiek'!E24&amp;" - "&amp;'Tornooi schema pronostiek'!H24</f>
        <v>Schotland - Zwitserland</v>
      </c>
    </row>
    <row r="244" spans="3:4">
      <c r="C244" t="s">
        <v>3081</v>
      </c>
      <c r="D244" t="str">
        <f>'Tornooi schema pronostiek'!E25&amp;" - "&amp;'Tornooi schema pronostiek'!H25</f>
        <v>Slovenië - Servië</v>
      </c>
    </row>
    <row r="245" spans="3:4">
      <c r="C245" t="s">
        <v>3081</v>
      </c>
      <c r="D245" t="str">
        <f>'Tornooi schema pronostiek'!E26&amp;" - "&amp;'Tornooi schema pronostiek'!H26</f>
        <v>Denemarken - Engeland</v>
      </c>
    </row>
    <row r="246" spans="3:4">
      <c r="C246" t="s">
        <v>3081</v>
      </c>
      <c r="D246" t="str">
        <f>'Tornooi schema pronostiek'!E27&amp;" - "&amp;'Tornooi schema pronostiek'!H27</f>
        <v>Spanje - Italië</v>
      </c>
    </row>
    <row r="247" spans="3:4">
      <c r="C247" t="s">
        <v>3082</v>
      </c>
      <c r="D247" t="str">
        <f>'Tornooi schema pronostiek'!E28&amp;" - "&amp;'Tornooi schema pronostiek'!H28</f>
        <v>Slowakije - Oekraïne</v>
      </c>
    </row>
    <row r="248" spans="3:4">
      <c r="C248" t="s">
        <v>3082</v>
      </c>
      <c r="D248" t="str">
        <f>'Tornooi schema pronostiek'!E29&amp;" - "&amp;'Tornooi schema pronostiek'!H29</f>
        <v>Polen - Oostenrijk</v>
      </c>
    </row>
    <row r="249" spans="3:4">
      <c r="C249" t="s">
        <v>3082</v>
      </c>
      <c r="D249" t="str">
        <f>'Tornooi schema pronostiek'!E30&amp;" - "&amp;'Tornooi schema pronostiek'!H30</f>
        <v>Nederland - Frankrijk</v>
      </c>
    </row>
    <row r="250" spans="3:4">
      <c r="C250" t="s">
        <v>3083</v>
      </c>
      <c r="D250" t="str">
        <f>'Tornooi schema pronostiek'!E31&amp;" - "&amp;'Tornooi schema pronostiek'!H31</f>
        <v>Georgië - Tsjechische Republiek</v>
      </c>
    </row>
    <row r="251" spans="3:4">
      <c r="C251" t="s">
        <v>3083</v>
      </c>
      <c r="D251" t="str">
        <f>'Tornooi schema pronostiek'!E32&amp;" - "&amp;'Tornooi schema pronostiek'!H32</f>
        <v>Turkije - Portugal</v>
      </c>
    </row>
    <row r="252" spans="3:4">
      <c r="C252" t="s">
        <v>3083</v>
      </c>
      <c r="D252" t="str">
        <f>'Tornooi schema pronostiek'!E33&amp;" - "&amp;'Tornooi schema pronostiek'!H33</f>
        <v>België - Roemenië</v>
      </c>
    </row>
    <row r="253" spans="3:4">
      <c r="C253" t="s">
        <v>3084</v>
      </c>
      <c r="D253" t="str">
        <f>'Tornooi schema pronostiek'!E34&amp;" - "&amp;'Tornooi schema pronostiek'!H34</f>
        <v>Zwitserland - Duitsland</v>
      </c>
    </row>
    <row r="254" spans="3:4">
      <c r="C254" t="s">
        <v>3084</v>
      </c>
      <c r="D254" t="str">
        <f>'Tornooi schema pronostiek'!E35&amp;" - "&amp;'Tornooi schema pronostiek'!H35</f>
        <v>Schotland - Hongarije</v>
      </c>
    </row>
    <row r="255" spans="3:4">
      <c r="C255" t="s">
        <v>3085</v>
      </c>
      <c r="D255" t="str">
        <f>'Tornooi schema pronostiek'!E36&amp;" - "&amp;'Tornooi schema pronostiek'!H36</f>
        <v>Albanië - Spanje</v>
      </c>
    </row>
    <row r="256" spans="3:4">
      <c r="C256" t="s">
        <v>3085</v>
      </c>
      <c r="D256" t="str">
        <f>'Tornooi schema pronostiek'!E37&amp;" - "&amp;'Tornooi schema pronostiek'!H37</f>
        <v>Kroatië - Italië</v>
      </c>
    </row>
    <row r="257" spans="1:46">
      <c r="C257" t="s">
        <v>3086</v>
      </c>
      <c r="D257" t="str">
        <f>'Tornooi schema pronostiek'!E38&amp;" - "&amp;'Tornooi schema pronostiek'!H38</f>
        <v>Nederland - Oostenrijk</v>
      </c>
    </row>
    <row r="258" spans="1:46">
      <c r="C258" t="s">
        <v>3086</v>
      </c>
      <c r="D258" t="str">
        <f>'Tornooi schema pronostiek'!E39&amp;" - "&amp;'Tornooi schema pronostiek'!H39</f>
        <v>Frankrijk - Polen</v>
      </c>
    </row>
    <row r="259" spans="1:46">
      <c r="C259" t="s">
        <v>3086</v>
      </c>
      <c r="D259" t="str">
        <f>'Tornooi schema pronostiek'!E40&amp;" - "&amp;'Tornooi schema pronostiek'!H40</f>
        <v>Engeland - Slovenië</v>
      </c>
    </row>
    <row r="260" spans="1:46">
      <c r="C260" t="s">
        <v>3086</v>
      </c>
      <c r="D260" t="str">
        <f>'Tornooi schema pronostiek'!E41&amp;" - "&amp;'Tornooi schema pronostiek'!H41</f>
        <v>Denemarken - Servië</v>
      </c>
    </row>
    <row r="261" spans="1:46">
      <c r="C261" t="s">
        <v>3087</v>
      </c>
      <c r="D261" t="str">
        <f>'Tornooi schema pronostiek'!E42&amp;" - "&amp;'Tornooi schema pronostiek'!H42</f>
        <v>Slowakije - Roemenië</v>
      </c>
    </row>
    <row r="262" spans="1:46">
      <c r="C262" t="s">
        <v>3087</v>
      </c>
      <c r="D262" t="str">
        <f>'Tornooi schema pronostiek'!E43&amp;" - "&amp;'Tornooi schema pronostiek'!H43</f>
        <v>Oekraïne - België</v>
      </c>
    </row>
    <row r="263" spans="1:46">
      <c r="C263" t="s">
        <v>3087</v>
      </c>
      <c r="D263" t="str">
        <f>'Tornooi schema pronostiek'!E44&amp;" - "&amp;'Tornooi schema pronostiek'!H44</f>
        <v>Georgië - Portugal</v>
      </c>
    </row>
    <row r="264" spans="1:46">
      <c r="C264" t="s">
        <v>3087</v>
      </c>
      <c r="D264" t="str">
        <f>'Tornooi schema pronostiek'!E45&amp;" - "&amp;'Tornooi schema pronostiek'!H45</f>
        <v>Tsjechische Republiek - Turkije</v>
      </c>
    </row>
    <row r="267" spans="1:46" s="161" customFormat="1" ht="32">
      <c r="E267" s="162" t="str">
        <f>E14</f>
        <v>Sam</v>
      </c>
      <c r="F267" s="162" t="str">
        <f t="shared" ref="F267:AT267" si="107">F14</f>
        <v>Matthias</v>
      </c>
      <c r="G267" s="162" t="str">
        <f t="shared" si="107"/>
        <v>Billy</v>
      </c>
      <c r="H267" s="162" t="str">
        <f t="shared" si="107"/>
        <v>Timon</v>
      </c>
      <c r="I267" s="162" t="str">
        <f t="shared" si="107"/>
        <v>Bavo</v>
      </c>
      <c r="J267" s="162" t="str">
        <f t="shared" si="107"/>
        <v>Lowie</v>
      </c>
      <c r="K267" s="162" t="str">
        <f t="shared" si="107"/>
        <v>Stijn</v>
      </c>
      <c r="L267" s="162" t="str">
        <f t="shared" si="107"/>
        <v>Tom</v>
      </c>
      <c r="M267" s="162" t="str">
        <f t="shared" si="107"/>
        <v>Cas</v>
      </c>
      <c r="N267" s="162" t="str">
        <f t="shared" si="107"/>
        <v>Dean</v>
      </c>
      <c r="O267" s="162" t="str">
        <f t="shared" si="107"/>
        <v>Jannes</v>
      </c>
      <c r="P267" s="162" t="str">
        <f t="shared" si="107"/>
        <v>Jens</v>
      </c>
      <c r="Q267" s="162" t="str">
        <f t="shared" si="107"/>
        <v>Louis</v>
      </c>
      <c r="R267" s="162" t="str">
        <f t="shared" si="107"/>
        <v>Ruben</v>
      </c>
      <c r="S267" s="162" t="str">
        <f t="shared" si="107"/>
        <v>Karl</v>
      </c>
      <c r="T267" s="162" t="str">
        <f t="shared" si="107"/>
        <v>Seppe</v>
      </c>
      <c r="U267" s="162" t="str">
        <f t="shared" si="107"/>
        <v>deelnemer 17</v>
      </c>
      <c r="V267" s="162" t="str">
        <f t="shared" si="107"/>
        <v>deelnemer 18</v>
      </c>
      <c r="W267" s="162" t="str">
        <f t="shared" si="107"/>
        <v>deelnemer 19</v>
      </c>
      <c r="X267" s="162" t="str">
        <f t="shared" si="107"/>
        <v>deelnemer 20</v>
      </c>
      <c r="Y267" s="162" t="str">
        <f t="shared" si="107"/>
        <v>deelnemer 21</v>
      </c>
      <c r="Z267" s="162" t="str">
        <f t="shared" si="107"/>
        <v>deelnemer 22</v>
      </c>
      <c r="AA267" s="162" t="str">
        <f t="shared" si="107"/>
        <v>deelnemer 23</v>
      </c>
      <c r="AB267" s="162" t="str">
        <f t="shared" si="107"/>
        <v>deelnemer 24</v>
      </c>
      <c r="AC267" s="162" t="str">
        <f t="shared" si="107"/>
        <v>deelnemer 25</v>
      </c>
      <c r="AD267" s="162" t="str">
        <f t="shared" si="107"/>
        <v>deelnemer 26</v>
      </c>
      <c r="AE267" s="162" t="str">
        <f t="shared" si="107"/>
        <v>deelnemer 27</v>
      </c>
      <c r="AF267" s="162" t="str">
        <f t="shared" si="107"/>
        <v>deelnemer 28</v>
      </c>
      <c r="AG267" s="162" t="str">
        <f t="shared" si="107"/>
        <v>deelnemer 29</v>
      </c>
      <c r="AH267" s="162" t="str">
        <f t="shared" si="107"/>
        <v>deelnemer 30</v>
      </c>
      <c r="AI267" s="162" t="str">
        <f t="shared" si="107"/>
        <v>deelnemer 31</v>
      </c>
      <c r="AJ267" s="162" t="str">
        <f t="shared" si="107"/>
        <v>deelnemer 32</v>
      </c>
      <c r="AK267" s="162" t="str">
        <f t="shared" si="107"/>
        <v>deelnemer 33</v>
      </c>
      <c r="AL267" s="162" t="str">
        <f t="shared" si="107"/>
        <v>deelnemer 34</v>
      </c>
      <c r="AM267" s="162" t="str">
        <f t="shared" si="107"/>
        <v>deelnemer 35</v>
      </c>
      <c r="AN267" s="162" t="str">
        <f t="shared" si="107"/>
        <v>deelnemer 36</v>
      </c>
      <c r="AO267" s="162" t="str">
        <f t="shared" si="107"/>
        <v>deelnemer 37</v>
      </c>
      <c r="AP267" s="162" t="str">
        <f t="shared" si="107"/>
        <v>deelnemer 38</v>
      </c>
      <c r="AQ267" s="162" t="str">
        <f t="shared" si="107"/>
        <v>deelnemer 39</v>
      </c>
      <c r="AR267" s="162" t="str">
        <f t="shared" si="107"/>
        <v>deelnemer 40</v>
      </c>
      <c r="AS267" s="162" t="str">
        <f t="shared" si="107"/>
        <v>deelnemer 41</v>
      </c>
      <c r="AT267" s="162" t="str">
        <f t="shared" si="107"/>
        <v>deelnemer 42</v>
      </c>
    </row>
    <row r="268" spans="1:46" s="161" customFormat="1" ht="15">
      <c r="A268" s="163" t="s">
        <v>1468</v>
      </c>
      <c r="B268" s="164" t="s">
        <v>2971</v>
      </c>
      <c r="C268" s="165" t="s">
        <v>1399</v>
      </c>
      <c r="E268" s="166" t="str">
        <f>IF(LEFT(Berekening!E15,1)&gt;RIGHT(Berekening!E15,1),$A268,IF(LEFT(Berekening!E15,1)&lt;RIGHT(Berekening!E15,1),$C268,"gelijkspel"))</f>
        <v>Duitsland</v>
      </c>
      <c r="F268" s="166" t="str">
        <f>IF(LEFT(Berekening!F15,1)&gt;RIGHT(Berekening!F15,1),$A268,IF(LEFT(Berekening!F15,1)&lt;RIGHT(Berekening!F15,1),$C268,"gelijkspel"))</f>
        <v>Duitsland</v>
      </c>
      <c r="G268" s="166" t="str">
        <f>IF(LEFT(Berekening!G15,1)&gt;RIGHT(Berekening!G15,1),$A268,IF(LEFT(Berekening!G15,1)&lt;RIGHT(Berekening!G15,1),$C268,"gelijkspel"))</f>
        <v>Duitsland</v>
      </c>
      <c r="H268" s="166" t="str">
        <f>IF(LEFT(Berekening!H15,1)&gt;RIGHT(Berekening!H15,1),$A268,IF(LEFT(Berekening!H15,1)&lt;RIGHT(Berekening!H15,1),$C268,"gelijkspel"))</f>
        <v>Duitsland</v>
      </c>
      <c r="I268" s="166" t="str">
        <f>IF(LEFT(Berekening!I15,1)&gt;RIGHT(Berekening!I15,1),$A268,IF(LEFT(Berekening!I15,1)&lt;RIGHT(Berekening!I15,1),$C268,"gelijkspel"))</f>
        <v>Duitsland</v>
      </c>
      <c r="J268" s="166" t="str">
        <f>IF(LEFT(Berekening!J15,1)&gt;RIGHT(Berekening!J15,1),$A268,IF(LEFT(Berekening!J15,1)&lt;RIGHT(Berekening!J15,1),$C268,"gelijkspel"))</f>
        <v>Duitsland</v>
      </c>
      <c r="K268" s="166" t="str">
        <f>IF(LEFT(Berekening!K15,1)&gt;RIGHT(Berekening!K15,1),$A268,IF(LEFT(Berekening!K15,1)&lt;RIGHT(Berekening!K15,1),$C268,"gelijkspel"))</f>
        <v>Duitsland</v>
      </c>
      <c r="L268" s="166" t="str">
        <f>IF(LEFT(Berekening!L15,1)&gt;RIGHT(Berekening!L15,1),$A268,IF(LEFT(Berekening!L15,1)&lt;RIGHT(Berekening!L15,1),$C268,"gelijkspel"))</f>
        <v>Duitsland</v>
      </c>
      <c r="M268" s="166" t="str">
        <f>IF(LEFT(Berekening!M15,1)&gt;RIGHT(Berekening!M15,1),$A268,IF(LEFT(Berekening!M15,1)&lt;RIGHT(Berekening!M15,1),$C268,"gelijkspel"))</f>
        <v>Duitsland</v>
      </c>
      <c r="N268" s="166" t="str">
        <f>IF(LEFT(Berekening!N15,1)&gt;RIGHT(Berekening!N15,1),$A268,IF(LEFT(Berekening!N15,1)&lt;RIGHT(Berekening!N15,1),$C268,"gelijkspel"))</f>
        <v>Duitsland</v>
      </c>
      <c r="O268" s="166" t="str">
        <f>IF(LEFT(Berekening!O15,1)&gt;RIGHT(Berekening!O15,1),$A268,IF(LEFT(Berekening!O15,1)&lt;RIGHT(Berekening!O15,1),$C268,"gelijkspel"))</f>
        <v>Duitsland</v>
      </c>
      <c r="P268" s="166" t="str">
        <f>IF(LEFT(Berekening!P15,1)&gt;RIGHT(Berekening!P15,1),$A268,IF(LEFT(Berekening!P15,1)&lt;RIGHT(Berekening!P15,1),$C268,"gelijkspel"))</f>
        <v>Duitsland</v>
      </c>
      <c r="Q268" s="166" t="str">
        <f>IF(LEFT(Berekening!Q15,1)&gt;RIGHT(Berekening!Q15,1),$A268,IF(LEFT(Berekening!Q15,1)&lt;RIGHT(Berekening!Q15,1),$C268,"gelijkspel"))</f>
        <v>Duitsland</v>
      </c>
      <c r="R268" s="166" t="str">
        <f>IF(LEFT(Berekening!R15,1)&gt;RIGHT(Berekening!R15,1),$A268,IF(LEFT(Berekening!R15,1)&lt;RIGHT(Berekening!R15,1),$C268,"gelijkspel"))</f>
        <v>Duitsland</v>
      </c>
      <c r="S268" s="166" t="str">
        <f>IF(LEFT(Berekening!S15,1)&gt;RIGHT(Berekening!S15,1),$A268,IF(LEFT(Berekening!S15,1)&lt;RIGHT(Berekening!S15,1),$C268,"gelijkspel"))</f>
        <v>Duitsland</v>
      </c>
      <c r="T268" s="166" t="str">
        <f>IF(LEFT(Berekening!T15,1)&gt;RIGHT(Berekening!T15,1),$A268,IF(LEFT(Berekening!T15,1)&lt;RIGHT(Berekening!T15,1),$C268,"gelijkspel"))</f>
        <v>Duitsland</v>
      </c>
      <c r="U268" s="166" t="str">
        <f>IF(LEFT(Berekening!U15,1)&gt;RIGHT(Berekening!U15,1),$A268,IF(LEFT(Berekening!U15,1)&lt;RIGHT(Berekening!U15,1),$C268,"gelijkspel"))</f>
        <v>gelijkspel</v>
      </c>
      <c r="V268" s="166" t="str">
        <f>IF(LEFT(Berekening!V15,1)&gt;RIGHT(Berekening!V15,1),$A268,IF(LEFT(Berekening!V15,1)&lt;RIGHT(Berekening!V15,1),$C268,"gelijkspel"))</f>
        <v>gelijkspel</v>
      </c>
      <c r="W268" s="166" t="str">
        <f>IF(LEFT(Berekening!W15,1)&gt;RIGHT(Berekening!W15,1),$A268,IF(LEFT(Berekening!W15,1)&lt;RIGHT(Berekening!W15,1),$C268,"gelijkspel"))</f>
        <v>gelijkspel</v>
      </c>
      <c r="X268" s="166" t="str">
        <f>IF(LEFT(Berekening!X15,1)&gt;RIGHT(Berekening!X15,1),$A268,IF(LEFT(Berekening!X15,1)&lt;RIGHT(Berekening!X15,1),$C268,"gelijkspel"))</f>
        <v>gelijkspel</v>
      </c>
      <c r="Y268" s="166" t="str">
        <f>IF(LEFT(Berekening!Y15,1)&gt;RIGHT(Berekening!Y15,1),$A268,IF(LEFT(Berekening!Y15,1)&lt;RIGHT(Berekening!Y15,1),$C268,"gelijkspel"))</f>
        <v>gelijkspel</v>
      </c>
      <c r="Z268" s="166" t="str">
        <f>IF(LEFT(Berekening!Z15,1)&gt;RIGHT(Berekening!Z15,1),$A268,IF(LEFT(Berekening!Z15,1)&lt;RIGHT(Berekening!Z15,1),$C268,"gelijkspel"))</f>
        <v>gelijkspel</v>
      </c>
      <c r="AA268" s="166" t="str">
        <f>IF(LEFT(Berekening!AA15,1)&gt;RIGHT(Berekening!AA15,1),$A268,IF(LEFT(Berekening!AA15,1)&lt;RIGHT(Berekening!AA15,1),$C268,"gelijkspel"))</f>
        <v>gelijkspel</v>
      </c>
      <c r="AB268" s="166" t="str">
        <f>IF(LEFT(Berekening!AB15,1)&gt;RIGHT(Berekening!AB15,1),$A268,IF(LEFT(Berekening!AB15,1)&lt;RIGHT(Berekening!AB15,1),$C268,"gelijkspel"))</f>
        <v>gelijkspel</v>
      </c>
      <c r="AC268" s="166" t="str">
        <f>IF(LEFT(Berekening!AC15,1)&gt;RIGHT(Berekening!AC15,1),$A268,IF(LEFT(Berekening!AC15,1)&lt;RIGHT(Berekening!AC15,1),$C268,"gelijkspel"))</f>
        <v>gelijkspel</v>
      </c>
      <c r="AD268" s="166" t="str">
        <f>IF(LEFT(Berekening!AD15,1)&gt;RIGHT(Berekening!AD15,1),$A268,IF(LEFT(Berekening!AD15,1)&lt;RIGHT(Berekening!AD15,1),$C268,"gelijkspel"))</f>
        <v>gelijkspel</v>
      </c>
      <c r="AE268" s="166" t="str">
        <f>IF(LEFT(Berekening!AE15,1)&gt;RIGHT(Berekening!AE15,1),$A268,IF(LEFT(Berekening!AE15,1)&lt;RIGHT(Berekening!AE15,1),$C268,"gelijkspel"))</f>
        <v>gelijkspel</v>
      </c>
      <c r="AF268" s="166" t="str">
        <f>IF(LEFT(Berekening!AF15,1)&gt;RIGHT(Berekening!AF15,1),$A268,IF(LEFT(Berekening!AF15,1)&lt;RIGHT(Berekening!AF15,1),$C268,"gelijkspel"))</f>
        <v>gelijkspel</v>
      </c>
      <c r="AG268" s="166" t="str">
        <f>IF(LEFT(Berekening!AG15,1)&gt;RIGHT(Berekening!AG15,1),$A268,IF(LEFT(Berekening!AG15,1)&lt;RIGHT(Berekening!AG15,1),$C268,"gelijkspel"))</f>
        <v>gelijkspel</v>
      </c>
      <c r="AH268" s="166" t="str">
        <f>IF(LEFT(Berekening!AH15,1)&gt;RIGHT(Berekening!AH15,1),$A268,IF(LEFT(Berekening!AH15,1)&lt;RIGHT(Berekening!AH15,1),$C268,"gelijkspel"))</f>
        <v>gelijkspel</v>
      </c>
      <c r="AI268" s="166" t="str">
        <f>IF(LEFT(Berekening!AI15,1)&gt;RIGHT(Berekening!AI15,1),$A268,IF(LEFT(Berekening!AI15,1)&lt;RIGHT(Berekening!AI15,1),$C268,"gelijkspel"))</f>
        <v>gelijkspel</v>
      </c>
      <c r="AJ268" s="166" t="str">
        <f>IF(LEFT(Berekening!AJ15,1)&gt;RIGHT(Berekening!AJ15,1),$A268,IF(LEFT(Berekening!AJ15,1)&lt;RIGHT(Berekening!AJ15,1),$C268,"gelijkspel"))</f>
        <v>gelijkspel</v>
      </c>
      <c r="AK268" s="166" t="str">
        <f>IF(LEFT(Berekening!AK15,1)&gt;RIGHT(Berekening!AK15,1),$A268,IF(LEFT(Berekening!AK15,1)&lt;RIGHT(Berekening!AK15,1),$C268,"gelijkspel"))</f>
        <v>gelijkspel</v>
      </c>
      <c r="AL268" s="166" t="str">
        <f>IF(LEFT(Berekening!AL15,1)&gt;RIGHT(Berekening!AL15,1),$A268,IF(LEFT(Berekening!AL15,1)&lt;RIGHT(Berekening!AL15,1),$C268,"gelijkspel"))</f>
        <v>gelijkspel</v>
      </c>
      <c r="AM268" s="166" t="str">
        <f>IF(LEFT(Berekening!AM15,1)&gt;RIGHT(Berekening!AM15,1),$A268,IF(LEFT(Berekening!AM15,1)&lt;RIGHT(Berekening!AM15,1),$C268,"gelijkspel"))</f>
        <v>gelijkspel</v>
      </c>
      <c r="AN268" s="166" t="str">
        <f>IF(LEFT(Berekening!AN15,1)&gt;RIGHT(Berekening!AN15,1),$A268,IF(LEFT(Berekening!AN15,1)&lt;RIGHT(Berekening!AN15,1),$C268,"gelijkspel"))</f>
        <v>gelijkspel</v>
      </c>
      <c r="AO268" s="166" t="str">
        <f>IF(LEFT(Berekening!AO15,1)&gt;RIGHT(Berekening!AO15,1),$A268,IF(LEFT(Berekening!AO15,1)&lt;RIGHT(Berekening!AO15,1),$C268,"gelijkspel"))</f>
        <v>gelijkspel</v>
      </c>
      <c r="AP268" s="166" t="str">
        <f>IF(LEFT(Berekening!AP15,1)&gt;RIGHT(Berekening!AP15,1),$A268,IF(LEFT(Berekening!AP15,1)&lt;RIGHT(Berekening!AP15,1),$C268,"gelijkspel"))</f>
        <v>gelijkspel</v>
      </c>
      <c r="AQ268" s="166" t="str">
        <f>IF(LEFT(Berekening!AQ15,1)&gt;RIGHT(Berekening!AQ15,1),$A268,IF(LEFT(Berekening!AQ15,1)&lt;RIGHT(Berekening!AQ15,1),$C268,"gelijkspel"))</f>
        <v>gelijkspel</v>
      </c>
      <c r="AR268" s="166" t="str">
        <f>IF(LEFT(Berekening!AR15,1)&gt;RIGHT(Berekening!AR15,1),$A268,IF(LEFT(Berekening!AR15,1)&lt;RIGHT(Berekening!AR15,1),$C268,"gelijkspel"))</f>
        <v>gelijkspel</v>
      </c>
      <c r="AS268" s="166" t="str">
        <f>IF(LEFT(Berekening!AS15,1)&gt;RIGHT(Berekening!AS15,1),$A268,IF(LEFT(Berekening!AS15,1)&lt;RIGHT(Berekening!AS15,1),$C268,"gelijkspel"))</f>
        <v>gelijkspel</v>
      </c>
      <c r="AT268" s="166" t="str">
        <f>IF(LEFT(Berekening!AT15,1)&gt;RIGHT(Berekening!AT15,1),$A268,IF(LEFT(Berekening!AT15,1)&lt;RIGHT(Berekening!AT15,1),$C268,"gelijkspel"))</f>
        <v>gelijkspel</v>
      </c>
    </row>
    <row r="269" spans="1:46" s="161" customFormat="1" ht="15">
      <c r="A269" s="163" t="s">
        <v>1168</v>
      </c>
      <c r="B269" s="164" t="s">
        <v>2971</v>
      </c>
      <c r="C269" s="165" t="s">
        <v>1608</v>
      </c>
      <c r="E269" s="166" t="str">
        <f>IF(LEFT(Berekening!E16,1)&gt;RIGHT(Berekening!E16,1),$A269,IF(LEFT(Berekening!E16,1)&lt;RIGHT(Berekening!E16,1),$C269,"gelijkspel"))</f>
        <v>Zwitserland</v>
      </c>
      <c r="F269" s="166" t="str">
        <f>IF(LEFT(Berekening!F16,1)&gt;RIGHT(Berekening!F16,1),$A269,IF(LEFT(Berekening!F16,1)&lt;RIGHT(Berekening!F16,1),$C269,"gelijkspel"))</f>
        <v>gelijkspel</v>
      </c>
      <c r="G269" s="166" t="str">
        <f>IF(LEFT(Berekening!G16,1)&gt;RIGHT(Berekening!G16,1),$A269,IF(LEFT(Berekening!G16,1)&lt;RIGHT(Berekening!G16,1),$C269,"gelijkspel"))</f>
        <v>Zwitserland</v>
      </c>
      <c r="H269" s="166" t="str">
        <f>IF(LEFT(Berekening!H16,1)&gt;RIGHT(Berekening!H16,1),$A269,IF(LEFT(Berekening!H16,1)&lt;RIGHT(Berekening!H16,1),$C269,"gelijkspel"))</f>
        <v>Zwitserland</v>
      </c>
      <c r="I269" s="166" t="str">
        <f>IF(LEFT(Berekening!I16,1)&gt;RIGHT(Berekening!I16,1),$A269,IF(LEFT(Berekening!I16,1)&lt;RIGHT(Berekening!I16,1),$C269,"gelijkspel"))</f>
        <v>Hongarije</v>
      </c>
      <c r="J269" s="166" t="str">
        <f>IF(LEFT(Berekening!J16,1)&gt;RIGHT(Berekening!J16,1),$A269,IF(LEFT(Berekening!J16,1)&lt;RIGHT(Berekening!J16,1),$C269,"gelijkspel"))</f>
        <v>Hongarije</v>
      </c>
      <c r="K269" s="166" t="str">
        <f>IF(LEFT(Berekening!K16,1)&gt;RIGHT(Berekening!K16,1),$A269,IF(LEFT(Berekening!K16,1)&lt;RIGHT(Berekening!K16,1),$C269,"gelijkspel"))</f>
        <v>Hongarije</v>
      </c>
      <c r="L269" s="166" t="str">
        <f>IF(LEFT(Berekening!L16,1)&gt;RIGHT(Berekening!L16,1),$A269,IF(LEFT(Berekening!L16,1)&lt;RIGHT(Berekening!L16,1),$C269,"gelijkspel"))</f>
        <v>Zwitserland</v>
      </c>
      <c r="M269" s="166" t="str">
        <f>IF(LEFT(Berekening!M16,1)&gt;RIGHT(Berekening!M16,1),$A269,IF(LEFT(Berekening!M16,1)&lt;RIGHT(Berekening!M16,1),$C269,"gelijkspel"))</f>
        <v>Zwitserland</v>
      </c>
      <c r="N269" s="166" t="str">
        <f>IF(LEFT(Berekening!N16,1)&gt;RIGHT(Berekening!N16,1),$A269,IF(LEFT(Berekening!N16,1)&lt;RIGHT(Berekening!N16,1),$C269,"gelijkspel"))</f>
        <v>Hongarije</v>
      </c>
      <c r="O269" s="166" t="str">
        <f>IF(LEFT(Berekening!O16,1)&gt;RIGHT(Berekening!O16,1),$A269,IF(LEFT(Berekening!O16,1)&lt;RIGHT(Berekening!O16,1),$C269,"gelijkspel"))</f>
        <v>Zwitserland</v>
      </c>
      <c r="P269" s="166" t="str">
        <f>IF(LEFT(Berekening!P16,1)&gt;RIGHT(Berekening!P16,1),$A269,IF(LEFT(Berekening!P16,1)&lt;RIGHT(Berekening!P16,1),$C269,"gelijkspel"))</f>
        <v>Zwitserland</v>
      </c>
      <c r="Q269" s="166" t="str">
        <f>IF(LEFT(Berekening!Q16,1)&gt;RIGHT(Berekening!Q16,1),$A269,IF(LEFT(Berekening!Q16,1)&lt;RIGHT(Berekening!Q16,1),$C269,"gelijkspel"))</f>
        <v>Zwitserland</v>
      </c>
      <c r="R269" s="166" t="str">
        <f>IF(LEFT(Berekening!R16,1)&gt;RIGHT(Berekening!R16,1),$A269,IF(LEFT(Berekening!R16,1)&lt;RIGHT(Berekening!R16,1),$C269,"gelijkspel"))</f>
        <v>Zwitserland</v>
      </c>
      <c r="S269" s="166" t="str">
        <f>IF(LEFT(Berekening!S16,1)&gt;RIGHT(Berekening!S16,1),$A269,IF(LEFT(Berekening!S16,1)&lt;RIGHT(Berekening!S16,1),$C269,"gelijkspel"))</f>
        <v>gelijkspel</v>
      </c>
      <c r="T269" s="166" t="str">
        <f>IF(LEFT(Berekening!T16,1)&gt;RIGHT(Berekening!T16,1),$A269,IF(LEFT(Berekening!T16,1)&lt;RIGHT(Berekening!T16,1),$C269,"gelijkspel"))</f>
        <v>gelijkspel</v>
      </c>
      <c r="U269" s="166" t="str">
        <f>IF(LEFT(Berekening!U16,1)&gt;RIGHT(Berekening!U16,1),$A269,IF(LEFT(Berekening!U16,1)&lt;RIGHT(Berekening!U16,1),$C269,"gelijkspel"))</f>
        <v>gelijkspel</v>
      </c>
      <c r="V269" s="166" t="str">
        <f>IF(LEFT(Berekening!V16,1)&gt;RIGHT(Berekening!V16,1),$A269,IF(LEFT(Berekening!V16,1)&lt;RIGHT(Berekening!V16,1),$C269,"gelijkspel"))</f>
        <v>gelijkspel</v>
      </c>
      <c r="W269" s="166" t="str">
        <f>IF(LEFT(Berekening!W16,1)&gt;RIGHT(Berekening!W16,1),$A269,IF(LEFT(Berekening!W16,1)&lt;RIGHT(Berekening!W16,1),$C269,"gelijkspel"))</f>
        <v>gelijkspel</v>
      </c>
      <c r="X269" s="166" t="str">
        <f>IF(LEFT(Berekening!X16,1)&gt;RIGHT(Berekening!X16,1),$A269,IF(LEFT(Berekening!X16,1)&lt;RIGHT(Berekening!X16,1),$C269,"gelijkspel"))</f>
        <v>gelijkspel</v>
      </c>
      <c r="Y269" s="166" t="str">
        <f>IF(LEFT(Berekening!Y16,1)&gt;RIGHT(Berekening!Y16,1),$A269,IF(LEFT(Berekening!Y16,1)&lt;RIGHT(Berekening!Y16,1),$C269,"gelijkspel"))</f>
        <v>gelijkspel</v>
      </c>
      <c r="Z269" s="166" t="str">
        <f>IF(LEFT(Berekening!Z16,1)&gt;RIGHT(Berekening!Z16,1),$A269,IF(LEFT(Berekening!Z16,1)&lt;RIGHT(Berekening!Z16,1),$C269,"gelijkspel"))</f>
        <v>gelijkspel</v>
      </c>
      <c r="AA269" s="166" t="str">
        <f>IF(LEFT(Berekening!AA16,1)&gt;RIGHT(Berekening!AA16,1),$A269,IF(LEFT(Berekening!AA16,1)&lt;RIGHT(Berekening!AA16,1),$C269,"gelijkspel"))</f>
        <v>gelijkspel</v>
      </c>
      <c r="AB269" s="166" t="str">
        <f>IF(LEFT(Berekening!AB16,1)&gt;RIGHT(Berekening!AB16,1),$A269,IF(LEFT(Berekening!AB16,1)&lt;RIGHT(Berekening!AB16,1),$C269,"gelijkspel"))</f>
        <v>gelijkspel</v>
      </c>
      <c r="AC269" s="166" t="str">
        <f>IF(LEFT(Berekening!AC16,1)&gt;RIGHT(Berekening!AC16,1),$A269,IF(LEFT(Berekening!AC16,1)&lt;RIGHT(Berekening!AC16,1),$C269,"gelijkspel"))</f>
        <v>gelijkspel</v>
      </c>
      <c r="AD269" s="166" t="str">
        <f>IF(LEFT(Berekening!AD16,1)&gt;RIGHT(Berekening!AD16,1),$A269,IF(LEFT(Berekening!AD16,1)&lt;RIGHT(Berekening!AD16,1),$C269,"gelijkspel"))</f>
        <v>gelijkspel</v>
      </c>
      <c r="AE269" s="166" t="str">
        <f>IF(LEFT(Berekening!AE16,1)&gt;RIGHT(Berekening!AE16,1),$A269,IF(LEFT(Berekening!AE16,1)&lt;RIGHT(Berekening!AE16,1),$C269,"gelijkspel"))</f>
        <v>gelijkspel</v>
      </c>
      <c r="AF269" s="166" t="str">
        <f>IF(LEFT(Berekening!AF16,1)&gt;RIGHT(Berekening!AF16,1),$A269,IF(LEFT(Berekening!AF16,1)&lt;RIGHT(Berekening!AF16,1),$C269,"gelijkspel"))</f>
        <v>gelijkspel</v>
      </c>
      <c r="AG269" s="166" t="str">
        <f>IF(LEFT(Berekening!AG16,1)&gt;RIGHT(Berekening!AG16,1),$A269,IF(LEFT(Berekening!AG16,1)&lt;RIGHT(Berekening!AG16,1),$C269,"gelijkspel"))</f>
        <v>gelijkspel</v>
      </c>
      <c r="AH269" s="166" t="str">
        <f>IF(LEFT(Berekening!AH16,1)&gt;RIGHT(Berekening!AH16,1),$A269,IF(LEFT(Berekening!AH16,1)&lt;RIGHT(Berekening!AH16,1),$C269,"gelijkspel"))</f>
        <v>gelijkspel</v>
      </c>
      <c r="AI269" s="166" t="str">
        <f>IF(LEFT(Berekening!AI16,1)&gt;RIGHT(Berekening!AI16,1),$A269,IF(LEFT(Berekening!AI16,1)&lt;RIGHT(Berekening!AI16,1),$C269,"gelijkspel"))</f>
        <v>gelijkspel</v>
      </c>
      <c r="AJ269" s="166" t="str">
        <f>IF(LEFT(Berekening!AJ16,1)&gt;RIGHT(Berekening!AJ16,1),$A269,IF(LEFT(Berekening!AJ16,1)&lt;RIGHT(Berekening!AJ16,1),$C269,"gelijkspel"))</f>
        <v>gelijkspel</v>
      </c>
      <c r="AK269" s="166" t="str">
        <f>IF(LEFT(Berekening!AK16,1)&gt;RIGHT(Berekening!AK16,1),$A269,IF(LEFT(Berekening!AK16,1)&lt;RIGHT(Berekening!AK16,1),$C269,"gelijkspel"))</f>
        <v>gelijkspel</v>
      </c>
      <c r="AL269" s="166" t="str">
        <f>IF(LEFT(Berekening!AL16,1)&gt;RIGHT(Berekening!AL16,1),$A269,IF(LEFT(Berekening!AL16,1)&lt;RIGHT(Berekening!AL16,1),$C269,"gelijkspel"))</f>
        <v>gelijkspel</v>
      </c>
      <c r="AM269" s="166" t="str">
        <f>IF(LEFT(Berekening!AM16,1)&gt;RIGHT(Berekening!AM16,1),$A269,IF(LEFT(Berekening!AM16,1)&lt;RIGHT(Berekening!AM16,1),$C269,"gelijkspel"))</f>
        <v>gelijkspel</v>
      </c>
      <c r="AN269" s="166" t="str">
        <f>IF(LEFT(Berekening!AN16,1)&gt;RIGHT(Berekening!AN16,1),$A269,IF(LEFT(Berekening!AN16,1)&lt;RIGHT(Berekening!AN16,1),$C269,"gelijkspel"))</f>
        <v>gelijkspel</v>
      </c>
      <c r="AO269" s="166" t="str">
        <f>IF(LEFT(Berekening!AO16,1)&gt;RIGHT(Berekening!AO16,1),$A269,IF(LEFT(Berekening!AO16,1)&lt;RIGHT(Berekening!AO16,1),$C269,"gelijkspel"))</f>
        <v>gelijkspel</v>
      </c>
      <c r="AP269" s="166" t="str">
        <f>IF(LEFT(Berekening!AP16,1)&gt;RIGHT(Berekening!AP16,1),$A269,IF(LEFT(Berekening!AP16,1)&lt;RIGHT(Berekening!AP16,1),$C269,"gelijkspel"))</f>
        <v>gelijkspel</v>
      </c>
      <c r="AQ269" s="166" t="str">
        <f>IF(LEFT(Berekening!AQ16,1)&gt;RIGHT(Berekening!AQ16,1),$A269,IF(LEFT(Berekening!AQ16,1)&lt;RIGHT(Berekening!AQ16,1),$C269,"gelijkspel"))</f>
        <v>gelijkspel</v>
      </c>
      <c r="AR269" s="166" t="str">
        <f>IF(LEFT(Berekening!AR16,1)&gt;RIGHT(Berekening!AR16,1),$A269,IF(LEFT(Berekening!AR16,1)&lt;RIGHT(Berekening!AR16,1),$C269,"gelijkspel"))</f>
        <v>gelijkspel</v>
      </c>
      <c r="AS269" s="166" t="str">
        <f>IF(LEFT(Berekening!AS16,1)&gt;RIGHT(Berekening!AS16,1),$A269,IF(LEFT(Berekening!AS16,1)&lt;RIGHT(Berekening!AS16,1),$C269,"gelijkspel"))</f>
        <v>gelijkspel</v>
      </c>
      <c r="AT269" s="166" t="str">
        <f>IF(LEFT(Berekening!AT16,1)&gt;RIGHT(Berekening!AT16,1),$A269,IF(LEFT(Berekening!AT16,1)&lt;RIGHT(Berekening!AT16,1),$C269,"gelijkspel"))</f>
        <v>gelijkspel</v>
      </c>
    </row>
    <row r="270" spans="1:46" s="161" customFormat="1" ht="15">
      <c r="A270" s="163" t="s">
        <v>1077</v>
      </c>
      <c r="B270" s="164" t="s">
        <v>2971</v>
      </c>
      <c r="C270" s="165" t="s">
        <v>1533</v>
      </c>
      <c r="E270" s="166" t="str">
        <f>IF(LEFT(Berekening!E17,1)&gt;RIGHT(Berekening!E17,1),$A270,IF(LEFT(Berekening!E17,1)&lt;RIGHT(Berekening!E17,1),$C270,"gelijkspel"))</f>
        <v>Spanje</v>
      </c>
      <c r="F270" s="166" t="str">
        <f>IF(LEFT(Berekening!F17,1)&gt;RIGHT(Berekening!F17,1),$A270,IF(LEFT(Berekening!F17,1)&lt;RIGHT(Berekening!F17,1),$C270,"gelijkspel"))</f>
        <v>gelijkspel</v>
      </c>
      <c r="G270" s="166" t="str">
        <f>IF(LEFT(Berekening!G17,1)&gt;RIGHT(Berekening!G17,1),$A270,IF(LEFT(Berekening!G17,1)&lt;RIGHT(Berekening!G17,1),$C270,"gelijkspel"))</f>
        <v>Spanje</v>
      </c>
      <c r="H270" s="166" t="str">
        <f>IF(LEFT(Berekening!H17,1)&gt;RIGHT(Berekening!H17,1),$A270,IF(LEFT(Berekening!H17,1)&lt;RIGHT(Berekening!H17,1),$C270,"gelijkspel"))</f>
        <v>Spanje</v>
      </c>
      <c r="I270" s="166" t="str">
        <f>IF(LEFT(Berekening!I17,1)&gt;RIGHT(Berekening!I17,1),$A270,IF(LEFT(Berekening!I17,1)&lt;RIGHT(Berekening!I17,1),$C270,"gelijkspel"))</f>
        <v>gelijkspel</v>
      </c>
      <c r="J270" s="166" t="str">
        <f>IF(LEFT(Berekening!J17,1)&gt;RIGHT(Berekening!J17,1),$A270,IF(LEFT(Berekening!J17,1)&lt;RIGHT(Berekening!J17,1),$C270,"gelijkspel"))</f>
        <v>Spanje</v>
      </c>
      <c r="K270" s="166" t="str">
        <f>IF(LEFT(Berekening!K17,1)&gt;RIGHT(Berekening!K17,1),$A270,IF(LEFT(Berekening!K17,1)&lt;RIGHT(Berekening!K17,1),$C270,"gelijkspel"))</f>
        <v>Spanje</v>
      </c>
      <c r="L270" s="166" t="str">
        <f>IF(LEFT(Berekening!L17,1)&gt;RIGHT(Berekening!L17,1),$A270,IF(LEFT(Berekening!L17,1)&lt;RIGHT(Berekening!L17,1),$C270,"gelijkspel"))</f>
        <v>gelijkspel</v>
      </c>
      <c r="M270" s="166" t="str">
        <f>IF(LEFT(Berekening!M17,1)&gt;RIGHT(Berekening!M17,1),$A270,IF(LEFT(Berekening!M17,1)&lt;RIGHT(Berekening!M17,1),$C270,"gelijkspel"))</f>
        <v>Spanje</v>
      </c>
      <c r="N270" s="166" t="str">
        <f>IF(LEFT(Berekening!N17,1)&gt;RIGHT(Berekening!N17,1),$A270,IF(LEFT(Berekening!N17,1)&lt;RIGHT(Berekening!N17,1),$C270,"gelijkspel"))</f>
        <v>gelijkspel</v>
      </c>
      <c r="O270" s="166" t="str">
        <f>IF(LEFT(Berekening!O17,1)&gt;RIGHT(Berekening!O17,1),$A270,IF(LEFT(Berekening!O17,1)&lt;RIGHT(Berekening!O17,1),$C270,"gelijkspel"))</f>
        <v>Spanje</v>
      </c>
      <c r="P270" s="166" t="str">
        <f>IF(LEFT(Berekening!P17,1)&gt;RIGHT(Berekening!P17,1),$A270,IF(LEFT(Berekening!P17,1)&lt;RIGHT(Berekening!P17,1),$C270,"gelijkspel"))</f>
        <v>Spanje</v>
      </c>
      <c r="Q270" s="166" t="str">
        <f>IF(LEFT(Berekening!Q17,1)&gt;RIGHT(Berekening!Q17,1),$A270,IF(LEFT(Berekening!Q17,1)&lt;RIGHT(Berekening!Q17,1),$C270,"gelijkspel"))</f>
        <v>gelijkspel</v>
      </c>
      <c r="R270" s="166" t="str">
        <f>IF(LEFT(Berekening!R17,1)&gt;RIGHT(Berekening!R17,1),$A270,IF(LEFT(Berekening!R17,1)&lt;RIGHT(Berekening!R17,1),$C270,"gelijkspel"))</f>
        <v>Spanje</v>
      </c>
      <c r="S270" s="166" t="str">
        <f>IF(LEFT(Berekening!S17,1)&gt;RIGHT(Berekening!S17,1),$A270,IF(LEFT(Berekening!S17,1)&lt;RIGHT(Berekening!S17,1),$C270,"gelijkspel"))</f>
        <v>Spanje</v>
      </c>
      <c r="T270" s="166" t="str">
        <f>IF(LEFT(Berekening!T17,1)&gt;RIGHT(Berekening!T17,1),$A270,IF(LEFT(Berekening!T17,1)&lt;RIGHT(Berekening!T17,1),$C270,"gelijkspel"))</f>
        <v>Spanje</v>
      </c>
      <c r="U270" s="166" t="str">
        <f>IF(LEFT(Berekening!U17,1)&gt;RIGHT(Berekening!U17,1),$A270,IF(LEFT(Berekening!U17,1)&lt;RIGHT(Berekening!U17,1),$C270,"gelijkspel"))</f>
        <v>gelijkspel</v>
      </c>
      <c r="V270" s="166" t="str">
        <f>IF(LEFT(Berekening!V17,1)&gt;RIGHT(Berekening!V17,1),$A270,IF(LEFT(Berekening!V17,1)&lt;RIGHT(Berekening!V17,1),$C270,"gelijkspel"))</f>
        <v>gelijkspel</v>
      </c>
      <c r="W270" s="166" t="str">
        <f>IF(LEFT(Berekening!W17,1)&gt;RIGHT(Berekening!W17,1),$A270,IF(LEFT(Berekening!W17,1)&lt;RIGHT(Berekening!W17,1),$C270,"gelijkspel"))</f>
        <v>gelijkspel</v>
      </c>
      <c r="X270" s="166" t="str">
        <f>IF(LEFT(Berekening!X17,1)&gt;RIGHT(Berekening!X17,1),$A270,IF(LEFT(Berekening!X17,1)&lt;RIGHT(Berekening!X17,1),$C270,"gelijkspel"))</f>
        <v>gelijkspel</v>
      </c>
      <c r="Y270" s="166" t="str">
        <f>IF(LEFT(Berekening!Y17,1)&gt;RIGHT(Berekening!Y17,1),$A270,IF(LEFT(Berekening!Y17,1)&lt;RIGHT(Berekening!Y17,1),$C270,"gelijkspel"))</f>
        <v>gelijkspel</v>
      </c>
      <c r="Z270" s="166" t="str">
        <f>IF(LEFT(Berekening!Z17,1)&gt;RIGHT(Berekening!Z17,1),$A270,IF(LEFT(Berekening!Z17,1)&lt;RIGHT(Berekening!Z17,1),$C270,"gelijkspel"))</f>
        <v>gelijkspel</v>
      </c>
      <c r="AA270" s="166" t="str">
        <f>IF(LEFT(Berekening!AA17,1)&gt;RIGHT(Berekening!AA17,1),$A270,IF(LEFT(Berekening!AA17,1)&lt;RIGHT(Berekening!AA17,1),$C270,"gelijkspel"))</f>
        <v>gelijkspel</v>
      </c>
      <c r="AB270" s="166" t="str">
        <f>IF(LEFT(Berekening!AB17,1)&gt;RIGHT(Berekening!AB17,1),$A270,IF(LEFT(Berekening!AB17,1)&lt;RIGHT(Berekening!AB17,1),$C270,"gelijkspel"))</f>
        <v>gelijkspel</v>
      </c>
      <c r="AC270" s="166" t="str">
        <f>IF(LEFT(Berekening!AC17,1)&gt;RIGHT(Berekening!AC17,1),$A270,IF(LEFT(Berekening!AC17,1)&lt;RIGHT(Berekening!AC17,1),$C270,"gelijkspel"))</f>
        <v>gelijkspel</v>
      </c>
      <c r="AD270" s="166" t="str">
        <f>IF(LEFT(Berekening!AD17,1)&gt;RIGHT(Berekening!AD17,1),$A270,IF(LEFT(Berekening!AD17,1)&lt;RIGHT(Berekening!AD17,1),$C270,"gelijkspel"))</f>
        <v>gelijkspel</v>
      </c>
      <c r="AE270" s="166" t="str">
        <f>IF(LEFT(Berekening!AE17,1)&gt;RIGHT(Berekening!AE17,1),$A270,IF(LEFT(Berekening!AE17,1)&lt;RIGHT(Berekening!AE17,1),$C270,"gelijkspel"))</f>
        <v>gelijkspel</v>
      </c>
      <c r="AF270" s="166" t="str">
        <f>IF(LEFT(Berekening!AF17,1)&gt;RIGHT(Berekening!AF17,1),$A270,IF(LEFT(Berekening!AF17,1)&lt;RIGHT(Berekening!AF17,1),$C270,"gelijkspel"))</f>
        <v>gelijkspel</v>
      </c>
      <c r="AG270" s="166" t="str">
        <f>IF(LEFT(Berekening!AG17,1)&gt;RIGHT(Berekening!AG17,1),$A270,IF(LEFT(Berekening!AG17,1)&lt;RIGHT(Berekening!AG17,1),$C270,"gelijkspel"))</f>
        <v>gelijkspel</v>
      </c>
      <c r="AH270" s="166" t="str">
        <f>IF(LEFT(Berekening!AH17,1)&gt;RIGHT(Berekening!AH17,1),$A270,IF(LEFT(Berekening!AH17,1)&lt;RIGHT(Berekening!AH17,1),$C270,"gelijkspel"))</f>
        <v>gelijkspel</v>
      </c>
      <c r="AI270" s="166" t="str">
        <f>IF(LEFT(Berekening!AI17,1)&gt;RIGHT(Berekening!AI17,1),$A270,IF(LEFT(Berekening!AI17,1)&lt;RIGHT(Berekening!AI17,1),$C270,"gelijkspel"))</f>
        <v>gelijkspel</v>
      </c>
      <c r="AJ270" s="166" t="str">
        <f>IF(LEFT(Berekening!AJ17,1)&gt;RIGHT(Berekening!AJ17,1),$A270,IF(LEFT(Berekening!AJ17,1)&lt;RIGHT(Berekening!AJ17,1),$C270,"gelijkspel"))</f>
        <v>gelijkspel</v>
      </c>
      <c r="AK270" s="166" t="str">
        <f>IF(LEFT(Berekening!AK17,1)&gt;RIGHT(Berekening!AK17,1),$A270,IF(LEFT(Berekening!AK17,1)&lt;RIGHT(Berekening!AK17,1),$C270,"gelijkspel"))</f>
        <v>gelijkspel</v>
      </c>
      <c r="AL270" s="166" t="str">
        <f>IF(LEFT(Berekening!AL17,1)&gt;RIGHT(Berekening!AL17,1),$A270,IF(LEFT(Berekening!AL17,1)&lt;RIGHT(Berekening!AL17,1),$C270,"gelijkspel"))</f>
        <v>gelijkspel</v>
      </c>
      <c r="AM270" s="166" t="str">
        <f>IF(LEFT(Berekening!AM17,1)&gt;RIGHT(Berekening!AM17,1),$A270,IF(LEFT(Berekening!AM17,1)&lt;RIGHT(Berekening!AM17,1),$C270,"gelijkspel"))</f>
        <v>gelijkspel</v>
      </c>
      <c r="AN270" s="166" t="str">
        <f>IF(LEFT(Berekening!AN17,1)&gt;RIGHT(Berekening!AN17,1),$A270,IF(LEFT(Berekening!AN17,1)&lt;RIGHT(Berekening!AN17,1),$C270,"gelijkspel"))</f>
        <v>gelijkspel</v>
      </c>
      <c r="AO270" s="166" t="str">
        <f>IF(LEFT(Berekening!AO17,1)&gt;RIGHT(Berekening!AO17,1),$A270,IF(LEFT(Berekening!AO17,1)&lt;RIGHT(Berekening!AO17,1),$C270,"gelijkspel"))</f>
        <v>gelijkspel</v>
      </c>
      <c r="AP270" s="166" t="str">
        <f>IF(LEFT(Berekening!AP17,1)&gt;RIGHT(Berekening!AP17,1),$A270,IF(LEFT(Berekening!AP17,1)&lt;RIGHT(Berekening!AP17,1),$C270,"gelijkspel"))</f>
        <v>gelijkspel</v>
      </c>
      <c r="AQ270" s="166" t="str">
        <f>IF(LEFT(Berekening!AQ17,1)&gt;RIGHT(Berekening!AQ17,1),$A270,IF(LEFT(Berekening!AQ17,1)&lt;RIGHT(Berekening!AQ17,1),$C270,"gelijkspel"))</f>
        <v>gelijkspel</v>
      </c>
      <c r="AR270" s="166" t="str">
        <f>IF(LEFT(Berekening!AR17,1)&gt;RIGHT(Berekening!AR17,1),$A270,IF(LEFT(Berekening!AR17,1)&lt;RIGHT(Berekening!AR17,1),$C270,"gelijkspel"))</f>
        <v>gelijkspel</v>
      </c>
      <c r="AS270" s="166" t="str">
        <f>IF(LEFT(Berekening!AS17,1)&gt;RIGHT(Berekening!AS17,1),$A270,IF(LEFT(Berekening!AS17,1)&lt;RIGHT(Berekening!AS17,1),$C270,"gelijkspel"))</f>
        <v>gelijkspel</v>
      </c>
      <c r="AT270" s="166" t="str">
        <f>IF(LEFT(Berekening!AT17,1)&gt;RIGHT(Berekening!AT17,1),$A270,IF(LEFT(Berekening!AT17,1)&lt;RIGHT(Berekening!AT17,1),$C270,"gelijkspel"))</f>
        <v>gelijkspel</v>
      </c>
    </row>
    <row r="271" spans="1:46" s="161" customFormat="1" ht="15">
      <c r="A271" s="163" t="s">
        <v>1113</v>
      </c>
      <c r="B271" s="164" t="s">
        <v>2971</v>
      </c>
      <c r="C271" s="165" t="s">
        <v>1016</v>
      </c>
      <c r="E271" s="166" t="str">
        <f>IF(LEFT(Berekening!E18,1)&gt;RIGHT(Berekening!E18,1),$A271,IF(LEFT(Berekening!E18,1)&lt;RIGHT(Berekening!E18,1),$C271,"gelijkspel"))</f>
        <v>Italië</v>
      </c>
      <c r="F271" s="166" t="str">
        <f>IF(LEFT(Berekening!F18,1)&gt;RIGHT(Berekening!F18,1),$A271,IF(LEFT(Berekening!F18,1)&lt;RIGHT(Berekening!F18,1),$C271,"gelijkspel"))</f>
        <v>Italië</v>
      </c>
      <c r="G271" s="166" t="str">
        <f>IF(LEFT(Berekening!G18,1)&gt;RIGHT(Berekening!G18,1),$A271,IF(LEFT(Berekening!G18,1)&lt;RIGHT(Berekening!G18,1),$C271,"gelijkspel"))</f>
        <v>Italië</v>
      </c>
      <c r="H271" s="166" t="str">
        <f>IF(LEFT(Berekening!H18,1)&gt;RIGHT(Berekening!H18,1),$A271,IF(LEFT(Berekening!H18,1)&lt;RIGHT(Berekening!H18,1),$C271,"gelijkspel"))</f>
        <v>Italië</v>
      </c>
      <c r="I271" s="166" t="str">
        <f>IF(LEFT(Berekening!I18,1)&gt;RIGHT(Berekening!I18,1),$A271,IF(LEFT(Berekening!I18,1)&lt;RIGHT(Berekening!I18,1),$C271,"gelijkspel"))</f>
        <v>Italië</v>
      </c>
      <c r="J271" s="166" t="str">
        <f>IF(LEFT(Berekening!J18,1)&gt;RIGHT(Berekening!J18,1),$A271,IF(LEFT(Berekening!J18,1)&lt;RIGHT(Berekening!J18,1),$C271,"gelijkspel"))</f>
        <v>gelijkspel</v>
      </c>
      <c r="K271" s="166" t="str">
        <f>IF(LEFT(Berekening!K18,1)&gt;RIGHT(Berekening!K18,1),$A271,IF(LEFT(Berekening!K18,1)&lt;RIGHT(Berekening!K18,1),$C271,"gelijkspel"))</f>
        <v>Italië</v>
      </c>
      <c r="L271" s="166" t="str">
        <f>IF(LEFT(Berekening!L18,1)&gt;RIGHT(Berekening!L18,1),$A271,IF(LEFT(Berekening!L18,1)&lt;RIGHT(Berekening!L18,1),$C271,"gelijkspel"))</f>
        <v>Italië</v>
      </c>
      <c r="M271" s="166" t="str">
        <f>IF(LEFT(Berekening!M18,1)&gt;RIGHT(Berekening!M18,1),$A271,IF(LEFT(Berekening!M18,1)&lt;RIGHT(Berekening!M18,1),$C271,"gelijkspel"))</f>
        <v>Italië</v>
      </c>
      <c r="N271" s="166" t="str">
        <f>IF(LEFT(Berekening!N18,1)&gt;RIGHT(Berekening!N18,1),$A271,IF(LEFT(Berekening!N18,1)&lt;RIGHT(Berekening!N18,1),$C271,"gelijkspel"))</f>
        <v>Italië</v>
      </c>
      <c r="O271" s="166" t="str">
        <f>IF(LEFT(Berekening!O18,1)&gt;RIGHT(Berekening!O18,1),$A271,IF(LEFT(Berekening!O18,1)&lt;RIGHT(Berekening!O18,1),$C271,"gelijkspel"))</f>
        <v>Italië</v>
      </c>
      <c r="P271" s="166" t="str">
        <f>IF(LEFT(Berekening!P18,1)&gt;RIGHT(Berekening!P18,1),$A271,IF(LEFT(Berekening!P18,1)&lt;RIGHT(Berekening!P18,1),$C271,"gelijkspel"))</f>
        <v>Italië</v>
      </c>
      <c r="Q271" s="166" t="str">
        <f>IF(LEFT(Berekening!Q18,1)&gt;RIGHT(Berekening!Q18,1),$A271,IF(LEFT(Berekening!Q18,1)&lt;RIGHT(Berekening!Q18,1),$C271,"gelijkspel"))</f>
        <v>Italië</v>
      </c>
      <c r="R271" s="166" t="str">
        <f>IF(LEFT(Berekening!R18,1)&gt;RIGHT(Berekening!R18,1),$A271,IF(LEFT(Berekening!R18,1)&lt;RIGHT(Berekening!R18,1),$C271,"gelijkspel"))</f>
        <v>Italië</v>
      </c>
      <c r="S271" s="166" t="str">
        <f>IF(LEFT(Berekening!S18,1)&gt;RIGHT(Berekening!S18,1),$A271,IF(LEFT(Berekening!S18,1)&lt;RIGHT(Berekening!S18,1),$C271,"gelijkspel"))</f>
        <v>Italië</v>
      </c>
      <c r="T271" s="166" t="str">
        <f>IF(LEFT(Berekening!T18,1)&gt;RIGHT(Berekening!T18,1),$A271,IF(LEFT(Berekening!T18,1)&lt;RIGHT(Berekening!T18,1),$C271,"gelijkspel"))</f>
        <v>Italië</v>
      </c>
      <c r="U271" s="166" t="str">
        <f>IF(LEFT(Berekening!U18,1)&gt;RIGHT(Berekening!U18,1),$A271,IF(LEFT(Berekening!U18,1)&lt;RIGHT(Berekening!U18,1),$C271,"gelijkspel"))</f>
        <v>gelijkspel</v>
      </c>
      <c r="V271" s="166" t="str">
        <f>IF(LEFT(Berekening!V18,1)&gt;RIGHT(Berekening!V18,1),$A271,IF(LEFT(Berekening!V18,1)&lt;RIGHT(Berekening!V18,1),$C271,"gelijkspel"))</f>
        <v>gelijkspel</v>
      </c>
      <c r="W271" s="166" t="str">
        <f>IF(LEFT(Berekening!W18,1)&gt;RIGHT(Berekening!W18,1),$A271,IF(LEFT(Berekening!W18,1)&lt;RIGHT(Berekening!W18,1),$C271,"gelijkspel"))</f>
        <v>gelijkspel</v>
      </c>
      <c r="X271" s="166" t="str">
        <f>IF(LEFT(Berekening!X18,1)&gt;RIGHT(Berekening!X18,1),$A271,IF(LEFT(Berekening!X18,1)&lt;RIGHT(Berekening!X18,1),$C271,"gelijkspel"))</f>
        <v>gelijkspel</v>
      </c>
      <c r="Y271" s="166" t="str">
        <f>IF(LEFT(Berekening!Y18,1)&gt;RIGHT(Berekening!Y18,1),$A271,IF(LEFT(Berekening!Y18,1)&lt;RIGHT(Berekening!Y18,1),$C271,"gelijkspel"))</f>
        <v>gelijkspel</v>
      </c>
      <c r="Z271" s="166" t="str">
        <f>IF(LEFT(Berekening!Z18,1)&gt;RIGHT(Berekening!Z18,1),$A271,IF(LEFT(Berekening!Z18,1)&lt;RIGHT(Berekening!Z18,1),$C271,"gelijkspel"))</f>
        <v>gelijkspel</v>
      </c>
      <c r="AA271" s="166" t="str">
        <f>IF(LEFT(Berekening!AA18,1)&gt;RIGHT(Berekening!AA18,1),$A271,IF(LEFT(Berekening!AA18,1)&lt;RIGHT(Berekening!AA18,1),$C271,"gelijkspel"))</f>
        <v>gelijkspel</v>
      </c>
      <c r="AB271" s="166" t="str">
        <f>IF(LEFT(Berekening!AB18,1)&gt;RIGHT(Berekening!AB18,1),$A271,IF(LEFT(Berekening!AB18,1)&lt;RIGHT(Berekening!AB18,1),$C271,"gelijkspel"))</f>
        <v>gelijkspel</v>
      </c>
      <c r="AC271" s="166" t="str">
        <f>IF(LEFT(Berekening!AC18,1)&gt;RIGHT(Berekening!AC18,1),$A271,IF(LEFT(Berekening!AC18,1)&lt;RIGHT(Berekening!AC18,1),$C271,"gelijkspel"))</f>
        <v>gelijkspel</v>
      </c>
      <c r="AD271" s="166" t="str">
        <f>IF(LEFT(Berekening!AD18,1)&gt;RIGHT(Berekening!AD18,1),$A271,IF(LEFT(Berekening!AD18,1)&lt;RIGHT(Berekening!AD18,1),$C271,"gelijkspel"))</f>
        <v>gelijkspel</v>
      </c>
      <c r="AE271" s="166" t="str">
        <f>IF(LEFT(Berekening!AE18,1)&gt;RIGHT(Berekening!AE18,1),$A271,IF(LEFT(Berekening!AE18,1)&lt;RIGHT(Berekening!AE18,1),$C271,"gelijkspel"))</f>
        <v>gelijkspel</v>
      </c>
      <c r="AF271" s="166" t="str">
        <f>IF(LEFT(Berekening!AF18,1)&gt;RIGHT(Berekening!AF18,1),$A271,IF(LEFT(Berekening!AF18,1)&lt;RIGHT(Berekening!AF18,1),$C271,"gelijkspel"))</f>
        <v>gelijkspel</v>
      </c>
      <c r="AG271" s="166" t="str">
        <f>IF(LEFT(Berekening!AG18,1)&gt;RIGHT(Berekening!AG18,1),$A271,IF(LEFT(Berekening!AG18,1)&lt;RIGHT(Berekening!AG18,1),$C271,"gelijkspel"))</f>
        <v>gelijkspel</v>
      </c>
      <c r="AH271" s="166" t="str">
        <f>IF(LEFT(Berekening!AH18,1)&gt;RIGHT(Berekening!AH18,1),$A271,IF(LEFT(Berekening!AH18,1)&lt;RIGHT(Berekening!AH18,1),$C271,"gelijkspel"))</f>
        <v>gelijkspel</v>
      </c>
      <c r="AI271" s="166" t="str">
        <f>IF(LEFT(Berekening!AI18,1)&gt;RIGHT(Berekening!AI18,1),$A271,IF(LEFT(Berekening!AI18,1)&lt;RIGHT(Berekening!AI18,1),$C271,"gelijkspel"))</f>
        <v>gelijkspel</v>
      </c>
      <c r="AJ271" s="166" t="str">
        <f>IF(LEFT(Berekening!AJ18,1)&gt;RIGHT(Berekening!AJ18,1),$A271,IF(LEFT(Berekening!AJ18,1)&lt;RIGHT(Berekening!AJ18,1),$C271,"gelijkspel"))</f>
        <v>gelijkspel</v>
      </c>
      <c r="AK271" s="166" t="str">
        <f>IF(LEFT(Berekening!AK18,1)&gt;RIGHT(Berekening!AK18,1),$A271,IF(LEFT(Berekening!AK18,1)&lt;RIGHT(Berekening!AK18,1),$C271,"gelijkspel"))</f>
        <v>gelijkspel</v>
      </c>
      <c r="AL271" s="166" t="str">
        <f>IF(LEFT(Berekening!AL18,1)&gt;RIGHT(Berekening!AL18,1),$A271,IF(LEFT(Berekening!AL18,1)&lt;RIGHT(Berekening!AL18,1),$C271,"gelijkspel"))</f>
        <v>gelijkspel</v>
      </c>
      <c r="AM271" s="166" t="str">
        <f>IF(LEFT(Berekening!AM18,1)&gt;RIGHT(Berekening!AM18,1),$A271,IF(LEFT(Berekening!AM18,1)&lt;RIGHT(Berekening!AM18,1),$C271,"gelijkspel"))</f>
        <v>gelijkspel</v>
      </c>
      <c r="AN271" s="166" t="str">
        <f>IF(LEFT(Berekening!AN18,1)&gt;RIGHT(Berekening!AN18,1),$A271,IF(LEFT(Berekening!AN18,1)&lt;RIGHT(Berekening!AN18,1),$C271,"gelijkspel"))</f>
        <v>gelijkspel</v>
      </c>
      <c r="AO271" s="166" t="str">
        <f>IF(LEFT(Berekening!AO18,1)&gt;RIGHT(Berekening!AO18,1),$A271,IF(LEFT(Berekening!AO18,1)&lt;RIGHT(Berekening!AO18,1),$C271,"gelijkspel"))</f>
        <v>gelijkspel</v>
      </c>
      <c r="AP271" s="166" t="str">
        <f>IF(LEFT(Berekening!AP18,1)&gt;RIGHT(Berekening!AP18,1),$A271,IF(LEFT(Berekening!AP18,1)&lt;RIGHT(Berekening!AP18,1),$C271,"gelijkspel"))</f>
        <v>gelijkspel</v>
      </c>
      <c r="AQ271" s="166" t="str">
        <f>IF(LEFT(Berekening!AQ18,1)&gt;RIGHT(Berekening!AQ18,1),$A271,IF(LEFT(Berekening!AQ18,1)&lt;RIGHT(Berekening!AQ18,1),$C271,"gelijkspel"))</f>
        <v>gelijkspel</v>
      </c>
      <c r="AR271" s="166" t="str">
        <f>IF(LEFT(Berekening!AR18,1)&gt;RIGHT(Berekening!AR18,1),$A271,IF(LEFT(Berekening!AR18,1)&lt;RIGHT(Berekening!AR18,1),$C271,"gelijkspel"))</f>
        <v>gelijkspel</v>
      </c>
      <c r="AS271" s="166" t="str">
        <f>IF(LEFT(Berekening!AS18,1)&gt;RIGHT(Berekening!AS18,1),$A271,IF(LEFT(Berekening!AS18,1)&lt;RIGHT(Berekening!AS18,1),$C271,"gelijkspel"))</f>
        <v>gelijkspel</v>
      </c>
      <c r="AT271" s="166" t="str">
        <f>IF(LEFT(Berekening!AT18,1)&gt;RIGHT(Berekening!AT18,1),$A271,IF(LEFT(Berekening!AT18,1)&lt;RIGHT(Berekening!AT18,1),$C271,"gelijkspel"))</f>
        <v>gelijkspel</v>
      </c>
    </row>
    <row r="272" spans="1:46" s="161" customFormat="1" ht="15">
      <c r="A272" s="163" t="s">
        <v>1822</v>
      </c>
      <c r="B272" s="164" t="s">
        <v>2971</v>
      </c>
      <c r="C272" s="165" t="s">
        <v>1324</v>
      </c>
      <c r="E272" s="166" t="str">
        <f>IF(LEFT(Berekening!E19,1)&gt;RIGHT(Berekening!E19,1),$A272,IF(LEFT(Berekening!E19,1)&lt;RIGHT(Berekening!E19,1),$C272,"gelijkspel"))</f>
        <v>Nederland</v>
      </c>
      <c r="F272" s="166" t="str">
        <f>IF(LEFT(Berekening!F19,1)&gt;RIGHT(Berekening!F19,1),$A272,IF(LEFT(Berekening!F19,1)&lt;RIGHT(Berekening!F19,1),$C272,"gelijkspel"))</f>
        <v>Nederland</v>
      </c>
      <c r="G272" s="166" t="str">
        <f>IF(LEFT(Berekening!G19,1)&gt;RIGHT(Berekening!G19,1),$A272,IF(LEFT(Berekening!G19,1)&lt;RIGHT(Berekening!G19,1),$C272,"gelijkspel"))</f>
        <v>Nederland</v>
      </c>
      <c r="H272" s="166" t="str">
        <f>IF(LEFT(Berekening!H19,1)&gt;RIGHT(Berekening!H19,1),$A272,IF(LEFT(Berekening!H19,1)&lt;RIGHT(Berekening!H19,1),$C272,"gelijkspel"))</f>
        <v>Nederland</v>
      </c>
      <c r="I272" s="166" t="str">
        <f>IF(LEFT(Berekening!I19,1)&gt;RIGHT(Berekening!I19,1),$A272,IF(LEFT(Berekening!I19,1)&lt;RIGHT(Berekening!I19,1),$C272,"gelijkspel"))</f>
        <v>Nederland</v>
      </c>
      <c r="J272" s="166" t="str">
        <f>IF(LEFT(Berekening!J19,1)&gt;RIGHT(Berekening!J19,1),$A272,IF(LEFT(Berekening!J19,1)&lt;RIGHT(Berekening!J19,1),$C272,"gelijkspel"))</f>
        <v>Nederland</v>
      </c>
      <c r="K272" s="166" t="str">
        <f>IF(LEFT(Berekening!K19,1)&gt;RIGHT(Berekening!K19,1),$A272,IF(LEFT(Berekening!K19,1)&lt;RIGHT(Berekening!K19,1),$C272,"gelijkspel"))</f>
        <v>Nederland</v>
      </c>
      <c r="L272" s="166" t="str">
        <f>IF(LEFT(Berekening!L19,1)&gt;RIGHT(Berekening!L19,1),$A272,IF(LEFT(Berekening!L19,1)&lt;RIGHT(Berekening!L19,1),$C272,"gelijkspel"))</f>
        <v>Nederland</v>
      </c>
      <c r="M272" s="166" t="str">
        <f>IF(LEFT(Berekening!M19,1)&gt;RIGHT(Berekening!M19,1),$A272,IF(LEFT(Berekening!M19,1)&lt;RIGHT(Berekening!M19,1),$C272,"gelijkspel"))</f>
        <v>Nederland</v>
      </c>
      <c r="N272" s="166" t="str">
        <f>IF(LEFT(Berekening!N19,1)&gt;RIGHT(Berekening!N19,1),$A272,IF(LEFT(Berekening!N19,1)&lt;RIGHT(Berekening!N19,1),$C272,"gelijkspel"))</f>
        <v>Nederland</v>
      </c>
      <c r="O272" s="166" t="str">
        <f>IF(LEFT(Berekening!O19,1)&gt;RIGHT(Berekening!O19,1),$A272,IF(LEFT(Berekening!O19,1)&lt;RIGHT(Berekening!O19,1),$C272,"gelijkspel"))</f>
        <v>Nederland</v>
      </c>
      <c r="P272" s="166" t="str">
        <f>IF(LEFT(Berekening!P19,1)&gt;RIGHT(Berekening!P19,1),$A272,IF(LEFT(Berekening!P19,1)&lt;RIGHT(Berekening!P19,1),$C272,"gelijkspel"))</f>
        <v>Nederland</v>
      </c>
      <c r="Q272" s="166" t="str">
        <f>IF(LEFT(Berekening!Q19,1)&gt;RIGHT(Berekening!Q19,1),$A272,IF(LEFT(Berekening!Q19,1)&lt;RIGHT(Berekening!Q19,1),$C272,"gelijkspel"))</f>
        <v>Nederland</v>
      </c>
      <c r="R272" s="166" t="str">
        <f>IF(LEFT(Berekening!R19,1)&gt;RIGHT(Berekening!R19,1),$A272,IF(LEFT(Berekening!R19,1)&lt;RIGHT(Berekening!R19,1),$C272,"gelijkspel"))</f>
        <v>Nederland</v>
      </c>
      <c r="S272" s="166" t="str">
        <f>IF(LEFT(Berekening!S19,1)&gt;RIGHT(Berekening!S19,1),$A272,IF(LEFT(Berekening!S19,1)&lt;RIGHT(Berekening!S19,1),$C272,"gelijkspel"))</f>
        <v>Nederland</v>
      </c>
      <c r="T272" s="166" t="str">
        <f>IF(LEFT(Berekening!T19,1)&gt;RIGHT(Berekening!T19,1),$A272,IF(LEFT(Berekening!T19,1)&lt;RIGHT(Berekening!T19,1),$C272,"gelijkspel"))</f>
        <v>Nederland</v>
      </c>
      <c r="U272" s="166" t="str">
        <f>IF(LEFT(Berekening!U19,1)&gt;RIGHT(Berekening!U19,1),$A272,IF(LEFT(Berekening!U19,1)&lt;RIGHT(Berekening!U19,1),$C272,"gelijkspel"))</f>
        <v>gelijkspel</v>
      </c>
      <c r="V272" s="166" t="str">
        <f>IF(LEFT(Berekening!V19,1)&gt;RIGHT(Berekening!V19,1),$A272,IF(LEFT(Berekening!V19,1)&lt;RIGHT(Berekening!V19,1),$C272,"gelijkspel"))</f>
        <v>gelijkspel</v>
      </c>
      <c r="W272" s="166" t="str">
        <f>IF(LEFT(Berekening!W19,1)&gt;RIGHT(Berekening!W19,1),$A272,IF(LEFT(Berekening!W19,1)&lt;RIGHT(Berekening!W19,1),$C272,"gelijkspel"))</f>
        <v>gelijkspel</v>
      </c>
      <c r="X272" s="166" t="str">
        <f>IF(LEFT(Berekening!X19,1)&gt;RIGHT(Berekening!X19,1),$A272,IF(LEFT(Berekening!X19,1)&lt;RIGHT(Berekening!X19,1),$C272,"gelijkspel"))</f>
        <v>gelijkspel</v>
      </c>
      <c r="Y272" s="166" t="str">
        <f>IF(LEFT(Berekening!Y19,1)&gt;RIGHT(Berekening!Y19,1),$A272,IF(LEFT(Berekening!Y19,1)&lt;RIGHT(Berekening!Y19,1),$C272,"gelijkspel"))</f>
        <v>gelijkspel</v>
      </c>
      <c r="Z272" s="166" t="str">
        <f>IF(LEFT(Berekening!Z19,1)&gt;RIGHT(Berekening!Z19,1),$A272,IF(LEFT(Berekening!Z19,1)&lt;RIGHT(Berekening!Z19,1),$C272,"gelijkspel"))</f>
        <v>gelijkspel</v>
      </c>
      <c r="AA272" s="166" t="str">
        <f>IF(LEFT(Berekening!AA19,1)&gt;RIGHT(Berekening!AA19,1),$A272,IF(LEFT(Berekening!AA19,1)&lt;RIGHT(Berekening!AA19,1),$C272,"gelijkspel"))</f>
        <v>gelijkspel</v>
      </c>
      <c r="AB272" s="166" t="str">
        <f>IF(LEFT(Berekening!AB19,1)&gt;RIGHT(Berekening!AB19,1),$A272,IF(LEFT(Berekening!AB19,1)&lt;RIGHT(Berekening!AB19,1),$C272,"gelijkspel"))</f>
        <v>gelijkspel</v>
      </c>
      <c r="AC272" s="166" t="str">
        <f>IF(LEFT(Berekening!AC19,1)&gt;RIGHT(Berekening!AC19,1),$A272,IF(LEFT(Berekening!AC19,1)&lt;RIGHT(Berekening!AC19,1),$C272,"gelijkspel"))</f>
        <v>gelijkspel</v>
      </c>
      <c r="AD272" s="166" t="str">
        <f>IF(LEFT(Berekening!AD19,1)&gt;RIGHT(Berekening!AD19,1),$A272,IF(LEFT(Berekening!AD19,1)&lt;RIGHT(Berekening!AD19,1),$C272,"gelijkspel"))</f>
        <v>gelijkspel</v>
      </c>
      <c r="AE272" s="166" t="str">
        <f>IF(LEFT(Berekening!AE19,1)&gt;RIGHT(Berekening!AE19,1),$A272,IF(LEFT(Berekening!AE19,1)&lt;RIGHT(Berekening!AE19,1),$C272,"gelijkspel"))</f>
        <v>gelijkspel</v>
      </c>
      <c r="AF272" s="166" t="str">
        <f>IF(LEFT(Berekening!AF19,1)&gt;RIGHT(Berekening!AF19,1),$A272,IF(LEFT(Berekening!AF19,1)&lt;RIGHT(Berekening!AF19,1),$C272,"gelijkspel"))</f>
        <v>gelijkspel</v>
      </c>
      <c r="AG272" s="166" t="str">
        <f>IF(LEFT(Berekening!AG19,1)&gt;RIGHT(Berekening!AG19,1),$A272,IF(LEFT(Berekening!AG19,1)&lt;RIGHT(Berekening!AG19,1),$C272,"gelijkspel"))</f>
        <v>gelijkspel</v>
      </c>
      <c r="AH272" s="166" t="str">
        <f>IF(LEFT(Berekening!AH19,1)&gt;RIGHT(Berekening!AH19,1),$A272,IF(LEFT(Berekening!AH19,1)&lt;RIGHT(Berekening!AH19,1),$C272,"gelijkspel"))</f>
        <v>gelijkspel</v>
      </c>
      <c r="AI272" s="166" t="str">
        <f>IF(LEFT(Berekening!AI19,1)&gt;RIGHT(Berekening!AI19,1),$A272,IF(LEFT(Berekening!AI19,1)&lt;RIGHT(Berekening!AI19,1),$C272,"gelijkspel"))</f>
        <v>gelijkspel</v>
      </c>
      <c r="AJ272" s="166" t="str">
        <f>IF(LEFT(Berekening!AJ19,1)&gt;RIGHT(Berekening!AJ19,1),$A272,IF(LEFT(Berekening!AJ19,1)&lt;RIGHT(Berekening!AJ19,1),$C272,"gelijkspel"))</f>
        <v>gelijkspel</v>
      </c>
      <c r="AK272" s="166" t="str">
        <f>IF(LEFT(Berekening!AK19,1)&gt;RIGHT(Berekening!AK19,1),$A272,IF(LEFT(Berekening!AK19,1)&lt;RIGHT(Berekening!AK19,1),$C272,"gelijkspel"))</f>
        <v>gelijkspel</v>
      </c>
      <c r="AL272" s="166" t="str">
        <f>IF(LEFT(Berekening!AL19,1)&gt;RIGHT(Berekening!AL19,1),$A272,IF(LEFT(Berekening!AL19,1)&lt;RIGHT(Berekening!AL19,1),$C272,"gelijkspel"))</f>
        <v>gelijkspel</v>
      </c>
      <c r="AM272" s="166" t="str">
        <f>IF(LEFT(Berekening!AM19,1)&gt;RIGHT(Berekening!AM19,1),$A272,IF(LEFT(Berekening!AM19,1)&lt;RIGHT(Berekening!AM19,1),$C272,"gelijkspel"))</f>
        <v>gelijkspel</v>
      </c>
      <c r="AN272" s="166" t="str">
        <f>IF(LEFT(Berekening!AN19,1)&gt;RIGHT(Berekening!AN19,1),$A272,IF(LEFT(Berekening!AN19,1)&lt;RIGHT(Berekening!AN19,1),$C272,"gelijkspel"))</f>
        <v>gelijkspel</v>
      </c>
      <c r="AO272" s="166" t="str">
        <f>IF(LEFT(Berekening!AO19,1)&gt;RIGHT(Berekening!AO19,1),$A272,IF(LEFT(Berekening!AO19,1)&lt;RIGHT(Berekening!AO19,1),$C272,"gelijkspel"))</f>
        <v>gelijkspel</v>
      </c>
      <c r="AP272" s="166" t="str">
        <f>IF(LEFT(Berekening!AP19,1)&gt;RIGHT(Berekening!AP19,1),$A272,IF(LEFT(Berekening!AP19,1)&lt;RIGHT(Berekening!AP19,1),$C272,"gelijkspel"))</f>
        <v>gelijkspel</v>
      </c>
      <c r="AQ272" s="166" t="str">
        <f>IF(LEFT(Berekening!AQ19,1)&gt;RIGHT(Berekening!AQ19,1),$A272,IF(LEFT(Berekening!AQ19,1)&lt;RIGHT(Berekening!AQ19,1),$C272,"gelijkspel"))</f>
        <v>gelijkspel</v>
      </c>
      <c r="AR272" s="166" t="str">
        <f>IF(LEFT(Berekening!AR19,1)&gt;RIGHT(Berekening!AR19,1),$A272,IF(LEFT(Berekening!AR19,1)&lt;RIGHT(Berekening!AR19,1),$C272,"gelijkspel"))</f>
        <v>gelijkspel</v>
      </c>
      <c r="AS272" s="166" t="str">
        <f>IF(LEFT(Berekening!AS19,1)&gt;RIGHT(Berekening!AS19,1),$A272,IF(LEFT(Berekening!AS19,1)&lt;RIGHT(Berekening!AS19,1),$C272,"gelijkspel"))</f>
        <v>gelijkspel</v>
      </c>
      <c r="AT272" s="166" t="str">
        <f>IF(LEFT(Berekening!AT19,1)&gt;RIGHT(Berekening!AT19,1),$A272,IF(LEFT(Berekening!AT19,1)&lt;RIGHT(Berekening!AT19,1),$C272,"gelijkspel"))</f>
        <v>gelijkspel</v>
      </c>
    </row>
    <row r="273" spans="1:46" s="161" customFormat="1" ht="15">
      <c r="A273" s="163" t="s">
        <v>2630</v>
      </c>
      <c r="B273" s="164" t="s">
        <v>2971</v>
      </c>
      <c r="C273" s="165" t="s">
        <v>1206</v>
      </c>
      <c r="E273" s="166" t="str">
        <f>IF(LEFT(Berekening!E20,1)&gt;RIGHT(Berekening!E20,1),$A273,IF(LEFT(Berekening!E20,1)&lt;RIGHT(Berekening!E20,1),$C273,"gelijkspel"))</f>
        <v>Denemarken</v>
      </c>
      <c r="F273" s="166" t="str">
        <f>IF(LEFT(Berekening!F20,1)&gt;RIGHT(Berekening!F20,1),$A273,IF(LEFT(Berekening!F20,1)&lt;RIGHT(Berekening!F20,1),$C273,"gelijkspel"))</f>
        <v>Denemarken</v>
      </c>
      <c r="G273" s="166" t="str">
        <f>IF(LEFT(Berekening!G20,1)&gt;RIGHT(Berekening!G20,1),$A273,IF(LEFT(Berekening!G20,1)&lt;RIGHT(Berekening!G20,1),$C273,"gelijkspel"))</f>
        <v>Denemarken</v>
      </c>
      <c r="H273" s="166" t="str">
        <f>IF(LEFT(Berekening!H20,1)&gt;RIGHT(Berekening!H20,1),$A273,IF(LEFT(Berekening!H20,1)&lt;RIGHT(Berekening!H20,1),$C273,"gelijkspel"))</f>
        <v>Denemarken</v>
      </c>
      <c r="I273" s="166" t="str">
        <f>IF(LEFT(Berekening!I20,1)&gt;RIGHT(Berekening!I20,1),$A273,IF(LEFT(Berekening!I20,1)&lt;RIGHT(Berekening!I20,1),$C273,"gelijkspel"))</f>
        <v>Denemarken</v>
      </c>
      <c r="J273" s="166" t="str">
        <f>IF(LEFT(Berekening!J20,1)&gt;RIGHT(Berekening!J20,1),$A273,IF(LEFT(Berekening!J20,1)&lt;RIGHT(Berekening!J20,1),$C273,"gelijkspel"))</f>
        <v>Denemarken</v>
      </c>
      <c r="K273" s="166" t="str">
        <f>IF(LEFT(Berekening!K20,1)&gt;RIGHT(Berekening!K20,1),$A273,IF(LEFT(Berekening!K20,1)&lt;RIGHT(Berekening!K20,1),$C273,"gelijkspel"))</f>
        <v>Denemarken</v>
      </c>
      <c r="L273" s="166" t="str">
        <f>IF(LEFT(Berekening!L20,1)&gt;RIGHT(Berekening!L20,1),$A273,IF(LEFT(Berekening!L20,1)&lt;RIGHT(Berekening!L20,1),$C273,"gelijkspel"))</f>
        <v>Denemarken</v>
      </c>
      <c r="M273" s="166" t="str">
        <f>IF(LEFT(Berekening!M20,1)&gt;RIGHT(Berekening!M20,1),$A273,IF(LEFT(Berekening!M20,1)&lt;RIGHT(Berekening!M20,1),$C273,"gelijkspel"))</f>
        <v>gelijkspel</v>
      </c>
      <c r="N273" s="166" t="str">
        <f>IF(LEFT(Berekening!N20,1)&gt;RIGHT(Berekening!N20,1),$A273,IF(LEFT(Berekening!N20,1)&lt;RIGHT(Berekening!N20,1),$C273,"gelijkspel"))</f>
        <v>Denemarken</v>
      </c>
      <c r="O273" s="166" t="str">
        <f>IF(LEFT(Berekening!O20,1)&gt;RIGHT(Berekening!O20,1),$A273,IF(LEFT(Berekening!O20,1)&lt;RIGHT(Berekening!O20,1),$C273,"gelijkspel"))</f>
        <v>Denemarken</v>
      </c>
      <c r="P273" s="166" t="str">
        <f>IF(LEFT(Berekening!P20,1)&gt;RIGHT(Berekening!P20,1),$A273,IF(LEFT(Berekening!P20,1)&lt;RIGHT(Berekening!P20,1),$C273,"gelijkspel"))</f>
        <v>Denemarken</v>
      </c>
      <c r="Q273" s="166" t="str">
        <f>IF(LEFT(Berekening!Q20,1)&gt;RIGHT(Berekening!Q20,1),$A273,IF(LEFT(Berekening!Q20,1)&lt;RIGHT(Berekening!Q20,1),$C273,"gelijkspel"))</f>
        <v>Denemarken</v>
      </c>
      <c r="R273" s="166" t="str">
        <f>IF(LEFT(Berekening!R20,1)&gt;RIGHT(Berekening!R20,1),$A273,IF(LEFT(Berekening!R20,1)&lt;RIGHT(Berekening!R20,1),$C273,"gelijkspel"))</f>
        <v>Denemarken</v>
      </c>
      <c r="S273" s="166" t="str">
        <f>IF(LEFT(Berekening!S20,1)&gt;RIGHT(Berekening!S20,1),$A273,IF(LEFT(Berekening!S20,1)&lt;RIGHT(Berekening!S20,1),$C273,"gelijkspel"))</f>
        <v>Denemarken</v>
      </c>
      <c r="T273" s="166" t="str">
        <f>IF(LEFT(Berekening!T20,1)&gt;RIGHT(Berekening!T20,1),$A273,IF(LEFT(Berekening!T20,1)&lt;RIGHT(Berekening!T20,1),$C273,"gelijkspel"))</f>
        <v>Denemarken</v>
      </c>
      <c r="U273" s="166" t="str">
        <f>IF(LEFT(Berekening!U20,1)&gt;RIGHT(Berekening!U20,1),$A273,IF(LEFT(Berekening!U20,1)&lt;RIGHT(Berekening!U20,1),$C273,"gelijkspel"))</f>
        <v>gelijkspel</v>
      </c>
      <c r="V273" s="166" t="str">
        <f>IF(LEFT(Berekening!V20,1)&gt;RIGHT(Berekening!V20,1),$A273,IF(LEFT(Berekening!V20,1)&lt;RIGHT(Berekening!V20,1),$C273,"gelijkspel"))</f>
        <v>gelijkspel</v>
      </c>
      <c r="W273" s="166" t="str">
        <f>IF(LEFT(Berekening!W20,1)&gt;RIGHT(Berekening!W20,1),$A273,IF(LEFT(Berekening!W20,1)&lt;RIGHT(Berekening!W20,1),$C273,"gelijkspel"))</f>
        <v>gelijkspel</v>
      </c>
      <c r="X273" s="166" t="str">
        <f>IF(LEFT(Berekening!X20,1)&gt;RIGHT(Berekening!X20,1),$A273,IF(LEFT(Berekening!X20,1)&lt;RIGHT(Berekening!X20,1),$C273,"gelijkspel"))</f>
        <v>gelijkspel</v>
      </c>
      <c r="Y273" s="166" t="str">
        <f>IF(LEFT(Berekening!Y20,1)&gt;RIGHT(Berekening!Y20,1),$A273,IF(LEFT(Berekening!Y20,1)&lt;RIGHT(Berekening!Y20,1),$C273,"gelijkspel"))</f>
        <v>gelijkspel</v>
      </c>
      <c r="Z273" s="166" t="str">
        <f>IF(LEFT(Berekening!Z20,1)&gt;RIGHT(Berekening!Z20,1),$A273,IF(LEFT(Berekening!Z20,1)&lt;RIGHT(Berekening!Z20,1),$C273,"gelijkspel"))</f>
        <v>gelijkspel</v>
      </c>
      <c r="AA273" s="166" t="str">
        <f>IF(LEFT(Berekening!AA20,1)&gt;RIGHT(Berekening!AA20,1),$A273,IF(LEFT(Berekening!AA20,1)&lt;RIGHT(Berekening!AA20,1),$C273,"gelijkspel"))</f>
        <v>gelijkspel</v>
      </c>
      <c r="AB273" s="166" t="str">
        <f>IF(LEFT(Berekening!AB20,1)&gt;RIGHT(Berekening!AB20,1),$A273,IF(LEFT(Berekening!AB20,1)&lt;RIGHT(Berekening!AB20,1),$C273,"gelijkspel"))</f>
        <v>gelijkspel</v>
      </c>
      <c r="AC273" s="166" t="str">
        <f>IF(LEFT(Berekening!AC20,1)&gt;RIGHT(Berekening!AC20,1),$A273,IF(LEFT(Berekening!AC20,1)&lt;RIGHT(Berekening!AC20,1),$C273,"gelijkspel"))</f>
        <v>gelijkspel</v>
      </c>
      <c r="AD273" s="166" t="str">
        <f>IF(LEFT(Berekening!AD20,1)&gt;RIGHT(Berekening!AD20,1),$A273,IF(LEFT(Berekening!AD20,1)&lt;RIGHT(Berekening!AD20,1),$C273,"gelijkspel"))</f>
        <v>gelijkspel</v>
      </c>
      <c r="AE273" s="166" t="str">
        <f>IF(LEFT(Berekening!AE20,1)&gt;RIGHT(Berekening!AE20,1),$A273,IF(LEFT(Berekening!AE20,1)&lt;RIGHT(Berekening!AE20,1),$C273,"gelijkspel"))</f>
        <v>gelijkspel</v>
      </c>
      <c r="AF273" s="166" t="str">
        <f>IF(LEFT(Berekening!AF20,1)&gt;RIGHT(Berekening!AF20,1),$A273,IF(LEFT(Berekening!AF20,1)&lt;RIGHT(Berekening!AF20,1),$C273,"gelijkspel"))</f>
        <v>gelijkspel</v>
      </c>
      <c r="AG273" s="166" t="str">
        <f>IF(LEFT(Berekening!AG20,1)&gt;RIGHT(Berekening!AG20,1),$A273,IF(LEFT(Berekening!AG20,1)&lt;RIGHT(Berekening!AG20,1),$C273,"gelijkspel"))</f>
        <v>gelijkspel</v>
      </c>
      <c r="AH273" s="166" t="str">
        <f>IF(LEFT(Berekening!AH20,1)&gt;RIGHT(Berekening!AH20,1),$A273,IF(LEFT(Berekening!AH20,1)&lt;RIGHT(Berekening!AH20,1),$C273,"gelijkspel"))</f>
        <v>gelijkspel</v>
      </c>
      <c r="AI273" s="166" t="str">
        <f>IF(LEFT(Berekening!AI20,1)&gt;RIGHT(Berekening!AI20,1),$A273,IF(LEFT(Berekening!AI20,1)&lt;RIGHT(Berekening!AI20,1),$C273,"gelijkspel"))</f>
        <v>gelijkspel</v>
      </c>
      <c r="AJ273" s="166" t="str">
        <f>IF(LEFT(Berekening!AJ20,1)&gt;RIGHT(Berekening!AJ20,1),$A273,IF(LEFT(Berekening!AJ20,1)&lt;RIGHT(Berekening!AJ20,1),$C273,"gelijkspel"))</f>
        <v>gelijkspel</v>
      </c>
      <c r="AK273" s="166" t="str">
        <f>IF(LEFT(Berekening!AK20,1)&gt;RIGHT(Berekening!AK20,1),$A273,IF(LEFT(Berekening!AK20,1)&lt;RIGHT(Berekening!AK20,1),$C273,"gelijkspel"))</f>
        <v>gelijkspel</v>
      </c>
      <c r="AL273" s="166" t="str">
        <f>IF(LEFT(Berekening!AL20,1)&gt;RIGHT(Berekening!AL20,1),$A273,IF(LEFT(Berekening!AL20,1)&lt;RIGHT(Berekening!AL20,1),$C273,"gelijkspel"))</f>
        <v>gelijkspel</v>
      </c>
      <c r="AM273" s="166" t="str">
        <f>IF(LEFT(Berekening!AM20,1)&gt;RIGHT(Berekening!AM20,1),$A273,IF(LEFT(Berekening!AM20,1)&lt;RIGHT(Berekening!AM20,1),$C273,"gelijkspel"))</f>
        <v>gelijkspel</v>
      </c>
      <c r="AN273" s="166" t="str">
        <f>IF(LEFT(Berekening!AN20,1)&gt;RIGHT(Berekening!AN20,1),$A273,IF(LEFT(Berekening!AN20,1)&lt;RIGHT(Berekening!AN20,1),$C273,"gelijkspel"))</f>
        <v>gelijkspel</v>
      </c>
      <c r="AO273" s="166" t="str">
        <f>IF(LEFT(Berekening!AO20,1)&gt;RIGHT(Berekening!AO20,1),$A273,IF(LEFT(Berekening!AO20,1)&lt;RIGHT(Berekening!AO20,1),$C273,"gelijkspel"))</f>
        <v>gelijkspel</v>
      </c>
      <c r="AP273" s="166" t="str">
        <f>IF(LEFT(Berekening!AP20,1)&gt;RIGHT(Berekening!AP20,1),$A273,IF(LEFT(Berekening!AP20,1)&lt;RIGHT(Berekening!AP20,1),$C273,"gelijkspel"))</f>
        <v>gelijkspel</v>
      </c>
      <c r="AQ273" s="166" t="str">
        <f>IF(LEFT(Berekening!AQ20,1)&gt;RIGHT(Berekening!AQ20,1),$A273,IF(LEFT(Berekening!AQ20,1)&lt;RIGHT(Berekening!AQ20,1),$C273,"gelijkspel"))</f>
        <v>gelijkspel</v>
      </c>
      <c r="AR273" s="166" t="str">
        <f>IF(LEFT(Berekening!AR20,1)&gt;RIGHT(Berekening!AR20,1),$A273,IF(LEFT(Berekening!AR20,1)&lt;RIGHT(Berekening!AR20,1),$C273,"gelijkspel"))</f>
        <v>gelijkspel</v>
      </c>
      <c r="AS273" s="166" t="str">
        <f>IF(LEFT(Berekening!AS20,1)&gt;RIGHT(Berekening!AS20,1),$A273,IF(LEFT(Berekening!AS20,1)&lt;RIGHT(Berekening!AS20,1),$C273,"gelijkspel"))</f>
        <v>gelijkspel</v>
      </c>
      <c r="AT273" s="166" t="str">
        <f>IF(LEFT(Berekening!AT20,1)&gt;RIGHT(Berekening!AT20,1),$A273,IF(LEFT(Berekening!AT20,1)&lt;RIGHT(Berekening!AT20,1),$C273,"gelijkspel"))</f>
        <v>gelijkspel</v>
      </c>
    </row>
    <row r="274" spans="1:46" s="161" customFormat="1" ht="15">
      <c r="A274" s="163" t="s">
        <v>2661</v>
      </c>
      <c r="B274" s="164" t="s">
        <v>2971</v>
      </c>
      <c r="C274" s="165" t="s">
        <v>1856</v>
      </c>
      <c r="E274" s="166" t="str">
        <f>IF(LEFT(Berekening!E21,1)&gt;RIGHT(Berekening!E21,1),$A274,IF(LEFT(Berekening!E21,1)&lt;RIGHT(Berekening!E21,1),$C274,"gelijkspel"))</f>
        <v>Engeland</v>
      </c>
      <c r="F274" s="166" t="str">
        <f>IF(LEFT(Berekening!F21,1)&gt;RIGHT(Berekening!F21,1),$A274,IF(LEFT(Berekening!F21,1)&lt;RIGHT(Berekening!F21,1),$C274,"gelijkspel"))</f>
        <v>Engeland</v>
      </c>
      <c r="G274" s="166" t="str">
        <f>IF(LEFT(Berekening!G21,1)&gt;RIGHT(Berekening!G21,1),$A274,IF(LEFT(Berekening!G21,1)&lt;RIGHT(Berekening!G21,1),$C274,"gelijkspel"))</f>
        <v>Engeland</v>
      </c>
      <c r="H274" s="166" t="str">
        <f>IF(LEFT(Berekening!H21,1)&gt;RIGHT(Berekening!H21,1),$A274,IF(LEFT(Berekening!H21,1)&lt;RIGHT(Berekening!H21,1),$C274,"gelijkspel"))</f>
        <v>Engeland</v>
      </c>
      <c r="I274" s="166" t="str">
        <f>IF(LEFT(Berekening!I21,1)&gt;RIGHT(Berekening!I21,1),$A274,IF(LEFT(Berekening!I21,1)&lt;RIGHT(Berekening!I21,1),$C274,"gelijkspel"))</f>
        <v>Engeland</v>
      </c>
      <c r="J274" s="166" t="str">
        <f>IF(LEFT(Berekening!J21,1)&gt;RIGHT(Berekening!J21,1),$A274,IF(LEFT(Berekening!J21,1)&lt;RIGHT(Berekening!J21,1),$C274,"gelijkspel"))</f>
        <v>Engeland</v>
      </c>
      <c r="K274" s="166" t="str">
        <f>IF(LEFT(Berekening!K21,1)&gt;RIGHT(Berekening!K21,1),$A274,IF(LEFT(Berekening!K21,1)&lt;RIGHT(Berekening!K21,1),$C274,"gelijkspel"))</f>
        <v>Engeland</v>
      </c>
      <c r="L274" s="166" t="str">
        <f>IF(LEFT(Berekening!L21,1)&gt;RIGHT(Berekening!L21,1),$A274,IF(LEFT(Berekening!L21,1)&lt;RIGHT(Berekening!L21,1),$C274,"gelijkspel"))</f>
        <v>Engeland</v>
      </c>
      <c r="M274" s="166" t="str">
        <f>IF(LEFT(Berekening!M21,1)&gt;RIGHT(Berekening!M21,1),$A274,IF(LEFT(Berekening!M21,1)&lt;RIGHT(Berekening!M21,1),$C274,"gelijkspel"))</f>
        <v>Engeland</v>
      </c>
      <c r="N274" s="166" t="str">
        <f>IF(LEFT(Berekening!N21,1)&gt;RIGHT(Berekening!N21,1),$A274,IF(LEFT(Berekening!N21,1)&lt;RIGHT(Berekening!N21,1),$C274,"gelijkspel"))</f>
        <v>Engeland</v>
      </c>
      <c r="O274" s="166" t="str">
        <f>IF(LEFT(Berekening!O21,1)&gt;RIGHT(Berekening!O21,1),$A274,IF(LEFT(Berekening!O21,1)&lt;RIGHT(Berekening!O21,1),$C274,"gelijkspel"))</f>
        <v>Engeland</v>
      </c>
      <c r="P274" s="166" t="str">
        <f>IF(LEFT(Berekening!P21,1)&gt;RIGHT(Berekening!P21,1),$A274,IF(LEFT(Berekening!P21,1)&lt;RIGHT(Berekening!P21,1),$C274,"gelijkspel"))</f>
        <v>Engeland</v>
      </c>
      <c r="Q274" s="166" t="str">
        <f>IF(LEFT(Berekening!Q21,1)&gt;RIGHT(Berekening!Q21,1),$A274,IF(LEFT(Berekening!Q21,1)&lt;RIGHT(Berekening!Q21,1),$C274,"gelijkspel"))</f>
        <v>Engeland</v>
      </c>
      <c r="R274" s="166" t="str">
        <f>IF(LEFT(Berekening!R21,1)&gt;RIGHT(Berekening!R21,1),$A274,IF(LEFT(Berekening!R21,1)&lt;RIGHT(Berekening!R21,1),$C274,"gelijkspel"))</f>
        <v>Engeland</v>
      </c>
      <c r="S274" s="166" t="str">
        <f>IF(LEFT(Berekening!S21,1)&gt;RIGHT(Berekening!S21,1),$A274,IF(LEFT(Berekening!S21,1)&lt;RIGHT(Berekening!S21,1),$C274,"gelijkspel"))</f>
        <v>Engeland</v>
      </c>
      <c r="T274" s="166" t="str">
        <f>IF(LEFT(Berekening!T21,1)&gt;RIGHT(Berekening!T21,1),$A274,IF(LEFT(Berekening!T21,1)&lt;RIGHT(Berekening!T21,1),$C274,"gelijkspel"))</f>
        <v>Engeland</v>
      </c>
      <c r="U274" s="166" t="str">
        <f>IF(LEFT(Berekening!U21,1)&gt;RIGHT(Berekening!U21,1),$A274,IF(LEFT(Berekening!U21,1)&lt;RIGHT(Berekening!U21,1),$C274,"gelijkspel"))</f>
        <v>gelijkspel</v>
      </c>
      <c r="V274" s="166" t="str">
        <f>IF(LEFT(Berekening!V21,1)&gt;RIGHT(Berekening!V21,1),$A274,IF(LEFT(Berekening!V21,1)&lt;RIGHT(Berekening!V21,1),$C274,"gelijkspel"))</f>
        <v>gelijkspel</v>
      </c>
      <c r="W274" s="166" t="str">
        <f>IF(LEFT(Berekening!W21,1)&gt;RIGHT(Berekening!W21,1),$A274,IF(LEFT(Berekening!W21,1)&lt;RIGHT(Berekening!W21,1),$C274,"gelijkspel"))</f>
        <v>gelijkspel</v>
      </c>
      <c r="X274" s="166" t="str">
        <f>IF(LEFT(Berekening!X21,1)&gt;RIGHT(Berekening!X21,1),$A274,IF(LEFT(Berekening!X21,1)&lt;RIGHT(Berekening!X21,1),$C274,"gelijkspel"))</f>
        <v>gelijkspel</v>
      </c>
      <c r="Y274" s="166" t="str">
        <f>IF(LEFT(Berekening!Y21,1)&gt;RIGHT(Berekening!Y21,1),$A274,IF(LEFT(Berekening!Y21,1)&lt;RIGHT(Berekening!Y21,1),$C274,"gelijkspel"))</f>
        <v>gelijkspel</v>
      </c>
      <c r="Z274" s="166" t="str">
        <f>IF(LEFT(Berekening!Z21,1)&gt;RIGHT(Berekening!Z21,1),$A274,IF(LEFT(Berekening!Z21,1)&lt;RIGHT(Berekening!Z21,1),$C274,"gelijkspel"))</f>
        <v>gelijkspel</v>
      </c>
      <c r="AA274" s="166" t="str">
        <f>IF(LEFT(Berekening!AA21,1)&gt;RIGHT(Berekening!AA21,1),$A274,IF(LEFT(Berekening!AA21,1)&lt;RIGHT(Berekening!AA21,1),$C274,"gelijkspel"))</f>
        <v>gelijkspel</v>
      </c>
      <c r="AB274" s="166" t="str">
        <f>IF(LEFT(Berekening!AB21,1)&gt;RIGHT(Berekening!AB21,1),$A274,IF(LEFT(Berekening!AB21,1)&lt;RIGHT(Berekening!AB21,1),$C274,"gelijkspel"))</f>
        <v>gelijkspel</v>
      </c>
      <c r="AC274" s="166" t="str">
        <f>IF(LEFT(Berekening!AC21,1)&gt;RIGHT(Berekening!AC21,1),$A274,IF(LEFT(Berekening!AC21,1)&lt;RIGHT(Berekening!AC21,1),$C274,"gelijkspel"))</f>
        <v>gelijkspel</v>
      </c>
      <c r="AD274" s="166" t="str">
        <f>IF(LEFT(Berekening!AD21,1)&gt;RIGHT(Berekening!AD21,1),$A274,IF(LEFT(Berekening!AD21,1)&lt;RIGHT(Berekening!AD21,1),$C274,"gelijkspel"))</f>
        <v>gelijkspel</v>
      </c>
      <c r="AE274" s="166" t="str">
        <f>IF(LEFT(Berekening!AE21,1)&gt;RIGHT(Berekening!AE21,1),$A274,IF(LEFT(Berekening!AE21,1)&lt;RIGHT(Berekening!AE21,1),$C274,"gelijkspel"))</f>
        <v>gelijkspel</v>
      </c>
      <c r="AF274" s="166" t="str">
        <f>IF(LEFT(Berekening!AF21,1)&gt;RIGHT(Berekening!AF21,1),$A274,IF(LEFT(Berekening!AF21,1)&lt;RIGHT(Berekening!AF21,1),$C274,"gelijkspel"))</f>
        <v>gelijkspel</v>
      </c>
      <c r="AG274" s="166" t="str">
        <f>IF(LEFT(Berekening!AG21,1)&gt;RIGHT(Berekening!AG21,1),$A274,IF(LEFT(Berekening!AG21,1)&lt;RIGHT(Berekening!AG21,1),$C274,"gelijkspel"))</f>
        <v>gelijkspel</v>
      </c>
      <c r="AH274" s="166" t="str">
        <f>IF(LEFT(Berekening!AH21,1)&gt;RIGHT(Berekening!AH21,1),$A274,IF(LEFT(Berekening!AH21,1)&lt;RIGHT(Berekening!AH21,1),$C274,"gelijkspel"))</f>
        <v>gelijkspel</v>
      </c>
      <c r="AI274" s="166" t="str">
        <f>IF(LEFT(Berekening!AI21,1)&gt;RIGHT(Berekening!AI21,1),$A274,IF(LEFT(Berekening!AI21,1)&lt;RIGHT(Berekening!AI21,1),$C274,"gelijkspel"))</f>
        <v>gelijkspel</v>
      </c>
      <c r="AJ274" s="166" t="str">
        <f>IF(LEFT(Berekening!AJ21,1)&gt;RIGHT(Berekening!AJ21,1),$A274,IF(LEFT(Berekening!AJ21,1)&lt;RIGHT(Berekening!AJ21,1),$C274,"gelijkspel"))</f>
        <v>gelijkspel</v>
      </c>
      <c r="AK274" s="166" t="str">
        <f>IF(LEFT(Berekening!AK21,1)&gt;RIGHT(Berekening!AK21,1),$A274,IF(LEFT(Berekening!AK21,1)&lt;RIGHT(Berekening!AK21,1),$C274,"gelijkspel"))</f>
        <v>gelijkspel</v>
      </c>
      <c r="AL274" s="166" t="str">
        <f>IF(LEFT(Berekening!AL21,1)&gt;RIGHT(Berekening!AL21,1),$A274,IF(LEFT(Berekening!AL21,1)&lt;RIGHT(Berekening!AL21,1),$C274,"gelijkspel"))</f>
        <v>gelijkspel</v>
      </c>
      <c r="AM274" s="166" t="str">
        <f>IF(LEFT(Berekening!AM21,1)&gt;RIGHT(Berekening!AM21,1),$A274,IF(LEFT(Berekening!AM21,1)&lt;RIGHT(Berekening!AM21,1),$C274,"gelijkspel"))</f>
        <v>gelijkspel</v>
      </c>
      <c r="AN274" s="166" t="str">
        <f>IF(LEFT(Berekening!AN21,1)&gt;RIGHT(Berekening!AN21,1),$A274,IF(LEFT(Berekening!AN21,1)&lt;RIGHT(Berekening!AN21,1),$C274,"gelijkspel"))</f>
        <v>gelijkspel</v>
      </c>
      <c r="AO274" s="166" t="str">
        <f>IF(LEFT(Berekening!AO21,1)&gt;RIGHT(Berekening!AO21,1),$A274,IF(LEFT(Berekening!AO21,1)&lt;RIGHT(Berekening!AO21,1),$C274,"gelijkspel"))</f>
        <v>gelijkspel</v>
      </c>
      <c r="AP274" s="166" t="str">
        <f>IF(LEFT(Berekening!AP21,1)&gt;RIGHT(Berekening!AP21,1),$A274,IF(LEFT(Berekening!AP21,1)&lt;RIGHT(Berekening!AP21,1),$C274,"gelijkspel"))</f>
        <v>gelijkspel</v>
      </c>
      <c r="AQ274" s="166" t="str">
        <f>IF(LEFT(Berekening!AQ21,1)&gt;RIGHT(Berekening!AQ21,1),$A274,IF(LEFT(Berekening!AQ21,1)&lt;RIGHT(Berekening!AQ21,1),$C274,"gelijkspel"))</f>
        <v>gelijkspel</v>
      </c>
      <c r="AR274" s="166" t="str">
        <f>IF(LEFT(Berekening!AR21,1)&gt;RIGHT(Berekening!AR21,1),$A274,IF(LEFT(Berekening!AR21,1)&lt;RIGHT(Berekening!AR21,1),$C274,"gelijkspel"))</f>
        <v>gelijkspel</v>
      </c>
      <c r="AS274" s="166" t="str">
        <f>IF(LEFT(Berekening!AS21,1)&gt;RIGHT(Berekening!AS21,1),$A274,IF(LEFT(Berekening!AS21,1)&lt;RIGHT(Berekening!AS21,1),$C274,"gelijkspel"))</f>
        <v>gelijkspel</v>
      </c>
      <c r="AT274" s="166" t="str">
        <f>IF(LEFT(Berekening!AT21,1)&gt;RIGHT(Berekening!AT21,1),$A274,IF(LEFT(Berekening!AT21,1)&lt;RIGHT(Berekening!AT21,1),$C274,"gelijkspel"))</f>
        <v>gelijkspel</v>
      </c>
    </row>
    <row r="275" spans="1:46" s="161" customFormat="1" ht="15">
      <c r="A275" s="163" t="s">
        <v>1043</v>
      </c>
      <c r="B275" s="164" t="s">
        <v>2971</v>
      </c>
      <c r="C275" s="165" t="s">
        <v>1235</v>
      </c>
      <c r="E275" s="166" t="str">
        <f>IF(LEFT(Berekening!E22,1)&gt;RIGHT(Berekening!E22,1),$A275,IF(LEFT(Berekening!E22,1)&lt;RIGHT(Berekening!E22,1),$C275,"gelijkspel"))</f>
        <v>Oekraïne</v>
      </c>
      <c r="F275" s="166" t="str">
        <f>IF(LEFT(Berekening!F22,1)&gt;RIGHT(Berekening!F22,1),$A275,IF(LEFT(Berekening!F22,1)&lt;RIGHT(Berekening!F22,1),$C275,"gelijkspel"))</f>
        <v>Oekraïne</v>
      </c>
      <c r="G275" s="166" t="str">
        <f>IF(LEFT(Berekening!G22,1)&gt;RIGHT(Berekening!G22,1),$A275,IF(LEFT(Berekening!G22,1)&lt;RIGHT(Berekening!G22,1),$C275,"gelijkspel"))</f>
        <v>Oekraïne</v>
      </c>
      <c r="H275" s="166" t="str">
        <f>IF(LEFT(Berekening!H22,1)&gt;RIGHT(Berekening!H22,1),$A275,IF(LEFT(Berekening!H22,1)&lt;RIGHT(Berekening!H22,1),$C275,"gelijkspel"))</f>
        <v>Oekraïne</v>
      </c>
      <c r="I275" s="166" t="str">
        <f>IF(LEFT(Berekening!I22,1)&gt;RIGHT(Berekening!I22,1),$A275,IF(LEFT(Berekening!I22,1)&lt;RIGHT(Berekening!I22,1),$C275,"gelijkspel"))</f>
        <v>Oekraïne</v>
      </c>
      <c r="J275" s="166" t="str">
        <f>IF(LEFT(Berekening!J22,1)&gt;RIGHT(Berekening!J22,1),$A275,IF(LEFT(Berekening!J22,1)&lt;RIGHT(Berekening!J22,1),$C275,"gelijkspel"))</f>
        <v>gelijkspel</v>
      </c>
      <c r="K275" s="166" t="str">
        <f>IF(LEFT(Berekening!K22,1)&gt;RIGHT(Berekening!K22,1),$A275,IF(LEFT(Berekening!K22,1)&lt;RIGHT(Berekening!K22,1),$C275,"gelijkspel"))</f>
        <v>Oekraïne</v>
      </c>
      <c r="L275" s="166" t="str">
        <f>IF(LEFT(Berekening!L22,1)&gt;RIGHT(Berekening!L22,1),$A275,IF(LEFT(Berekening!L22,1)&lt;RIGHT(Berekening!L22,1),$C275,"gelijkspel"))</f>
        <v>Oekraïne</v>
      </c>
      <c r="M275" s="166" t="str">
        <f>IF(LEFT(Berekening!M22,1)&gt;RIGHT(Berekening!M22,1),$A275,IF(LEFT(Berekening!M22,1)&lt;RIGHT(Berekening!M22,1),$C275,"gelijkspel"))</f>
        <v>Oekraïne</v>
      </c>
      <c r="N275" s="166" t="str">
        <f>IF(LEFT(Berekening!N22,1)&gt;RIGHT(Berekening!N22,1),$A275,IF(LEFT(Berekening!N22,1)&lt;RIGHT(Berekening!N22,1),$C275,"gelijkspel"))</f>
        <v>Oekraïne</v>
      </c>
      <c r="O275" s="166" t="str">
        <f>IF(LEFT(Berekening!O22,1)&gt;RIGHT(Berekening!O22,1),$A275,IF(LEFT(Berekening!O22,1)&lt;RIGHT(Berekening!O22,1),$C275,"gelijkspel"))</f>
        <v>Oekraïne</v>
      </c>
      <c r="P275" s="166" t="str">
        <f>IF(LEFT(Berekening!P22,1)&gt;RIGHT(Berekening!P22,1),$A275,IF(LEFT(Berekening!P22,1)&lt;RIGHT(Berekening!P22,1),$C275,"gelijkspel"))</f>
        <v>Oekraïne</v>
      </c>
      <c r="Q275" s="166" t="str">
        <f>IF(LEFT(Berekening!Q22,1)&gt;RIGHT(Berekening!Q22,1),$A275,IF(LEFT(Berekening!Q22,1)&lt;RIGHT(Berekening!Q22,1),$C275,"gelijkspel"))</f>
        <v>Oekraïne</v>
      </c>
      <c r="R275" s="166" t="str">
        <f>IF(LEFT(Berekening!R22,1)&gt;RIGHT(Berekening!R22,1),$A275,IF(LEFT(Berekening!R22,1)&lt;RIGHT(Berekening!R22,1),$C275,"gelijkspel"))</f>
        <v>gelijkspel</v>
      </c>
      <c r="S275" s="166" t="str">
        <f>IF(LEFT(Berekening!S22,1)&gt;RIGHT(Berekening!S22,1),$A275,IF(LEFT(Berekening!S22,1)&lt;RIGHT(Berekening!S22,1),$C275,"gelijkspel"))</f>
        <v>Oekraïne</v>
      </c>
      <c r="T275" s="166" t="str">
        <f>IF(LEFT(Berekening!T22,1)&gt;RIGHT(Berekening!T22,1),$A275,IF(LEFT(Berekening!T22,1)&lt;RIGHT(Berekening!T22,1),$C275,"gelijkspel"))</f>
        <v>gelijkspel</v>
      </c>
      <c r="U275" s="166" t="str">
        <f>IF(LEFT(Berekening!U22,1)&gt;RIGHT(Berekening!U22,1),$A275,IF(LEFT(Berekening!U22,1)&lt;RIGHT(Berekening!U22,1),$C275,"gelijkspel"))</f>
        <v>gelijkspel</v>
      </c>
      <c r="V275" s="166" t="str">
        <f>IF(LEFT(Berekening!V22,1)&gt;RIGHT(Berekening!V22,1),$A275,IF(LEFT(Berekening!V22,1)&lt;RIGHT(Berekening!V22,1),$C275,"gelijkspel"))</f>
        <v>gelijkspel</v>
      </c>
      <c r="W275" s="166" t="str">
        <f>IF(LEFT(Berekening!W22,1)&gt;RIGHT(Berekening!W22,1),$A275,IF(LEFT(Berekening!W22,1)&lt;RIGHT(Berekening!W22,1),$C275,"gelijkspel"))</f>
        <v>gelijkspel</v>
      </c>
      <c r="X275" s="166" t="str">
        <f>IF(LEFT(Berekening!X22,1)&gt;RIGHT(Berekening!X22,1),$A275,IF(LEFT(Berekening!X22,1)&lt;RIGHT(Berekening!X22,1),$C275,"gelijkspel"))</f>
        <v>gelijkspel</v>
      </c>
      <c r="Y275" s="166" t="str">
        <f>IF(LEFT(Berekening!Y22,1)&gt;RIGHT(Berekening!Y22,1),$A275,IF(LEFT(Berekening!Y22,1)&lt;RIGHT(Berekening!Y22,1),$C275,"gelijkspel"))</f>
        <v>gelijkspel</v>
      </c>
      <c r="Z275" s="166" t="str">
        <f>IF(LEFT(Berekening!Z22,1)&gt;RIGHT(Berekening!Z22,1),$A275,IF(LEFT(Berekening!Z22,1)&lt;RIGHT(Berekening!Z22,1),$C275,"gelijkspel"))</f>
        <v>gelijkspel</v>
      </c>
      <c r="AA275" s="166" t="str">
        <f>IF(LEFT(Berekening!AA22,1)&gt;RIGHT(Berekening!AA22,1),$A275,IF(LEFT(Berekening!AA22,1)&lt;RIGHT(Berekening!AA22,1),$C275,"gelijkspel"))</f>
        <v>gelijkspel</v>
      </c>
      <c r="AB275" s="166" t="str">
        <f>IF(LEFT(Berekening!AB22,1)&gt;RIGHT(Berekening!AB22,1),$A275,IF(LEFT(Berekening!AB22,1)&lt;RIGHT(Berekening!AB22,1),$C275,"gelijkspel"))</f>
        <v>gelijkspel</v>
      </c>
      <c r="AC275" s="166" t="str">
        <f>IF(LEFT(Berekening!AC22,1)&gt;RIGHT(Berekening!AC22,1),$A275,IF(LEFT(Berekening!AC22,1)&lt;RIGHT(Berekening!AC22,1),$C275,"gelijkspel"))</f>
        <v>gelijkspel</v>
      </c>
      <c r="AD275" s="166" t="str">
        <f>IF(LEFT(Berekening!AD22,1)&gt;RIGHT(Berekening!AD22,1),$A275,IF(LEFT(Berekening!AD22,1)&lt;RIGHT(Berekening!AD22,1),$C275,"gelijkspel"))</f>
        <v>gelijkspel</v>
      </c>
      <c r="AE275" s="166" t="str">
        <f>IF(LEFT(Berekening!AE22,1)&gt;RIGHT(Berekening!AE22,1),$A275,IF(LEFT(Berekening!AE22,1)&lt;RIGHT(Berekening!AE22,1),$C275,"gelijkspel"))</f>
        <v>gelijkspel</v>
      </c>
      <c r="AF275" s="166" t="str">
        <f>IF(LEFT(Berekening!AF22,1)&gt;RIGHT(Berekening!AF22,1),$A275,IF(LEFT(Berekening!AF22,1)&lt;RIGHT(Berekening!AF22,1),$C275,"gelijkspel"))</f>
        <v>gelijkspel</v>
      </c>
      <c r="AG275" s="166" t="str">
        <f>IF(LEFT(Berekening!AG22,1)&gt;RIGHT(Berekening!AG22,1),$A275,IF(LEFT(Berekening!AG22,1)&lt;RIGHT(Berekening!AG22,1),$C275,"gelijkspel"))</f>
        <v>gelijkspel</v>
      </c>
      <c r="AH275" s="166" t="str">
        <f>IF(LEFT(Berekening!AH22,1)&gt;RIGHT(Berekening!AH22,1),$A275,IF(LEFT(Berekening!AH22,1)&lt;RIGHT(Berekening!AH22,1),$C275,"gelijkspel"))</f>
        <v>gelijkspel</v>
      </c>
      <c r="AI275" s="166" t="str">
        <f>IF(LEFT(Berekening!AI22,1)&gt;RIGHT(Berekening!AI22,1),$A275,IF(LEFT(Berekening!AI22,1)&lt;RIGHT(Berekening!AI22,1),$C275,"gelijkspel"))</f>
        <v>gelijkspel</v>
      </c>
      <c r="AJ275" s="166" t="str">
        <f>IF(LEFT(Berekening!AJ22,1)&gt;RIGHT(Berekening!AJ22,1),$A275,IF(LEFT(Berekening!AJ22,1)&lt;RIGHT(Berekening!AJ22,1),$C275,"gelijkspel"))</f>
        <v>gelijkspel</v>
      </c>
      <c r="AK275" s="166" t="str">
        <f>IF(LEFT(Berekening!AK22,1)&gt;RIGHT(Berekening!AK22,1),$A275,IF(LEFT(Berekening!AK22,1)&lt;RIGHT(Berekening!AK22,1),$C275,"gelijkspel"))</f>
        <v>gelijkspel</v>
      </c>
      <c r="AL275" s="166" t="str">
        <f>IF(LEFT(Berekening!AL22,1)&gt;RIGHT(Berekening!AL22,1),$A275,IF(LEFT(Berekening!AL22,1)&lt;RIGHT(Berekening!AL22,1),$C275,"gelijkspel"))</f>
        <v>gelijkspel</v>
      </c>
      <c r="AM275" s="166" t="str">
        <f>IF(LEFT(Berekening!AM22,1)&gt;RIGHT(Berekening!AM22,1),$A275,IF(LEFT(Berekening!AM22,1)&lt;RIGHT(Berekening!AM22,1),$C275,"gelijkspel"))</f>
        <v>gelijkspel</v>
      </c>
      <c r="AN275" s="166" t="str">
        <f>IF(LEFT(Berekening!AN22,1)&gt;RIGHT(Berekening!AN22,1),$A275,IF(LEFT(Berekening!AN22,1)&lt;RIGHT(Berekening!AN22,1),$C275,"gelijkspel"))</f>
        <v>gelijkspel</v>
      </c>
      <c r="AO275" s="166" t="str">
        <f>IF(LEFT(Berekening!AO22,1)&gt;RIGHT(Berekening!AO22,1),$A275,IF(LEFT(Berekening!AO22,1)&lt;RIGHT(Berekening!AO22,1),$C275,"gelijkspel"))</f>
        <v>gelijkspel</v>
      </c>
      <c r="AP275" s="166" t="str">
        <f>IF(LEFT(Berekening!AP22,1)&gt;RIGHT(Berekening!AP22,1),$A275,IF(LEFT(Berekening!AP22,1)&lt;RIGHT(Berekening!AP22,1),$C275,"gelijkspel"))</f>
        <v>gelijkspel</v>
      </c>
      <c r="AQ275" s="166" t="str">
        <f>IF(LEFT(Berekening!AQ22,1)&gt;RIGHT(Berekening!AQ22,1),$A275,IF(LEFT(Berekening!AQ22,1)&lt;RIGHT(Berekening!AQ22,1),$C275,"gelijkspel"))</f>
        <v>gelijkspel</v>
      </c>
      <c r="AR275" s="166" t="str">
        <f>IF(LEFT(Berekening!AR22,1)&gt;RIGHT(Berekening!AR22,1),$A275,IF(LEFT(Berekening!AR22,1)&lt;RIGHT(Berekening!AR22,1),$C275,"gelijkspel"))</f>
        <v>gelijkspel</v>
      </c>
      <c r="AS275" s="166" t="str">
        <f>IF(LEFT(Berekening!AS22,1)&gt;RIGHT(Berekening!AS22,1),$A275,IF(LEFT(Berekening!AS22,1)&lt;RIGHT(Berekening!AS22,1),$C275,"gelijkspel"))</f>
        <v>gelijkspel</v>
      </c>
      <c r="AT275" s="166" t="str">
        <f>IF(LEFT(Berekening!AT22,1)&gt;RIGHT(Berekening!AT22,1),$A275,IF(LEFT(Berekening!AT22,1)&lt;RIGHT(Berekening!AT22,1),$C275,"gelijkspel"))</f>
        <v>gelijkspel</v>
      </c>
    </row>
    <row r="276" spans="1:46" s="161" customFormat="1" ht="15">
      <c r="A276" s="163" t="s">
        <v>1889</v>
      </c>
      <c r="B276" s="164" t="s">
        <v>2971</v>
      </c>
      <c r="C276" s="165" t="s">
        <v>1433</v>
      </c>
      <c r="E276" s="166" t="str">
        <f>IF(LEFT(Berekening!E23,1)&gt;RIGHT(Berekening!E23,1),$A276,IF(LEFT(Berekening!E23,1)&lt;RIGHT(Berekening!E23,1),$C276,"gelijkspel"))</f>
        <v>België</v>
      </c>
      <c r="F276" s="166" t="str">
        <f>IF(LEFT(Berekening!F23,1)&gt;RIGHT(Berekening!F23,1),$A276,IF(LEFT(Berekening!F23,1)&lt;RIGHT(Berekening!F23,1),$C276,"gelijkspel"))</f>
        <v>België</v>
      </c>
      <c r="G276" s="166" t="str">
        <f>IF(LEFT(Berekening!G23,1)&gt;RIGHT(Berekening!G23,1),$A276,IF(LEFT(Berekening!G23,1)&lt;RIGHT(Berekening!G23,1),$C276,"gelijkspel"))</f>
        <v>België</v>
      </c>
      <c r="H276" s="166" t="str">
        <f>IF(LEFT(Berekening!H23,1)&gt;RIGHT(Berekening!H23,1),$A276,IF(LEFT(Berekening!H23,1)&lt;RIGHT(Berekening!H23,1),$C276,"gelijkspel"))</f>
        <v>België</v>
      </c>
      <c r="I276" s="166" t="str">
        <f>IF(LEFT(Berekening!I23,1)&gt;RIGHT(Berekening!I23,1),$A276,IF(LEFT(Berekening!I23,1)&lt;RIGHT(Berekening!I23,1),$C276,"gelijkspel"))</f>
        <v>België</v>
      </c>
      <c r="J276" s="166" t="str">
        <f>IF(LEFT(Berekening!J23,1)&gt;RIGHT(Berekening!J23,1),$A276,IF(LEFT(Berekening!J23,1)&lt;RIGHT(Berekening!J23,1),$C276,"gelijkspel"))</f>
        <v>België</v>
      </c>
      <c r="K276" s="166" t="str">
        <f>IF(LEFT(Berekening!K23,1)&gt;RIGHT(Berekening!K23,1),$A276,IF(LEFT(Berekening!K23,1)&lt;RIGHT(Berekening!K23,1),$C276,"gelijkspel"))</f>
        <v>België</v>
      </c>
      <c r="L276" s="166" t="str">
        <f>IF(LEFT(Berekening!L23,1)&gt;RIGHT(Berekening!L23,1),$A276,IF(LEFT(Berekening!L23,1)&lt;RIGHT(Berekening!L23,1),$C276,"gelijkspel"))</f>
        <v>België</v>
      </c>
      <c r="M276" s="166" t="str">
        <f>IF(LEFT(Berekening!M23,1)&gt;RIGHT(Berekening!M23,1),$A276,IF(LEFT(Berekening!M23,1)&lt;RIGHT(Berekening!M23,1),$C276,"gelijkspel"))</f>
        <v>België</v>
      </c>
      <c r="N276" s="166" t="str">
        <f>IF(LEFT(Berekening!N23,1)&gt;RIGHT(Berekening!N23,1),$A276,IF(LEFT(Berekening!N23,1)&lt;RIGHT(Berekening!N23,1),$C276,"gelijkspel"))</f>
        <v>België</v>
      </c>
      <c r="O276" s="166" t="str">
        <f>IF(LEFT(Berekening!O23,1)&gt;RIGHT(Berekening!O23,1),$A276,IF(LEFT(Berekening!O23,1)&lt;RIGHT(Berekening!O23,1),$C276,"gelijkspel"))</f>
        <v>België</v>
      </c>
      <c r="P276" s="166" t="str">
        <f>IF(LEFT(Berekening!P23,1)&gt;RIGHT(Berekening!P23,1),$A276,IF(LEFT(Berekening!P23,1)&lt;RIGHT(Berekening!P23,1),$C276,"gelijkspel"))</f>
        <v>België</v>
      </c>
      <c r="Q276" s="166" t="str">
        <f>IF(LEFT(Berekening!Q23,1)&gt;RIGHT(Berekening!Q23,1),$A276,IF(LEFT(Berekening!Q23,1)&lt;RIGHT(Berekening!Q23,1),$C276,"gelijkspel"))</f>
        <v>België</v>
      </c>
      <c r="R276" s="166" t="str">
        <f>IF(LEFT(Berekening!R23,1)&gt;RIGHT(Berekening!R23,1),$A276,IF(LEFT(Berekening!R23,1)&lt;RIGHT(Berekening!R23,1),$C276,"gelijkspel"))</f>
        <v>België</v>
      </c>
      <c r="S276" s="166" t="str">
        <f>IF(LEFT(Berekening!S23,1)&gt;RIGHT(Berekening!S23,1),$A276,IF(LEFT(Berekening!S23,1)&lt;RIGHT(Berekening!S23,1),$C276,"gelijkspel"))</f>
        <v>België</v>
      </c>
      <c r="T276" s="166" t="str">
        <f>IF(LEFT(Berekening!T23,1)&gt;RIGHT(Berekening!T23,1),$A276,IF(LEFT(Berekening!T23,1)&lt;RIGHT(Berekening!T23,1),$C276,"gelijkspel"))</f>
        <v>België</v>
      </c>
      <c r="U276" s="166" t="str">
        <f>IF(LEFT(Berekening!U23,1)&gt;RIGHT(Berekening!U23,1),$A276,IF(LEFT(Berekening!U23,1)&lt;RIGHT(Berekening!U23,1),$C276,"gelijkspel"))</f>
        <v>gelijkspel</v>
      </c>
      <c r="V276" s="166" t="str">
        <f>IF(LEFT(Berekening!V23,1)&gt;RIGHT(Berekening!V23,1),$A276,IF(LEFT(Berekening!V23,1)&lt;RIGHT(Berekening!V23,1),$C276,"gelijkspel"))</f>
        <v>gelijkspel</v>
      </c>
      <c r="W276" s="166" t="str">
        <f>IF(LEFT(Berekening!W23,1)&gt;RIGHT(Berekening!W23,1),$A276,IF(LEFT(Berekening!W23,1)&lt;RIGHT(Berekening!W23,1),$C276,"gelijkspel"))</f>
        <v>gelijkspel</v>
      </c>
      <c r="X276" s="166" t="str">
        <f>IF(LEFT(Berekening!X23,1)&gt;RIGHT(Berekening!X23,1),$A276,IF(LEFT(Berekening!X23,1)&lt;RIGHT(Berekening!X23,1),$C276,"gelijkspel"))</f>
        <v>gelijkspel</v>
      </c>
      <c r="Y276" s="166" t="str">
        <f>IF(LEFT(Berekening!Y23,1)&gt;RIGHT(Berekening!Y23,1),$A276,IF(LEFT(Berekening!Y23,1)&lt;RIGHT(Berekening!Y23,1),$C276,"gelijkspel"))</f>
        <v>gelijkspel</v>
      </c>
      <c r="Z276" s="166" t="str">
        <f>IF(LEFT(Berekening!Z23,1)&gt;RIGHT(Berekening!Z23,1),$A276,IF(LEFT(Berekening!Z23,1)&lt;RIGHT(Berekening!Z23,1),$C276,"gelijkspel"))</f>
        <v>gelijkspel</v>
      </c>
      <c r="AA276" s="166" t="str">
        <f>IF(LEFT(Berekening!AA23,1)&gt;RIGHT(Berekening!AA23,1),$A276,IF(LEFT(Berekening!AA23,1)&lt;RIGHT(Berekening!AA23,1),$C276,"gelijkspel"))</f>
        <v>gelijkspel</v>
      </c>
      <c r="AB276" s="166" t="str">
        <f>IF(LEFT(Berekening!AB23,1)&gt;RIGHT(Berekening!AB23,1),$A276,IF(LEFT(Berekening!AB23,1)&lt;RIGHT(Berekening!AB23,1),$C276,"gelijkspel"))</f>
        <v>gelijkspel</v>
      </c>
      <c r="AC276" s="166" t="str">
        <f>IF(LEFT(Berekening!AC23,1)&gt;RIGHT(Berekening!AC23,1),$A276,IF(LEFT(Berekening!AC23,1)&lt;RIGHT(Berekening!AC23,1),$C276,"gelijkspel"))</f>
        <v>gelijkspel</v>
      </c>
      <c r="AD276" s="166" t="str">
        <f>IF(LEFT(Berekening!AD23,1)&gt;RIGHT(Berekening!AD23,1),$A276,IF(LEFT(Berekening!AD23,1)&lt;RIGHT(Berekening!AD23,1),$C276,"gelijkspel"))</f>
        <v>gelijkspel</v>
      </c>
      <c r="AE276" s="166" t="str">
        <f>IF(LEFT(Berekening!AE23,1)&gt;RIGHT(Berekening!AE23,1),$A276,IF(LEFT(Berekening!AE23,1)&lt;RIGHT(Berekening!AE23,1),$C276,"gelijkspel"))</f>
        <v>gelijkspel</v>
      </c>
      <c r="AF276" s="166" t="str">
        <f>IF(LEFT(Berekening!AF23,1)&gt;RIGHT(Berekening!AF23,1),$A276,IF(LEFT(Berekening!AF23,1)&lt;RIGHT(Berekening!AF23,1),$C276,"gelijkspel"))</f>
        <v>gelijkspel</v>
      </c>
      <c r="AG276" s="166" t="str">
        <f>IF(LEFT(Berekening!AG23,1)&gt;RIGHT(Berekening!AG23,1),$A276,IF(LEFT(Berekening!AG23,1)&lt;RIGHT(Berekening!AG23,1),$C276,"gelijkspel"))</f>
        <v>gelijkspel</v>
      </c>
      <c r="AH276" s="166" t="str">
        <f>IF(LEFT(Berekening!AH23,1)&gt;RIGHT(Berekening!AH23,1),$A276,IF(LEFT(Berekening!AH23,1)&lt;RIGHT(Berekening!AH23,1),$C276,"gelijkspel"))</f>
        <v>gelijkspel</v>
      </c>
      <c r="AI276" s="166" t="str">
        <f>IF(LEFT(Berekening!AI23,1)&gt;RIGHT(Berekening!AI23,1),$A276,IF(LEFT(Berekening!AI23,1)&lt;RIGHT(Berekening!AI23,1),$C276,"gelijkspel"))</f>
        <v>gelijkspel</v>
      </c>
      <c r="AJ276" s="166" t="str">
        <f>IF(LEFT(Berekening!AJ23,1)&gt;RIGHT(Berekening!AJ23,1),$A276,IF(LEFT(Berekening!AJ23,1)&lt;RIGHT(Berekening!AJ23,1),$C276,"gelijkspel"))</f>
        <v>gelijkspel</v>
      </c>
      <c r="AK276" s="166" t="str">
        <f>IF(LEFT(Berekening!AK23,1)&gt;RIGHT(Berekening!AK23,1),$A276,IF(LEFT(Berekening!AK23,1)&lt;RIGHT(Berekening!AK23,1),$C276,"gelijkspel"))</f>
        <v>gelijkspel</v>
      </c>
      <c r="AL276" s="166" t="str">
        <f>IF(LEFT(Berekening!AL23,1)&gt;RIGHT(Berekening!AL23,1),$A276,IF(LEFT(Berekening!AL23,1)&lt;RIGHT(Berekening!AL23,1),$C276,"gelijkspel"))</f>
        <v>gelijkspel</v>
      </c>
      <c r="AM276" s="166" t="str">
        <f>IF(LEFT(Berekening!AM23,1)&gt;RIGHT(Berekening!AM23,1),$A276,IF(LEFT(Berekening!AM23,1)&lt;RIGHT(Berekening!AM23,1),$C276,"gelijkspel"))</f>
        <v>gelijkspel</v>
      </c>
      <c r="AN276" s="166" t="str">
        <f>IF(LEFT(Berekening!AN23,1)&gt;RIGHT(Berekening!AN23,1),$A276,IF(LEFT(Berekening!AN23,1)&lt;RIGHT(Berekening!AN23,1),$C276,"gelijkspel"))</f>
        <v>gelijkspel</v>
      </c>
      <c r="AO276" s="166" t="str">
        <f>IF(LEFT(Berekening!AO23,1)&gt;RIGHT(Berekening!AO23,1),$A276,IF(LEFT(Berekening!AO23,1)&lt;RIGHT(Berekening!AO23,1),$C276,"gelijkspel"))</f>
        <v>gelijkspel</v>
      </c>
      <c r="AP276" s="166" t="str">
        <f>IF(LEFT(Berekening!AP23,1)&gt;RIGHT(Berekening!AP23,1),$A276,IF(LEFT(Berekening!AP23,1)&lt;RIGHT(Berekening!AP23,1),$C276,"gelijkspel"))</f>
        <v>gelijkspel</v>
      </c>
      <c r="AQ276" s="166" t="str">
        <f>IF(LEFT(Berekening!AQ23,1)&gt;RIGHT(Berekening!AQ23,1),$A276,IF(LEFT(Berekening!AQ23,1)&lt;RIGHT(Berekening!AQ23,1),$C276,"gelijkspel"))</f>
        <v>gelijkspel</v>
      </c>
      <c r="AR276" s="166" t="str">
        <f>IF(LEFT(Berekening!AR23,1)&gt;RIGHT(Berekening!AR23,1),$A276,IF(LEFT(Berekening!AR23,1)&lt;RIGHT(Berekening!AR23,1),$C276,"gelijkspel"))</f>
        <v>gelijkspel</v>
      </c>
      <c r="AS276" s="166" t="str">
        <f>IF(LEFT(Berekening!AS23,1)&gt;RIGHT(Berekening!AS23,1),$A276,IF(LEFT(Berekening!AS23,1)&lt;RIGHT(Berekening!AS23,1),$C276,"gelijkspel"))</f>
        <v>gelijkspel</v>
      </c>
      <c r="AT276" s="166" t="str">
        <f>IF(LEFT(Berekening!AT23,1)&gt;RIGHT(Berekening!AT23,1),$A276,IF(LEFT(Berekening!AT23,1)&lt;RIGHT(Berekening!AT23,1),$C276,"gelijkspel"))</f>
        <v>gelijkspel</v>
      </c>
    </row>
    <row r="277" spans="1:46" s="161" customFormat="1" ht="15">
      <c r="A277" s="163" t="s">
        <v>1755</v>
      </c>
      <c r="B277" s="164" t="s">
        <v>2971</v>
      </c>
      <c r="C277" s="165" t="s">
        <v>1789</v>
      </c>
      <c r="E277" s="166" t="str">
        <f>IF(LEFT(Berekening!E24,1)&gt;RIGHT(Berekening!E24,1),$A277,IF(LEFT(Berekening!E24,1)&lt;RIGHT(Berekening!E24,1),$C277,"gelijkspel"))</f>
        <v>Frankrijk</v>
      </c>
      <c r="F277" s="166" t="str">
        <f>IF(LEFT(Berekening!F24,1)&gt;RIGHT(Berekening!F24,1),$A277,IF(LEFT(Berekening!F24,1)&lt;RIGHT(Berekening!F24,1),$C277,"gelijkspel"))</f>
        <v>Frankrijk</v>
      </c>
      <c r="G277" s="166" t="str">
        <f>IF(LEFT(Berekening!G24,1)&gt;RIGHT(Berekening!G24,1),$A277,IF(LEFT(Berekening!G24,1)&lt;RIGHT(Berekening!G24,1),$C277,"gelijkspel"))</f>
        <v>Frankrijk</v>
      </c>
      <c r="H277" s="166" t="str">
        <f>IF(LEFT(Berekening!H24,1)&gt;RIGHT(Berekening!H24,1),$A277,IF(LEFT(Berekening!H24,1)&lt;RIGHT(Berekening!H24,1),$C277,"gelijkspel"))</f>
        <v>Frankrijk</v>
      </c>
      <c r="I277" s="166" t="str">
        <f>IF(LEFT(Berekening!I24,1)&gt;RIGHT(Berekening!I24,1),$A277,IF(LEFT(Berekening!I24,1)&lt;RIGHT(Berekening!I24,1),$C277,"gelijkspel"))</f>
        <v>Frankrijk</v>
      </c>
      <c r="J277" s="166" t="str">
        <f>IF(LEFT(Berekening!J24,1)&gt;RIGHT(Berekening!J24,1),$A277,IF(LEFT(Berekening!J24,1)&lt;RIGHT(Berekening!J24,1),$C277,"gelijkspel"))</f>
        <v>Frankrijk</v>
      </c>
      <c r="K277" s="166" t="str">
        <f>IF(LEFT(Berekening!K24,1)&gt;RIGHT(Berekening!K24,1),$A277,IF(LEFT(Berekening!K24,1)&lt;RIGHT(Berekening!K24,1),$C277,"gelijkspel"))</f>
        <v>Frankrijk</v>
      </c>
      <c r="L277" s="166" t="str">
        <f>IF(LEFT(Berekening!L24,1)&gt;RIGHT(Berekening!L24,1),$A277,IF(LEFT(Berekening!L24,1)&lt;RIGHT(Berekening!L24,1),$C277,"gelijkspel"))</f>
        <v>Frankrijk</v>
      </c>
      <c r="M277" s="166" t="str">
        <f>IF(LEFT(Berekening!M24,1)&gt;RIGHT(Berekening!M24,1),$A277,IF(LEFT(Berekening!M24,1)&lt;RIGHT(Berekening!M24,1),$C277,"gelijkspel"))</f>
        <v>Frankrijk</v>
      </c>
      <c r="N277" s="166" t="str">
        <f>IF(LEFT(Berekening!N24,1)&gt;RIGHT(Berekening!N24,1),$A277,IF(LEFT(Berekening!N24,1)&lt;RIGHT(Berekening!N24,1),$C277,"gelijkspel"))</f>
        <v>Frankrijk</v>
      </c>
      <c r="O277" s="166" t="str">
        <f>IF(LEFT(Berekening!O24,1)&gt;RIGHT(Berekening!O24,1),$A277,IF(LEFT(Berekening!O24,1)&lt;RIGHT(Berekening!O24,1),$C277,"gelijkspel"))</f>
        <v>Frankrijk</v>
      </c>
      <c r="P277" s="166" t="str">
        <f>IF(LEFT(Berekening!P24,1)&gt;RIGHT(Berekening!P24,1),$A277,IF(LEFT(Berekening!P24,1)&lt;RIGHT(Berekening!P24,1),$C277,"gelijkspel"))</f>
        <v>gelijkspel</v>
      </c>
      <c r="Q277" s="166" t="str">
        <f>IF(LEFT(Berekening!Q24,1)&gt;RIGHT(Berekening!Q24,1),$A277,IF(LEFT(Berekening!Q24,1)&lt;RIGHT(Berekening!Q24,1),$C277,"gelijkspel"))</f>
        <v>Frankrijk</v>
      </c>
      <c r="R277" s="166" t="str">
        <f>IF(LEFT(Berekening!R24,1)&gt;RIGHT(Berekening!R24,1),$A277,IF(LEFT(Berekening!R24,1)&lt;RIGHT(Berekening!R24,1),$C277,"gelijkspel"))</f>
        <v>Frankrijk</v>
      </c>
      <c r="S277" s="166" t="str">
        <f>IF(LEFT(Berekening!S24,1)&gt;RIGHT(Berekening!S24,1),$A277,IF(LEFT(Berekening!S24,1)&lt;RIGHT(Berekening!S24,1),$C277,"gelijkspel"))</f>
        <v>gelijkspel</v>
      </c>
      <c r="T277" s="166" t="str">
        <f>IF(LEFT(Berekening!T24,1)&gt;RIGHT(Berekening!T24,1),$A277,IF(LEFT(Berekening!T24,1)&lt;RIGHT(Berekening!T24,1),$C277,"gelijkspel"))</f>
        <v>Frankrijk</v>
      </c>
      <c r="U277" s="166" t="str">
        <f>IF(LEFT(Berekening!U24,1)&gt;RIGHT(Berekening!U24,1),$A277,IF(LEFT(Berekening!U24,1)&lt;RIGHT(Berekening!U24,1),$C277,"gelijkspel"))</f>
        <v>gelijkspel</v>
      </c>
      <c r="V277" s="166" t="str">
        <f>IF(LEFT(Berekening!V24,1)&gt;RIGHT(Berekening!V24,1),$A277,IF(LEFT(Berekening!V24,1)&lt;RIGHT(Berekening!V24,1),$C277,"gelijkspel"))</f>
        <v>gelijkspel</v>
      </c>
      <c r="W277" s="166" t="str">
        <f>IF(LEFT(Berekening!W24,1)&gt;RIGHT(Berekening!W24,1),$A277,IF(LEFT(Berekening!W24,1)&lt;RIGHT(Berekening!W24,1),$C277,"gelijkspel"))</f>
        <v>gelijkspel</v>
      </c>
      <c r="X277" s="166" t="str">
        <f>IF(LEFT(Berekening!X24,1)&gt;RIGHT(Berekening!X24,1),$A277,IF(LEFT(Berekening!X24,1)&lt;RIGHT(Berekening!X24,1),$C277,"gelijkspel"))</f>
        <v>gelijkspel</v>
      </c>
      <c r="Y277" s="166" t="str">
        <f>IF(LEFT(Berekening!Y24,1)&gt;RIGHT(Berekening!Y24,1),$A277,IF(LEFT(Berekening!Y24,1)&lt;RIGHT(Berekening!Y24,1),$C277,"gelijkspel"))</f>
        <v>gelijkspel</v>
      </c>
      <c r="Z277" s="166" t="str">
        <f>IF(LEFT(Berekening!Z24,1)&gt;RIGHT(Berekening!Z24,1),$A277,IF(LEFT(Berekening!Z24,1)&lt;RIGHT(Berekening!Z24,1),$C277,"gelijkspel"))</f>
        <v>gelijkspel</v>
      </c>
      <c r="AA277" s="166" t="str">
        <f>IF(LEFT(Berekening!AA24,1)&gt;RIGHT(Berekening!AA24,1),$A277,IF(LEFT(Berekening!AA24,1)&lt;RIGHT(Berekening!AA24,1),$C277,"gelijkspel"))</f>
        <v>gelijkspel</v>
      </c>
      <c r="AB277" s="166" t="str">
        <f>IF(LEFT(Berekening!AB24,1)&gt;RIGHT(Berekening!AB24,1),$A277,IF(LEFT(Berekening!AB24,1)&lt;RIGHT(Berekening!AB24,1),$C277,"gelijkspel"))</f>
        <v>gelijkspel</v>
      </c>
      <c r="AC277" s="166" t="str">
        <f>IF(LEFT(Berekening!AC24,1)&gt;RIGHT(Berekening!AC24,1),$A277,IF(LEFT(Berekening!AC24,1)&lt;RIGHT(Berekening!AC24,1),$C277,"gelijkspel"))</f>
        <v>gelijkspel</v>
      </c>
      <c r="AD277" s="166" t="str">
        <f>IF(LEFT(Berekening!AD24,1)&gt;RIGHT(Berekening!AD24,1),$A277,IF(LEFT(Berekening!AD24,1)&lt;RIGHT(Berekening!AD24,1),$C277,"gelijkspel"))</f>
        <v>gelijkspel</v>
      </c>
      <c r="AE277" s="166" t="str">
        <f>IF(LEFT(Berekening!AE24,1)&gt;RIGHT(Berekening!AE24,1),$A277,IF(LEFT(Berekening!AE24,1)&lt;RIGHT(Berekening!AE24,1),$C277,"gelijkspel"))</f>
        <v>gelijkspel</v>
      </c>
      <c r="AF277" s="166" t="str">
        <f>IF(LEFT(Berekening!AF24,1)&gt;RIGHT(Berekening!AF24,1),$A277,IF(LEFT(Berekening!AF24,1)&lt;RIGHT(Berekening!AF24,1),$C277,"gelijkspel"))</f>
        <v>gelijkspel</v>
      </c>
      <c r="AG277" s="166" t="str">
        <f>IF(LEFT(Berekening!AG24,1)&gt;RIGHT(Berekening!AG24,1),$A277,IF(LEFT(Berekening!AG24,1)&lt;RIGHT(Berekening!AG24,1),$C277,"gelijkspel"))</f>
        <v>gelijkspel</v>
      </c>
      <c r="AH277" s="166" t="str">
        <f>IF(LEFT(Berekening!AH24,1)&gt;RIGHT(Berekening!AH24,1),$A277,IF(LEFT(Berekening!AH24,1)&lt;RIGHT(Berekening!AH24,1),$C277,"gelijkspel"))</f>
        <v>gelijkspel</v>
      </c>
      <c r="AI277" s="166" t="str">
        <f>IF(LEFT(Berekening!AI24,1)&gt;RIGHT(Berekening!AI24,1),$A277,IF(LEFT(Berekening!AI24,1)&lt;RIGHT(Berekening!AI24,1),$C277,"gelijkspel"))</f>
        <v>gelijkspel</v>
      </c>
      <c r="AJ277" s="166" t="str">
        <f>IF(LEFT(Berekening!AJ24,1)&gt;RIGHT(Berekening!AJ24,1),$A277,IF(LEFT(Berekening!AJ24,1)&lt;RIGHT(Berekening!AJ24,1),$C277,"gelijkspel"))</f>
        <v>gelijkspel</v>
      </c>
      <c r="AK277" s="166" t="str">
        <f>IF(LEFT(Berekening!AK24,1)&gt;RIGHT(Berekening!AK24,1),$A277,IF(LEFT(Berekening!AK24,1)&lt;RIGHT(Berekening!AK24,1),$C277,"gelijkspel"))</f>
        <v>gelijkspel</v>
      </c>
      <c r="AL277" s="166" t="str">
        <f>IF(LEFT(Berekening!AL24,1)&gt;RIGHT(Berekening!AL24,1),$A277,IF(LEFT(Berekening!AL24,1)&lt;RIGHT(Berekening!AL24,1),$C277,"gelijkspel"))</f>
        <v>gelijkspel</v>
      </c>
      <c r="AM277" s="166" t="str">
        <f>IF(LEFT(Berekening!AM24,1)&gt;RIGHT(Berekening!AM24,1),$A277,IF(LEFT(Berekening!AM24,1)&lt;RIGHT(Berekening!AM24,1),$C277,"gelijkspel"))</f>
        <v>gelijkspel</v>
      </c>
      <c r="AN277" s="166" t="str">
        <f>IF(LEFT(Berekening!AN24,1)&gt;RIGHT(Berekening!AN24,1),$A277,IF(LEFT(Berekening!AN24,1)&lt;RIGHT(Berekening!AN24,1),$C277,"gelijkspel"))</f>
        <v>gelijkspel</v>
      </c>
      <c r="AO277" s="166" t="str">
        <f>IF(LEFT(Berekening!AO24,1)&gt;RIGHT(Berekening!AO24,1),$A277,IF(LEFT(Berekening!AO24,1)&lt;RIGHT(Berekening!AO24,1),$C277,"gelijkspel"))</f>
        <v>gelijkspel</v>
      </c>
      <c r="AP277" s="166" t="str">
        <f>IF(LEFT(Berekening!AP24,1)&gt;RIGHT(Berekening!AP24,1),$A277,IF(LEFT(Berekening!AP24,1)&lt;RIGHT(Berekening!AP24,1),$C277,"gelijkspel"))</f>
        <v>gelijkspel</v>
      </c>
      <c r="AQ277" s="166" t="str">
        <f>IF(LEFT(Berekening!AQ24,1)&gt;RIGHT(Berekening!AQ24,1),$A277,IF(LEFT(Berekening!AQ24,1)&lt;RIGHT(Berekening!AQ24,1),$C277,"gelijkspel"))</f>
        <v>gelijkspel</v>
      </c>
      <c r="AR277" s="166" t="str">
        <f>IF(LEFT(Berekening!AR24,1)&gt;RIGHT(Berekening!AR24,1),$A277,IF(LEFT(Berekening!AR24,1)&lt;RIGHT(Berekening!AR24,1),$C277,"gelijkspel"))</f>
        <v>gelijkspel</v>
      </c>
      <c r="AS277" s="166" t="str">
        <f>IF(LEFT(Berekening!AS24,1)&gt;RIGHT(Berekening!AS24,1),$A277,IF(LEFT(Berekening!AS24,1)&lt;RIGHT(Berekening!AS24,1),$C277,"gelijkspel"))</f>
        <v>gelijkspel</v>
      </c>
      <c r="AT277" s="166" t="str">
        <f>IF(LEFT(Berekening!AT24,1)&gt;RIGHT(Berekening!AT24,1),$A277,IF(LEFT(Berekening!AT24,1)&lt;RIGHT(Berekening!AT24,1),$C277,"gelijkspel"))</f>
        <v>gelijkspel</v>
      </c>
    </row>
    <row r="278" spans="1:46" s="161" customFormat="1" ht="15">
      <c r="A278" s="163" t="s">
        <v>1262</v>
      </c>
      <c r="B278" s="164" t="s">
        <v>2971</v>
      </c>
      <c r="C278" s="165" t="s">
        <v>2689</v>
      </c>
      <c r="E278" s="166" t="str">
        <f>IF(LEFT(Berekening!E25,1)&gt;RIGHT(Berekening!E25,1),$A278,IF(LEFT(Berekening!E25,1)&lt;RIGHT(Berekening!E25,1),$C278,"gelijkspel"))</f>
        <v>Turkije</v>
      </c>
      <c r="F278" s="166" t="str">
        <f>IF(LEFT(Berekening!F25,1)&gt;RIGHT(Berekening!F25,1),$A278,IF(LEFT(Berekening!F25,1)&lt;RIGHT(Berekening!F25,1),$C278,"gelijkspel"))</f>
        <v>gelijkspel</v>
      </c>
      <c r="G278" s="166" t="str">
        <f>IF(LEFT(Berekening!G25,1)&gt;RIGHT(Berekening!G25,1),$A278,IF(LEFT(Berekening!G25,1)&lt;RIGHT(Berekening!G25,1),$C278,"gelijkspel"))</f>
        <v>Turkije</v>
      </c>
      <c r="H278" s="166" t="str">
        <f>IF(LEFT(Berekening!H25,1)&gt;RIGHT(Berekening!H25,1),$A278,IF(LEFT(Berekening!H25,1)&lt;RIGHT(Berekening!H25,1),$C278,"gelijkspel"))</f>
        <v>Turkije</v>
      </c>
      <c r="I278" s="166" t="str">
        <f>IF(LEFT(Berekening!I25,1)&gt;RIGHT(Berekening!I25,1),$A278,IF(LEFT(Berekening!I25,1)&lt;RIGHT(Berekening!I25,1),$C278,"gelijkspel"))</f>
        <v>Turkije</v>
      </c>
      <c r="J278" s="166" t="str">
        <f>IF(LEFT(Berekening!J25,1)&gt;RIGHT(Berekening!J25,1),$A278,IF(LEFT(Berekening!J25,1)&lt;RIGHT(Berekening!J25,1),$C278,"gelijkspel"))</f>
        <v>Turkije</v>
      </c>
      <c r="K278" s="166" t="str">
        <f>IF(LEFT(Berekening!K25,1)&gt;RIGHT(Berekening!K25,1),$A278,IF(LEFT(Berekening!K25,1)&lt;RIGHT(Berekening!K25,1),$C278,"gelijkspel"))</f>
        <v>Turkije</v>
      </c>
      <c r="L278" s="166" t="str">
        <f>IF(LEFT(Berekening!L25,1)&gt;RIGHT(Berekening!L25,1),$A278,IF(LEFT(Berekening!L25,1)&lt;RIGHT(Berekening!L25,1),$C278,"gelijkspel"))</f>
        <v>Turkije</v>
      </c>
      <c r="M278" s="166" t="str">
        <f>IF(LEFT(Berekening!M25,1)&gt;RIGHT(Berekening!M25,1),$A278,IF(LEFT(Berekening!M25,1)&lt;RIGHT(Berekening!M25,1),$C278,"gelijkspel"))</f>
        <v>Turkije</v>
      </c>
      <c r="N278" s="166" t="str">
        <f>IF(LEFT(Berekening!N25,1)&gt;RIGHT(Berekening!N25,1),$A278,IF(LEFT(Berekening!N25,1)&lt;RIGHT(Berekening!N25,1),$C278,"gelijkspel"))</f>
        <v>Turkije</v>
      </c>
      <c r="O278" s="166" t="str">
        <f>IF(LEFT(Berekening!O25,1)&gt;RIGHT(Berekening!O25,1),$A278,IF(LEFT(Berekening!O25,1)&lt;RIGHT(Berekening!O25,1),$C278,"gelijkspel"))</f>
        <v>gelijkspel</v>
      </c>
      <c r="P278" s="166" t="str">
        <f>IF(LEFT(Berekening!P25,1)&gt;RIGHT(Berekening!P25,1),$A278,IF(LEFT(Berekening!P25,1)&lt;RIGHT(Berekening!P25,1),$C278,"gelijkspel"))</f>
        <v>Turkije</v>
      </c>
      <c r="Q278" s="166" t="str">
        <f>IF(LEFT(Berekening!Q25,1)&gt;RIGHT(Berekening!Q25,1),$A278,IF(LEFT(Berekening!Q25,1)&lt;RIGHT(Berekening!Q25,1),$C278,"gelijkspel"))</f>
        <v>Turkije</v>
      </c>
      <c r="R278" s="166" t="str">
        <f>IF(LEFT(Berekening!R25,1)&gt;RIGHT(Berekening!R25,1),$A278,IF(LEFT(Berekening!R25,1)&lt;RIGHT(Berekening!R25,1),$C278,"gelijkspel"))</f>
        <v>Turkije</v>
      </c>
      <c r="S278" s="166" t="str">
        <f>IF(LEFT(Berekening!S25,1)&gt;RIGHT(Berekening!S25,1),$A278,IF(LEFT(Berekening!S25,1)&lt;RIGHT(Berekening!S25,1),$C278,"gelijkspel"))</f>
        <v>Turkije</v>
      </c>
      <c r="T278" s="166" t="str">
        <f>IF(LEFT(Berekening!T25,1)&gt;RIGHT(Berekening!T25,1),$A278,IF(LEFT(Berekening!T25,1)&lt;RIGHT(Berekening!T25,1),$C278,"gelijkspel"))</f>
        <v>gelijkspel</v>
      </c>
      <c r="U278" s="166" t="str">
        <f>IF(LEFT(Berekening!U25,1)&gt;RIGHT(Berekening!U25,1),$A278,IF(LEFT(Berekening!U25,1)&lt;RIGHT(Berekening!U25,1),$C278,"gelijkspel"))</f>
        <v>gelijkspel</v>
      </c>
      <c r="V278" s="166" t="str">
        <f>IF(LEFT(Berekening!V25,1)&gt;RIGHT(Berekening!V25,1),$A278,IF(LEFT(Berekening!V25,1)&lt;RIGHT(Berekening!V25,1),$C278,"gelijkspel"))</f>
        <v>gelijkspel</v>
      </c>
      <c r="W278" s="166" t="str">
        <f>IF(LEFT(Berekening!W25,1)&gt;RIGHT(Berekening!W25,1),$A278,IF(LEFT(Berekening!W25,1)&lt;RIGHT(Berekening!W25,1),$C278,"gelijkspel"))</f>
        <v>gelijkspel</v>
      </c>
      <c r="X278" s="166" t="str">
        <f>IF(LEFT(Berekening!X25,1)&gt;RIGHT(Berekening!X25,1),$A278,IF(LEFT(Berekening!X25,1)&lt;RIGHT(Berekening!X25,1),$C278,"gelijkspel"))</f>
        <v>gelijkspel</v>
      </c>
      <c r="Y278" s="166" t="str">
        <f>IF(LEFT(Berekening!Y25,1)&gt;RIGHT(Berekening!Y25,1),$A278,IF(LEFT(Berekening!Y25,1)&lt;RIGHT(Berekening!Y25,1),$C278,"gelijkspel"))</f>
        <v>gelijkspel</v>
      </c>
      <c r="Z278" s="166" t="str">
        <f>IF(LEFT(Berekening!Z25,1)&gt;RIGHT(Berekening!Z25,1),$A278,IF(LEFT(Berekening!Z25,1)&lt;RIGHT(Berekening!Z25,1),$C278,"gelijkspel"))</f>
        <v>gelijkspel</v>
      </c>
      <c r="AA278" s="166" t="str">
        <f>IF(LEFT(Berekening!AA25,1)&gt;RIGHT(Berekening!AA25,1),$A278,IF(LEFT(Berekening!AA25,1)&lt;RIGHT(Berekening!AA25,1),$C278,"gelijkspel"))</f>
        <v>gelijkspel</v>
      </c>
      <c r="AB278" s="166" t="str">
        <f>IF(LEFT(Berekening!AB25,1)&gt;RIGHT(Berekening!AB25,1),$A278,IF(LEFT(Berekening!AB25,1)&lt;RIGHT(Berekening!AB25,1),$C278,"gelijkspel"))</f>
        <v>gelijkspel</v>
      </c>
      <c r="AC278" s="166" t="str">
        <f>IF(LEFT(Berekening!AC25,1)&gt;RIGHT(Berekening!AC25,1),$A278,IF(LEFT(Berekening!AC25,1)&lt;RIGHT(Berekening!AC25,1),$C278,"gelijkspel"))</f>
        <v>gelijkspel</v>
      </c>
      <c r="AD278" s="166" t="str">
        <f>IF(LEFT(Berekening!AD25,1)&gt;RIGHT(Berekening!AD25,1),$A278,IF(LEFT(Berekening!AD25,1)&lt;RIGHT(Berekening!AD25,1),$C278,"gelijkspel"))</f>
        <v>gelijkspel</v>
      </c>
      <c r="AE278" s="166" t="str">
        <f>IF(LEFT(Berekening!AE25,1)&gt;RIGHT(Berekening!AE25,1),$A278,IF(LEFT(Berekening!AE25,1)&lt;RIGHT(Berekening!AE25,1),$C278,"gelijkspel"))</f>
        <v>gelijkspel</v>
      </c>
      <c r="AF278" s="166" t="str">
        <f>IF(LEFT(Berekening!AF25,1)&gt;RIGHT(Berekening!AF25,1),$A278,IF(LEFT(Berekening!AF25,1)&lt;RIGHT(Berekening!AF25,1),$C278,"gelijkspel"))</f>
        <v>gelijkspel</v>
      </c>
      <c r="AG278" s="166" t="str">
        <f>IF(LEFT(Berekening!AG25,1)&gt;RIGHT(Berekening!AG25,1),$A278,IF(LEFT(Berekening!AG25,1)&lt;RIGHT(Berekening!AG25,1),$C278,"gelijkspel"))</f>
        <v>gelijkspel</v>
      </c>
      <c r="AH278" s="166" t="str">
        <f>IF(LEFT(Berekening!AH25,1)&gt;RIGHT(Berekening!AH25,1),$A278,IF(LEFT(Berekening!AH25,1)&lt;RIGHT(Berekening!AH25,1),$C278,"gelijkspel"))</f>
        <v>gelijkspel</v>
      </c>
      <c r="AI278" s="166" t="str">
        <f>IF(LEFT(Berekening!AI25,1)&gt;RIGHT(Berekening!AI25,1),$A278,IF(LEFT(Berekening!AI25,1)&lt;RIGHT(Berekening!AI25,1),$C278,"gelijkspel"))</f>
        <v>gelijkspel</v>
      </c>
      <c r="AJ278" s="166" t="str">
        <f>IF(LEFT(Berekening!AJ25,1)&gt;RIGHT(Berekening!AJ25,1),$A278,IF(LEFT(Berekening!AJ25,1)&lt;RIGHT(Berekening!AJ25,1),$C278,"gelijkspel"))</f>
        <v>gelijkspel</v>
      </c>
      <c r="AK278" s="166" t="str">
        <f>IF(LEFT(Berekening!AK25,1)&gt;RIGHT(Berekening!AK25,1),$A278,IF(LEFT(Berekening!AK25,1)&lt;RIGHT(Berekening!AK25,1),$C278,"gelijkspel"))</f>
        <v>gelijkspel</v>
      </c>
      <c r="AL278" s="166" t="str">
        <f>IF(LEFT(Berekening!AL25,1)&gt;RIGHT(Berekening!AL25,1),$A278,IF(LEFT(Berekening!AL25,1)&lt;RIGHT(Berekening!AL25,1),$C278,"gelijkspel"))</f>
        <v>gelijkspel</v>
      </c>
      <c r="AM278" s="166" t="str">
        <f>IF(LEFT(Berekening!AM25,1)&gt;RIGHT(Berekening!AM25,1),$A278,IF(LEFT(Berekening!AM25,1)&lt;RIGHT(Berekening!AM25,1),$C278,"gelijkspel"))</f>
        <v>gelijkspel</v>
      </c>
      <c r="AN278" s="166" t="str">
        <f>IF(LEFT(Berekening!AN25,1)&gt;RIGHT(Berekening!AN25,1),$A278,IF(LEFT(Berekening!AN25,1)&lt;RIGHT(Berekening!AN25,1),$C278,"gelijkspel"))</f>
        <v>gelijkspel</v>
      </c>
      <c r="AO278" s="166" t="str">
        <f>IF(LEFT(Berekening!AO25,1)&gt;RIGHT(Berekening!AO25,1),$A278,IF(LEFT(Berekening!AO25,1)&lt;RIGHT(Berekening!AO25,1),$C278,"gelijkspel"))</f>
        <v>gelijkspel</v>
      </c>
      <c r="AP278" s="166" t="str">
        <f>IF(LEFT(Berekening!AP25,1)&gt;RIGHT(Berekening!AP25,1),$A278,IF(LEFT(Berekening!AP25,1)&lt;RIGHT(Berekening!AP25,1),$C278,"gelijkspel"))</f>
        <v>gelijkspel</v>
      </c>
      <c r="AQ278" s="166" t="str">
        <f>IF(LEFT(Berekening!AQ25,1)&gt;RIGHT(Berekening!AQ25,1),$A278,IF(LEFT(Berekening!AQ25,1)&lt;RIGHT(Berekening!AQ25,1),$C278,"gelijkspel"))</f>
        <v>gelijkspel</v>
      </c>
      <c r="AR278" s="166" t="str">
        <f>IF(LEFT(Berekening!AR25,1)&gt;RIGHT(Berekening!AR25,1),$A278,IF(LEFT(Berekening!AR25,1)&lt;RIGHT(Berekening!AR25,1),$C278,"gelijkspel"))</f>
        <v>gelijkspel</v>
      </c>
      <c r="AS278" s="166" t="str">
        <f>IF(LEFT(Berekening!AS25,1)&gt;RIGHT(Berekening!AS25,1),$A278,IF(LEFT(Berekening!AS25,1)&lt;RIGHT(Berekening!AS25,1),$C278,"gelijkspel"))</f>
        <v>gelijkspel</v>
      </c>
      <c r="AT278" s="166" t="str">
        <f>IF(LEFT(Berekening!AT25,1)&gt;RIGHT(Berekening!AT25,1),$A278,IF(LEFT(Berekening!AT25,1)&lt;RIGHT(Berekening!AT25,1),$C278,"gelijkspel"))</f>
        <v>gelijkspel</v>
      </c>
    </row>
    <row r="279" spans="1:46" s="161" customFormat="1" ht="15">
      <c r="A279" s="163" t="s">
        <v>1132</v>
      </c>
      <c r="B279" s="164" t="s">
        <v>2971</v>
      </c>
      <c r="C279" s="165" t="s">
        <v>1647</v>
      </c>
      <c r="E279" s="166" t="str">
        <f>IF(LEFT(Berekening!E26,1)&gt;RIGHT(Berekening!E26,1),$A279,IF(LEFT(Berekening!E26,1)&lt;RIGHT(Berekening!E26,1),$C279,"gelijkspel"))</f>
        <v>Portugal</v>
      </c>
      <c r="F279" s="166" t="str">
        <f>IF(LEFT(Berekening!F26,1)&gt;RIGHT(Berekening!F26,1),$A279,IF(LEFT(Berekening!F26,1)&lt;RIGHT(Berekening!F26,1),$C279,"gelijkspel"))</f>
        <v>Portugal</v>
      </c>
      <c r="G279" s="166" t="str">
        <f>IF(LEFT(Berekening!G26,1)&gt;RIGHT(Berekening!G26,1),$A279,IF(LEFT(Berekening!G26,1)&lt;RIGHT(Berekening!G26,1),$C279,"gelijkspel"))</f>
        <v>Portugal</v>
      </c>
      <c r="H279" s="166" t="str">
        <f>IF(LEFT(Berekening!H26,1)&gt;RIGHT(Berekening!H26,1),$A279,IF(LEFT(Berekening!H26,1)&lt;RIGHT(Berekening!H26,1),$C279,"gelijkspel"))</f>
        <v>Portugal</v>
      </c>
      <c r="I279" s="166" t="str">
        <f>IF(LEFT(Berekening!I26,1)&gt;RIGHT(Berekening!I26,1),$A279,IF(LEFT(Berekening!I26,1)&lt;RIGHT(Berekening!I26,1),$C279,"gelijkspel"))</f>
        <v>Portugal</v>
      </c>
      <c r="J279" s="166" t="str">
        <f>IF(LEFT(Berekening!J26,1)&gt;RIGHT(Berekening!J26,1),$A279,IF(LEFT(Berekening!J26,1)&lt;RIGHT(Berekening!J26,1),$C279,"gelijkspel"))</f>
        <v>Portugal</v>
      </c>
      <c r="K279" s="166" t="str">
        <f>IF(LEFT(Berekening!K26,1)&gt;RIGHT(Berekening!K26,1),$A279,IF(LEFT(Berekening!K26,1)&lt;RIGHT(Berekening!K26,1),$C279,"gelijkspel"))</f>
        <v>Portugal</v>
      </c>
      <c r="L279" s="166" t="str">
        <f>IF(LEFT(Berekening!L26,1)&gt;RIGHT(Berekening!L26,1),$A279,IF(LEFT(Berekening!L26,1)&lt;RIGHT(Berekening!L26,1),$C279,"gelijkspel"))</f>
        <v>Portugal</v>
      </c>
      <c r="M279" s="166" t="str">
        <f>IF(LEFT(Berekening!M26,1)&gt;RIGHT(Berekening!M26,1),$A279,IF(LEFT(Berekening!M26,1)&lt;RIGHT(Berekening!M26,1),$C279,"gelijkspel"))</f>
        <v>Portugal</v>
      </c>
      <c r="N279" s="166" t="str">
        <f>IF(LEFT(Berekening!N26,1)&gt;RIGHT(Berekening!N26,1),$A279,IF(LEFT(Berekening!N26,1)&lt;RIGHT(Berekening!N26,1),$C279,"gelijkspel"))</f>
        <v>Portugal</v>
      </c>
      <c r="O279" s="166" t="str">
        <f>IF(LEFT(Berekening!O26,1)&gt;RIGHT(Berekening!O26,1),$A279,IF(LEFT(Berekening!O26,1)&lt;RIGHT(Berekening!O26,1),$C279,"gelijkspel"))</f>
        <v>Portugal</v>
      </c>
      <c r="P279" s="166" t="str">
        <f>IF(LEFT(Berekening!P26,1)&gt;RIGHT(Berekening!P26,1),$A279,IF(LEFT(Berekening!P26,1)&lt;RIGHT(Berekening!P26,1),$C279,"gelijkspel"))</f>
        <v>gelijkspel</v>
      </c>
      <c r="Q279" s="166" t="str">
        <f>IF(LEFT(Berekening!Q26,1)&gt;RIGHT(Berekening!Q26,1),$A279,IF(LEFT(Berekening!Q26,1)&lt;RIGHT(Berekening!Q26,1),$C279,"gelijkspel"))</f>
        <v>Portugal</v>
      </c>
      <c r="R279" s="166" t="str">
        <f>IF(LEFT(Berekening!R26,1)&gt;RIGHT(Berekening!R26,1),$A279,IF(LEFT(Berekening!R26,1)&lt;RIGHT(Berekening!R26,1),$C279,"gelijkspel"))</f>
        <v>Portugal</v>
      </c>
      <c r="S279" s="166" t="str">
        <f>IF(LEFT(Berekening!S26,1)&gt;RIGHT(Berekening!S26,1),$A279,IF(LEFT(Berekening!S26,1)&lt;RIGHT(Berekening!S26,1),$C279,"gelijkspel"))</f>
        <v>Portugal</v>
      </c>
      <c r="T279" s="166" t="str">
        <f>IF(LEFT(Berekening!T26,1)&gt;RIGHT(Berekening!T26,1),$A279,IF(LEFT(Berekening!T26,1)&lt;RIGHT(Berekening!T26,1),$C279,"gelijkspel"))</f>
        <v>Portugal</v>
      </c>
      <c r="U279" s="166" t="str">
        <f>IF(LEFT(Berekening!U26,1)&gt;RIGHT(Berekening!U26,1),$A279,IF(LEFT(Berekening!U26,1)&lt;RIGHT(Berekening!U26,1),$C279,"gelijkspel"))</f>
        <v>gelijkspel</v>
      </c>
      <c r="V279" s="166" t="str">
        <f>IF(LEFT(Berekening!V26,1)&gt;RIGHT(Berekening!V26,1),$A279,IF(LEFT(Berekening!V26,1)&lt;RIGHT(Berekening!V26,1),$C279,"gelijkspel"))</f>
        <v>gelijkspel</v>
      </c>
      <c r="W279" s="166" t="str">
        <f>IF(LEFT(Berekening!W26,1)&gt;RIGHT(Berekening!W26,1),$A279,IF(LEFT(Berekening!W26,1)&lt;RIGHT(Berekening!W26,1),$C279,"gelijkspel"))</f>
        <v>gelijkspel</v>
      </c>
      <c r="X279" s="166" t="str">
        <f>IF(LEFT(Berekening!X26,1)&gt;RIGHT(Berekening!X26,1),$A279,IF(LEFT(Berekening!X26,1)&lt;RIGHT(Berekening!X26,1),$C279,"gelijkspel"))</f>
        <v>gelijkspel</v>
      </c>
      <c r="Y279" s="166" t="str">
        <f>IF(LEFT(Berekening!Y26,1)&gt;RIGHT(Berekening!Y26,1),$A279,IF(LEFT(Berekening!Y26,1)&lt;RIGHT(Berekening!Y26,1),$C279,"gelijkspel"))</f>
        <v>gelijkspel</v>
      </c>
      <c r="Z279" s="166" t="str">
        <f>IF(LEFT(Berekening!Z26,1)&gt;RIGHT(Berekening!Z26,1),$A279,IF(LEFT(Berekening!Z26,1)&lt;RIGHT(Berekening!Z26,1),$C279,"gelijkspel"))</f>
        <v>gelijkspel</v>
      </c>
      <c r="AA279" s="166" t="str">
        <f>IF(LEFT(Berekening!AA26,1)&gt;RIGHT(Berekening!AA26,1),$A279,IF(LEFT(Berekening!AA26,1)&lt;RIGHT(Berekening!AA26,1),$C279,"gelijkspel"))</f>
        <v>gelijkspel</v>
      </c>
      <c r="AB279" s="166" t="str">
        <f>IF(LEFT(Berekening!AB26,1)&gt;RIGHT(Berekening!AB26,1),$A279,IF(LEFT(Berekening!AB26,1)&lt;RIGHT(Berekening!AB26,1),$C279,"gelijkspel"))</f>
        <v>gelijkspel</v>
      </c>
      <c r="AC279" s="166" t="str">
        <f>IF(LEFT(Berekening!AC26,1)&gt;RIGHT(Berekening!AC26,1),$A279,IF(LEFT(Berekening!AC26,1)&lt;RIGHT(Berekening!AC26,1),$C279,"gelijkspel"))</f>
        <v>gelijkspel</v>
      </c>
      <c r="AD279" s="166" t="str">
        <f>IF(LEFT(Berekening!AD26,1)&gt;RIGHT(Berekening!AD26,1),$A279,IF(LEFT(Berekening!AD26,1)&lt;RIGHT(Berekening!AD26,1),$C279,"gelijkspel"))</f>
        <v>gelijkspel</v>
      </c>
      <c r="AE279" s="166" t="str">
        <f>IF(LEFT(Berekening!AE26,1)&gt;RIGHT(Berekening!AE26,1),$A279,IF(LEFT(Berekening!AE26,1)&lt;RIGHT(Berekening!AE26,1),$C279,"gelijkspel"))</f>
        <v>gelijkspel</v>
      </c>
      <c r="AF279" s="166" t="str">
        <f>IF(LEFT(Berekening!AF26,1)&gt;RIGHT(Berekening!AF26,1),$A279,IF(LEFT(Berekening!AF26,1)&lt;RIGHT(Berekening!AF26,1),$C279,"gelijkspel"))</f>
        <v>gelijkspel</v>
      </c>
      <c r="AG279" s="166" t="str">
        <f>IF(LEFT(Berekening!AG26,1)&gt;RIGHT(Berekening!AG26,1),$A279,IF(LEFT(Berekening!AG26,1)&lt;RIGHT(Berekening!AG26,1),$C279,"gelijkspel"))</f>
        <v>gelijkspel</v>
      </c>
      <c r="AH279" s="166" t="str">
        <f>IF(LEFT(Berekening!AH26,1)&gt;RIGHT(Berekening!AH26,1),$A279,IF(LEFT(Berekening!AH26,1)&lt;RIGHT(Berekening!AH26,1),$C279,"gelijkspel"))</f>
        <v>gelijkspel</v>
      </c>
      <c r="AI279" s="166" t="str">
        <f>IF(LEFT(Berekening!AI26,1)&gt;RIGHT(Berekening!AI26,1),$A279,IF(LEFT(Berekening!AI26,1)&lt;RIGHT(Berekening!AI26,1),$C279,"gelijkspel"))</f>
        <v>gelijkspel</v>
      </c>
      <c r="AJ279" s="166" t="str">
        <f>IF(LEFT(Berekening!AJ26,1)&gt;RIGHT(Berekening!AJ26,1),$A279,IF(LEFT(Berekening!AJ26,1)&lt;RIGHT(Berekening!AJ26,1),$C279,"gelijkspel"))</f>
        <v>gelijkspel</v>
      </c>
      <c r="AK279" s="166" t="str">
        <f>IF(LEFT(Berekening!AK26,1)&gt;RIGHT(Berekening!AK26,1),$A279,IF(LEFT(Berekening!AK26,1)&lt;RIGHT(Berekening!AK26,1),$C279,"gelijkspel"))</f>
        <v>gelijkspel</v>
      </c>
      <c r="AL279" s="166" t="str">
        <f>IF(LEFT(Berekening!AL26,1)&gt;RIGHT(Berekening!AL26,1),$A279,IF(LEFT(Berekening!AL26,1)&lt;RIGHT(Berekening!AL26,1),$C279,"gelijkspel"))</f>
        <v>gelijkspel</v>
      </c>
      <c r="AM279" s="166" t="str">
        <f>IF(LEFT(Berekening!AM26,1)&gt;RIGHT(Berekening!AM26,1),$A279,IF(LEFT(Berekening!AM26,1)&lt;RIGHT(Berekening!AM26,1),$C279,"gelijkspel"))</f>
        <v>gelijkspel</v>
      </c>
      <c r="AN279" s="166" t="str">
        <f>IF(LEFT(Berekening!AN26,1)&gt;RIGHT(Berekening!AN26,1),$A279,IF(LEFT(Berekening!AN26,1)&lt;RIGHT(Berekening!AN26,1),$C279,"gelijkspel"))</f>
        <v>gelijkspel</v>
      </c>
      <c r="AO279" s="166" t="str">
        <f>IF(LEFT(Berekening!AO26,1)&gt;RIGHT(Berekening!AO26,1),$A279,IF(LEFT(Berekening!AO26,1)&lt;RIGHT(Berekening!AO26,1),$C279,"gelijkspel"))</f>
        <v>gelijkspel</v>
      </c>
      <c r="AP279" s="166" t="str">
        <f>IF(LEFT(Berekening!AP26,1)&gt;RIGHT(Berekening!AP26,1),$A279,IF(LEFT(Berekening!AP26,1)&lt;RIGHT(Berekening!AP26,1),$C279,"gelijkspel"))</f>
        <v>gelijkspel</v>
      </c>
      <c r="AQ279" s="166" t="str">
        <f>IF(LEFT(Berekening!AQ26,1)&gt;RIGHT(Berekening!AQ26,1),$A279,IF(LEFT(Berekening!AQ26,1)&lt;RIGHT(Berekening!AQ26,1),$C279,"gelijkspel"))</f>
        <v>gelijkspel</v>
      </c>
      <c r="AR279" s="166" t="str">
        <f>IF(LEFT(Berekening!AR26,1)&gt;RIGHT(Berekening!AR26,1),$A279,IF(LEFT(Berekening!AR26,1)&lt;RIGHT(Berekening!AR26,1),$C279,"gelijkspel"))</f>
        <v>gelijkspel</v>
      </c>
      <c r="AS279" s="166" t="str">
        <f>IF(LEFT(Berekening!AS26,1)&gt;RIGHT(Berekening!AS26,1),$A279,IF(LEFT(Berekening!AS26,1)&lt;RIGHT(Berekening!AS26,1),$C279,"gelijkspel"))</f>
        <v>gelijkspel</v>
      </c>
      <c r="AT279" s="166" t="str">
        <f>IF(LEFT(Berekening!AT26,1)&gt;RIGHT(Berekening!AT26,1),$A279,IF(LEFT(Berekening!AT26,1)&lt;RIGHT(Berekening!AT26,1),$C279,"gelijkspel"))</f>
        <v>gelijkspel</v>
      </c>
    </row>
    <row r="280" spans="1:46" s="161" customFormat="1" ht="15">
      <c r="A280" s="163" t="s">
        <v>1533</v>
      </c>
      <c r="B280" s="164" t="s">
        <v>2971</v>
      </c>
      <c r="C280" s="165" t="s">
        <v>1016</v>
      </c>
      <c r="E280" s="166" t="str">
        <f>IF(LEFT(Berekening!E27,1)&gt;RIGHT(Berekening!E27,1),$A280,IF(LEFT(Berekening!E27,1)&lt;RIGHT(Berekening!E27,1),$C280,"gelijkspel"))</f>
        <v>Kroatië</v>
      </c>
      <c r="F280" s="166" t="str">
        <f>IF(LEFT(Berekening!F27,1)&gt;RIGHT(Berekening!F27,1),$A280,IF(LEFT(Berekening!F27,1)&lt;RIGHT(Berekening!F27,1),$C280,"gelijkspel"))</f>
        <v>Kroatië</v>
      </c>
      <c r="G280" s="166" t="str">
        <f>IF(LEFT(Berekening!G27,1)&gt;RIGHT(Berekening!G27,1),$A280,IF(LEFT(Berekening!G27,1)&lt;RIGHT(Berekening!G27,1),$C280,"gelijkspel"))</f>
        <v>Kroatië</v>
      </c>
      <c r="H280" s="166" t="str">
        <f>IF(LEFT(Berekening!H27,1)&gt;RIGHT(Berekening!H27,1),$A280,IF(LEFT(Berekening!H27,1)&lt;RIGHT(Berekening!H27,1),$C280,"gelijkspel"))</f>
        <v>Kroatië</v>
      </c>
      <c r="I280" s="166" t="str">
        <f>IF(LEFT(Berekening!I27,1)&gt;RIGHT(Berekening!I27,1),$A280,IF(LEFT(Berekening!I27,1)&lt;RIGHT(Berekening!I27,1),$C280,"gelijkspel"))</f>
        <v>Kroatië</v>
      </c>
      <c r="J280" s="166" t="str">
        <f>IF(LEFT(Berekening!J27,1)&gt;RIGHT(Berekening!J27,1),$A280,IF(LEFT(Berekening!J27,1)&lt;RIGHT(Berekening!J27,1),$C280,"gelijkspel"))</f>
        <v>Kroatië</v>
      </c>
      <c r="K280" s="166" t="str">
        <f>IF(LEFT(Berekening!K27,1)&gt;RIGHT(Berekening!K27,1),$A280,IF(LEFT(Berekening!K27,1)&lt;RIGHT(Berekening!K27,1),$C280,"gelijkspel"))</f>
        <v>Kroatië</v>
      </c>
      <c r="L280" s="166" t="str">
        <f>IF(LEFT(Berekening!L27,1)&gt;RIGHT(Berekening!L27,1),$A280,IF(LEFT(Berekening!L27,1)&lt;RIGHT(Berekening!L27,1),$C280,"gelijkspel"))</f>
        <v>Kroatië</v>
      </c>
      <c r="M280" s="166" t="str">
        <f>IF(LEFT(Berekening!M27,1)&gt;RIGHT(Berekening!M27,1),$A280,IF(LEFT(Berekening!M27,1)&lt;RIGHT(Berekening!M27,1),$C280,"gelijkspel"))</f>
        <v>Kroatië</v>
      </c>
      <c r="N280" s="166" t="str">
        <f>IF(LEFT(Berekening!N27,1)&gt;RIGHT(Berekening!N27,1),$A280,IF(LEFT(Berekening!N27,1)&lt;RIGHT(Berekening!N27,1),$C280,"gelijkspel"))</f>
        <v>Kroatië</v>
      </c>
      <c r="O280" s="166" t="str">
        <f>IF(LEFT(Berekening!O27,1)&gt;RIGHT(Berekening!O27,1),$A280,IF(LEFT(Berekening!O27,1)&lt;RIGHT(Berekening!O27,1),$C280,"gelijkspel"))</f>
        <v>Kroatië</v>
      </c>
      <c r="P280" s="166" t="str">
        <f>IF(LEFT(Berekening!P27,1)&gt;RIGHT(Berekening!P27,1),$A280,IF(LEFT(Berekening!P27,1)&lt;RIGHT(Berekening!P27,1),$C280,"gelijkspel"))</f>
        <v>Kroatië</v>
      </c>
      <c r="Q280" s="166" t="str">
        <f>IF(LEFT(Berekening!Q27,1)&gt;RIGHT(Berekening!Q27,1),$A280,IF(LEFT(Berekening!Q27,1)&lt;RIGHT(Berekening!Q27,1),$C280,"gelijkspel"))</f>
        <v>Kroatië</v>
      </c>
      <c r="R280" s="166" t="str">
        <f>IF(LEFT(Berekening!R27,1)&gt;RIGHT(Berekening!R27,1),$A280,IF(LEFT(Berekening!R27,1)&lt;RIGHT(Berekening!R27,1),$C280,"gelijkspel"))</f>
        <v>Kroatië</v>
      </c>
      <c r="S280" s="166" t="str">
        <f>IF(LEFT(Berekening!S27,1)&gt;RIGHT(Berekening!S27,1),$A280,IF(LEFT(Berekening!S27,1)&lt;RIGHT(Berekening!S27,1),$C280,"gelijkspel"))</f>
        <v>gelijkspel</v>
      </c>
      <c r="T280" s="166" t="str">
        <f>IF(LEFT(Berekening!T27,1)&gt;RIGHT(Berekening!T27,1),$A280,IF(LEFT(Berekening!T27,1)&lt;RIGHT(Berekening!T27,1),$C280,"gelijkspel"))</f>
        <v>Kroatië</v>
      </c>
      <c r="U280" s="166" t="str">
        <f>IF(LEFT(Berekening!U27,1)&gt;RIGHT(Berekening!U27,1),$A280,IF(LEFT(Berekening!U27,1)&lt;RIGHT(Berekening!U27,1),$C280,"gelijkspel"))</f>
        <v>gelijkspel</v>
      </c>
      <c r="V280" s="166" t="str">
        <f>IF(LEFT(Berekening!V27,1)&gt;RIGHT(Berekening!V27,1),$A280,IF(LEFT(Berekening!V27,1)&lt;RIGHT(Berekening!V27,1),$C280,"gelijkspel"))</f>
        <v>gelijkspel</v>
      </c>
      <c r="W280" s="166" t="str">
        <f>IF(LEFT(Berekening!W27,1)&gt;RIGHT(Berekening!W27,1),$A280,IF(LEFT(Berekening!W27,1)&lt;RIGHT(Berekening!W27,1),$C280,"gelijkspel"))</f>
        <v>gelijkspel</v>
      </c>
      <c r="X280" s="166" t="str">
        <f>IF(LEFT(Berekening!X27,1)&gt;RIGHT(Berekening!X27,1),$A280,IF(LEFT(Berekening!X27,1)&lt;RIGHT(Berekening!X27,1),$C280,"gelijkspel"))</f>
        <v>gelijkspel</v>
      </c>
      <c r="Y280" s="166" t="str">
        <f>IF(LEFT(Berekening!Y27,1)&gt;RIGHT(Berekening!Y27,1),$A280,IF(LEFT(Berekening!Y27,1)&lt;RIGHT(Berekening!Y27,1),$C280,"gelijkspel"))</f>
        <v>gelijkspel</v>
      </c>
      <c r="Z280" s="166" t="str">
        <f>IF(LEFT(Berekening!Z27,1)&gt;RIGHT(Berekening!Z27,1),$A280,IF(LEFT(Berekening!Z27,1)&lt;RIGHT(Berekening!Z27,1),$C280,"gelijkspel"))</f>
        <v>gelijkspel</v>
      </c>
      <c r="AA280" s="166" t="str">
        <f>IF(LEFT(Berekening!AA27,1)&gt;RIGHT(Berekening!AA27,1),$A280,IF(LEFT(Berekening!AA27,1)&lt;RIGHT(Berekening!AA27,1),$C280,"gelijkspel"))</f>
        <v>gelijkspel</v>
      </c>
      <c r="AB280" s="166" t="str">
        <f>IF(LEFT(Berekening!AB27,1)&gt;RIGHT(Berekening!AB27,1),$A280,IF(LEFT(Berekening!AB27,1)&lt;RIGHT(Berekening!AB27,1),$C280,"gelijkspel"))</f>
        <v>gelijkspel</v>
      </c>
      <c r="AC280" s="166" t="str">
        <f>IF(LEFT(Berekening!AC27,1)&gt;RIGHT(Berekening!AC27,1),$A280,IF(LEFT(Berekening!AC27,1)&lt;RIGHT(Berekening!AC27,1),$C280,"gelijkspel"))</f>
        <v>gelijkspel</v>
      </c>
      <c r="AD280" s="166" t="str">
        <f>IF(LEFT(Berekening!AD27,1)&gt;RIGHT(Berekening!AD27,1),$A280,IF(LEFT(Berekening!AD27,1)&lt;RIGHT(Berekening!AD27,1),$C280,"gelijkspel"))</f>
        <v>gelijkspel</v>
      </c>
      <c r="AE280" s="166" t="str">
        <f>IF(LEFT(Berekening!AE27,1)&gt;RIGHT(Berekening!AE27,1),$A280,IF(LEFT(Berekening!AE27,1)&lt;RIGHT(Berekening!AE27,1),$C280,"gelijkspel"))</f>
        <v>gelijkspel</v>
      </c>
      <c r="AF280" s="166" t="str">
        <f>IF(LEFT(Berekening!AF27,1)&gt;RIGHT(Berekening!AF27,1),$A280,IF(LEFT(Berekening!AF27,1)&lt;RIGHT(Berekening!AF27,1),$C280,"gelijkspel"))</f>
        <v>gelijkspel</v>
      </c>
      <c r="AG280" s="166" t="str">
        <f>IF(LEFT(Berekening!AG27,1)&gt;RIGHT(Berekening!AG27,1),$A280,IF(LEFT(Berekening!AG27,1)&lt;RIGHT(Berekening!AG27,1),$C280,"gelijkspel"))</f>
        <v>gelijkspel</v>
      </c>
      <c r="AH280" s="166" t="str">
        <f>IF(LEFT(Berekening!AH27,1)&gt;RIGHT(Berekening!AH27,1),$A280,IF(LEFT(Berekening!AH27,1)&lt;RIGHT(Berekening!AH27,1),$C280,"gelijkspel"))</f>
        <v>gelijkspel</v>
      </c>
      <c r="AI280" s="166" t="str">
        <f>IF(LEFT(Berekening!AI27,1)&gt;RIGHT(Berekening!AI27,1),$A280,IF(LEFT(Berekening!AI27,1)&lt;RIGHT(Berekening!AI27,1),$C280,"gelijkspel"))</f>
        <v>gelijkspel</v>
      </c>
      <c r="AJ280" s="166" t="str">
        <f>IF(LEFT(Berekening!AJ27,1)&gt;RIGHT(Berekening!AJ27,1),$A280,IF(LEFT(Berekening!AJ27,1)&lt;RIGHT(Berekening!AJ27,1),$C280,"gelijkspel"))</f>
        <v>gelijkspel</v>
      </c>
      <c r="AK280" s="166" t="str">
        <f>IF(LEFT(Berekening!AK27,1)&gt;RIGHT(Berekening!AK27,1),$A280,IF(LEFT(Berekening!AK27,1)&lt;RIGHT(Berekening!AK27,1),$C280,"gelijkspel"))</f>
        <v>gelijkspel</v>
      </c>
      <c r="AL280" s="166" t="str">
        <f>IF(LEFT(Berekening!AL27,1)&gt;RIGHT(Berekening!AL27,1),$A280,IF(LEFT(Berekening!AL27,1)&lt;RIGHT(Berekening!AL27,1),$C280,"gelijkspel"))</f>
        <v>gelijkspel</v>
      </c>
      <c r="AM280" s="166" t="str">
        <f>IF(LEFT(Berekening!AM27,1)&gt;RIGHT(Berekening!AM27,1),$A280,IF(LEFT(Berekening!AM27,1)&lt;RIGHT(Berekening!AM27,1),$C280,"gelijkspel"))</f>
        <v>gelijkspel</v>
      </c>
      <c r="AN280" s="166" t="str">
        <f>IF(LEFT(Berekening!AN27,1)&gt;RIGHT(Berekening!AN27,1),$A280,IF(LEFT(Berekening!AN27,1)&lt;RIGHT(Berekening!AN27,1),$C280,"gelijkspel"))</f>
        <v>gelijkspel</v>
      </c>
      <c r="AO280" s="166" t="str">
        <f>IF(LEFT(Berekening!AO27,1)&gt;RIGHT(Berekening!AO27,1),$A280,IF(LEFT(Berekening!AO27,1)&lt;RIGHT(Berekening!AO27,1),$C280,"gelijkspel"))</f>
        <v>gelijkspel</v>
      </c>
      <c r="AP280" s="166" t="str">
        <f>IF(LEFT(Berekening!AP27,1)&gt;RIGHT(Berekening!AP27,1),$A280,IF(LEFT(Berekening!AP27,1)&lt;RIGHT(Berekening!AP27,1),$C280,"gelijkspel"))</f>
        <v>gelijkspel</v>
      </c>
      <c r="AQ280" s="166" t="str">
        <f>IF(LEFT(Berekening!AQ27,1)&gt;RIGHT(Berekening!AQ27,1),$A280,IF(LEFT(Berekening!AQ27,1)&lt;RIGHT(Berekening!AQ27,1),$C280,"gelijkspel"))</f>
        <v>gelijkspel</v>
      </c>
      <c r="AR280" s="166" t="str">
        <f>IF(LEFT(Berekening!AR27,1)&gt;RIGHT(Berekening!AR27,1),$A280,IF(LEFT(Berekening!AR27,1)&lt;RIGHT(Berekening!AR27,1),$C280,"gelijkspel"))</f>
        <v>gelijkspel</v>
      </c>
      <c r="AS280" s="166" t="str">
        <f>IF(LEFT(Berekening!AS27,1)&gt;RIGHT(Berekening!AS27,1),$A280,IF(LEFT(Berekening!AS27,1)&lt;RIGHT(Berekening!AS27,1),$C280,"gelijkspel"))</f>
        <v>gelijkspel</v>
      </c>
      <c r="AT280" s="166" t="str">
        <f>IF(LEFT(Berekening!AT27,1)&gt;RIGHT(Berekening!AT27,1),$A280,IF(LEFT(Berekening!AT27,1)&lt;RIGHT(Berekening!AT27,1),$C280,"gelijkspel"))</f>
        <v>gelijkspel</v>
      </c>
    </row>
    <row r="281" spans="1:46" s="161" customFormat="1" ht="15">
      <c r="A281" s="163" t="s">
        <v>1468</v>
      </c>
      <c r="B281" s="164" t="s">
        <v>2971</v>
      </c>
      <c r="C281" s="165" t="s">
        <v>1168</v>
      </c>
      <c r="E281" s="166" t="str">
        <f>IF(LEFT(Berekening!E28,1)&gt;RIGHT(Berekening!E28,1),$A281,IF(LEFT(Berekening!E28,1)&lt;RIGHT(Berekening!E28,1),$C281,"gelijkspel"))</f>
        <v>Duitsland</v>
      </c>
      <c r="F281" s="166" t="str">
        <f>IF(LEFT(Berekening!F28,1)&gt;RIGHT(Berekening!F28,1),$A281,IF(LEFT(Berekening!F28,1)&lt;RIGHT(Berekening!F28,1),$C281,"gelijkspel"))</f>
        <v>Duitsland</v>
      </c>
      <c r="G281" s="166" t="str">
        <f>IF(LEFT(Berekening!G28,1)&gt;RIGHT(Berekening!G28,1),$A281,IF(LEFT(Berekening!G28,1)&lt;RIGHT(Berekening!G28,1),$C281,"gelijkspel"))</f>
        <v>Duitsland</v>
      </c>
      <c r="H281" s="166" t="str">
        <f>IF(LEFT(Berekening!H28,1)&gt;RIGHT(Berekening!H28,1),$A281,IF(LEFT(Berekening!H28,1)&lt;RIGHT(Berekening!H28,1),$C281,"gelijkspel"))</f>
        <v>Duitsland</v>
      </c>
      <c r="I281" s="166" t="str">
        <f>IF(LEFT(Berekening!I28,1)&gt;RIGHT(Berekening!I28,1),$A281,IF(LEFT(Berekening!I28,1)&lt;RIGHT(Berekening!I28,1),$C281,"gelijkspel"))</f>
        <v>Duitsland</v>
      </c>
      <c r="J281" s="166" t="str">
        <f>IF(LEFT(Berekening!J28,1)&gt;RIGHT(Berekening!J28,1),$A281,IF(LEFT(Berekening!J28,1)&lt;RIGHT(Berekening!J28,1),$C281,"gelijkspel"))</f>
        <v>Duitsland</v>
      </c>
      <c r="K281" s="166" t="str">
        <f>IF(LEFT(Berekening!K28,1)&gt;RIGHT(Berekening!K28,1),$A281,IF(LEFT(Berekening!K28,1)&lt;RIGHT(Berekening!K28,1),$C281,"gelijkspel"))</f>
        <v>Duitsland</v>
      </c>
      <c r="L281" s="166" t="str">
        <f>IF(LEFT(Berekening!L28,1)&gt;RIGHT(Berekening!L28,1),$A281,IF(LEFT(Berekening!L28,1)&lt;RIGHT(Berekening!L28,1),$C281,"gelijkspel"))</f>
        <v>Duitsland</v>
      </c>
      <c r="M281" s="166" t="str">
        <f>IF(LEFT(Berekening!M28,1)&gt;RIGHT(Berekening!M28,1),$A281,IF(LEFT(Berekening!M28,1)&lt;RIGHT(Berekening!M28,1),$C281,"gelijkspel"))</f>
        <v>Duitsland</v>
      </c>
      <c r="N281" s="166" t="str">
        <f>IF(LEFT(Berekening!N28,1)&gt;RIGHT(Berekening!N28,1),$A281,IF(LEFT(Berekening!N28,1)&lt;RIGHT(Berekening!N28,1),$C281,"gelijkspel"))</f>
        <v>Duitsland</v>
      </c>
      <c r="O281" s="166" t="str">
        <f>IF(LEFT(Berekening!O28,1)&gt;RIGHT(Berekening!O28,1),$A281,IF(LEFT(Berekening!O28,1)&lt;RIGHT(Berekening!O28,1),$C281,"gelijkspel"))</f>
        <v>Duitsland</v>
      </c>
      <c r="P281" s="166" t="str">
        <f>IF(LEFT(Berekening!P28,1)&gt;RIGHT(Berekening!P28,1),$A281,IF(LEFT(Berekening!P28,1)&lt;RIGHT(Berekening!P28,1),$C281,"gelijkspel"))</f>
        <v>Duitsland</v>
      </c>
      <c r="Q281" s="166" t="str">
        <f>IF(LEFT(Berekening!Q28,1)&gt;RIGHT(Berekening!Q28,1),$A281,IF(LEFT(Berekening!Q28,1)&lt;RIGHT(Berekening!Q28,1),$C281,"gelijkspel"))</f>
        <v>Duitsland</v>
      </c>
      <c r="R281" s="166" t="str">
        <f>IF(LEFT(Berekening!R28,1)&gt;RIGHT(Berekening!R28,1),$A281,IF(LEFT(Berekening!R28,1)&lt;RIGHT(Berekening!R28,1),$C281,"gelijkspel"))</f>
        <v>Duitsland</v>
      </c>
      <c r="S281" s="166" t="str">
        <f>IF(LEFT(Berekening!S28,1)&gt;RIGHT(Berekening!S28,1),$A281,IF(LEFT(Berekening!S28,1)&lt;RIGHT(Berekening!S28,1),$C281,"gelijkspel"))</f>
        <v>Duitsland</v>
      </c>
      <c r="T281" s="166" t="str">
        <f>IF(LEFT(Berekening!T28,1)&gt;RIGHT(Berekening!T28,1),$A281,IF(LEFT(Berekening!T28,1)&lt;RIGHT(Berekening!T28,1),$C281,"gelijkspel"))</f>
        <v>gelijkspel</v>
      </c>
      <c r="U281" s="166" t="str">
        <f>IF(LEFT(Berekening!U28,1)&gt;RIGHT(Berekening!U28,1),$A281,IF(LEFT(Berekening!U28,1)&lt;RIGHT(Berekening!U28,1),$C281,"gelijkspel"))</f>
        <v>gelijkspel</v>
      </c>
      <c r="V281" s="166" t="str">
        <f>IF(LEFT(Berekening!V28,1)&gt;RIGHT(Berekening!V28,1),$A281,IF(LEFT(Berekening!V28,1)&lt;RIGHT(Berekening!V28,1),$C281,"gelijkspel"))</f>
        <v>gelijkspel</v>
      </c>
      <c r="W281" s="166" t="str">
        <f>IF(LEFT(Berekening!W28,1)&gt;RIGHT(Berekening!W28,1),$A281,IF(LEFT(Berekening!W28,1)&lt;RIGHT(Berekening!W28,1),$C281,"gelijkspel"))</f>
        <v>gelijkspel</v>
      </c>
      <c r="X281" s="166" t="str">
        <f>IF(LEFT(Berekening!X28,1)&gt;RIGHT(Berekening!X28,1),$A281,IF(LEFT(Berekening!X28,1)&lt;RIGHT(Berekening!X28,1),$C281,"gelijkspel"))</f>
        <v>gelijkspel</v>
      </c>
      <c r="Y281" s="166" t="str">
        <f>IF(LEFT(Berekening!Y28,1)&gt;RIGHT(Berekening!Y28,1),$A281,IF(LEFT(Berekening!Y28,1)&lt;RIGHT(Berekening!Y28,1),$C281,"gelijkspel"))</f>
        <v>gelijkspel</v>
      </c>
      <c r="Z281" s="166" t="str">
        <f>IF(LEFT(Berekening!Z28,1)&gt;RIGHT(Berekening!Z28,1),$A281,IF(LEFT(Berekening!Z28,1)&lt;RIGHT(Berekening!Z28,1),$C281,"gelijkspel"))</f>
        <v>gelijkspel</v>
      </c>
      <c r="AA281" s="166" t="str">
        <f>IF(LEFT(Berekening!AA28,1)&gt;RIGHT(Berekening!AA28,1),$A281,IF(LEFT(Berekening!AA28,1)&lt;RIGHT(Berekening!AA28,1),$C281,"gelijkspel"))</f>
        <v>gelijkspel</v>
      </c>
      <c r="AB281" s="166" t="str">
        <f>IF(LEFT(Berekening!AB28,1)&gt;RIGHT(Berekening!AB28,1),$A281,IF(LEFT(Berekening!AB28,1)&lt;RIGHT(Berekening!AB28,1),$C281,"gelijkspel"))</f>
        <v>gelijkspel</v>
      </c>
      <c r="AC281" s="166" t="str">
        <f>IF(LEFT(Berekening!AC28,1)&gt;RIGHT(Berekening!AC28,1),$A281,IF(LEFT(Berekening!AC28,1)&lt;RIGHT(Berekening!AC28,1),$C281,"gelijkspel"))</f>
        <v>gelijkspel</v>
      </c>
      <c r="AD281" s="166" t="str">
        <f>IF(LEFT(Berekening!AD28,1)&gt;RIGHT(Berekening!AD28,1),$A281,IF(LEFT(Berekening!AD28,1)&lt;RIGHT(Berekening!AD28,1),$C281,"gelijkspel"))</f>
        <v>gelijkspel</v>
      </c>
      <c r="AE281" s="166" t="str">
        <f>IF(LEFT(Berekening!AE28,1)&gt;RIGHT(Berekening!AE28,1),$A281,IF(LEFT(Berekening!AE28,1)&lt;RIGHT(Berekening!AE28,1),$C281,"gelijkspel"))</f>
        <v>gelijkspel</v>
      </c>
      <c r="AF281" s="166" t="str">
        <f>IF(LEFT(Berekening!AF28,1)&gt;RIGHT(Berekening!AF28,1),$A281,IF(LEFT(Berekening!AF28,1)&lt;RIGHT(Berekening!AF28,1),$C281,"gelijkspel"))</f>
        <v>gelijkspel</v>
      </c>
      <c r="AG281" s="166" t="str">
        <f>IF(LEFT(Berekening!AG28,1)&gt;RIGHT(Berekening!AG28,1),$A281,IF(LEFT(Berekening!AG28,1)&lt;RIGHT(Berekening!AG28,1),$C281,"gelijkspel"))</f>
        <v>gelijkspel</v>
      </c>
      <c r="AH281" s="166" t="str">
        <f>IF(LEFT(Berekening!AH28,1)&gt;RIGHT(Berekening!AH28,1),$A281,IF(LEFT(Berekening!AH28,1)&lt;RIGHT(Berekening!AH28,1),$C281,"gelijkspel"))</f>
        <v>gelijkspel</v>
      </c>
      <c r="AI281" s="166" t="str">
        <f>IF(LEFT(Berekening!AI28,1)&gt;RIGHT(Berekening!AI28,1),$A281,IF(LEFT(Berekening!AI28,1)&lt;RIGHT(Berekening!AI28,1),$C281,"gelijkspel"))</f>
        <v>gelijkspel</v>
      </c>
      <c r="AJ281" s="166" t="str">
        <f>IF(LEFT(Berekening!AJ28,1)&gt;RIGHT(Berekening!AJ28,1),$A281,IF(LEFT(Berekening!AJ28,1)&lt;RIGHT(Berekening!AJ28,1),$C281,"gelijkspel"))</f>
        <v>gelijkspel</v>
      </c>
      <c r="AK281" s="166" t="str">
        <f>IF(LEFT(Berekening!AK28,1)&gt;RIGHT(Berekening!AK28,1),$A281,IF(LEFT(Berekening!AK28,1)&lt;RIGHT(Berekening!AK28,1),$C281,"gelijkspel"))</f>
        <v>gelijkspel</v>
      </c>
      <c r="AL281" s="166" t="str">
        <f>IF(LEFT(Berekening!AL28,1)&gt;RIGHT(Berekening!AL28,1),$A281,IF(LEFT(Berekening!AL28,1)&lt;RIGHT(Berekening!AL28,1),$C281,"gelijkspel"))</f>
        <v>gelijkspel</v>
      </c>
      <c r="AM281" s="166" t="str">
        <f>IF(LEFT(Berekening!AM28,1)&gt;RIGHT(Berekening!AM28,1),$A281,IF(LEFT(Berekening!AM28,1)&lt;RIGHT(Berekening!AM28,1),$C281,"gelijkspel"))</f>
        <v>gelijkspel</v>
      </c>
      <c r="AN281" s="166" t="str">
        <f>IF(LEFT(Berekening!AN28,1)&gt;RIGHT(Berekening!AN28,1),$A281,IF(LEFT(Berekening!AN28,1)&lt;RIGHT(Berekening!AN28,1),$C281,"gelijkspel"))</f>
        <v>gelijkspel</v>
      </c>
      <c r="AO281" s="166" t="str">
        <f>IF(LEFT(Berekening!AO28,1)&gt;RIGHT(Berekening!AO28,1),$A281,IF(LEFT(Berekening!AO28,1)&lt;RIGHT(Berekening!AO28,1),$C281,"gelijkspel"))</f>
        <v>gelijkspel</v>
      </c>
      <c r="AP281" s="166" t="str">
        <f>IF(LEFT(Berekening!AP28,1)&gt;RIGHT(Berekening!AP28,1),$A281,IF(LEFT(Berekening!AP28,1)&lt;RIGHT(Berekening!AP28,1),$C281,"gelijkspel"))</f>
        <v>gelijkspel</v>
      </c>
      <c r="AQ281" s="166" t="str">
        <f>IF(LEFT(Berekening!AQ28,1)&gt;RIGHT(Berekening!AQ28,1),$A281,IF(LEFT(Berekening!AQ28,1)&lt;RIGHT(Berekening!AQ28,1),$C281,"gelijkspel"))</f>
        <v>gelijkspel</v>
      </c>
      <c r="AR281" s="166" t="str">
        <f>IF(LEFT(Berekening!AR28,1)&gt;RIGHT(Berekening!AR28,1),$A281,IF(LEFT(Berekening!AR28,1)&lt;RIGHT(Berekening!AR28,1),$C281,"gelijkspel"))</f>
        <v>gelijkspel</v>
      </c>
      <c r="AS281" s="166" t="str">
        <f>IF(LEFT(Berekening!AS28,1)&gt;RIGHT(Berekening!AS28,1),$A281,IF(LEFT(Berekening!AS28,1)&lt;RIGHT(Berekening!AS28,1),$C281,"gelijkspel"))</f>
        <v>gelijkspel</v>
      </c>
      <c r="AT281" s="166" t="str">
        <f>IF(LEFT(Berekening!AT28,1)&gt;RIGHT(Berekening!AT28,1),$A281,IF(LEFT(Berekening!AT28,1)&lt;RIGHT(Berekening!AT28,1),$C281,"gelijkspel"))</f>
        <v>gelijkspel</v>
      </c>
    </row>
    <row r="282" spans="1:46" s="161" customFormat="1" ht="15">
      <c r="A282" s="163" t="s">
        <v>1399</v>
      </c>
      <c r="B282" s="164" t="s">
        <v>2971</v>
      </c>
      <c r="C282" s="165" t="s">
        <v>1608</v>
      </c>
      <c r="E282" s="166" t="str">
        <f>IF(LEFT(Berekening!E29,1)&gt;RIGHT(Berekening!E29,1),$A282,IF(LEFT(Berekening!E29,1)&lt;RIGHT(Berekening!E29,1),$C282,"gelijkspel"))</f>
        <v>gelijkspel</v>
      </c>
      <c r="F282" s="166" t="str">
        <f>IF(LEFT(Berekening!F29,1)&gt;RIGHT(Berekening!F29,1),$A282,IF(LEFT(Berekening!F29,1)&lt;RIGHT(Berekening!F29,1),$C282,"gelijkspel"))</f>
        <v>Schotland</v>
      </c>
      <c r="G282" s="166" t="str">
        <f>IF(LEFT(Berekening!G29,1)&gt;RIGHT(Berekening!G29,1),$A282,IF(LEFT(Berekening!G29,1)&lt;RIGHT(Berekening!G29,1),$C282,"gelijkspel"))</f>
        <v>Zwitserland</v>
      </c>
      <c r="H282" s="166" t="str">
        <f>IF(LEFT(Berekening!H29,1)&gt;RIGHT(Berekening!H29,1),$A282,IF(LEFT(Berekening!H29,1)&lt;RIGHT(Berekening!H29,1),$C282,"gelijkspel"))</f>
        <v>gelijkspel</v>
      </c>
      <c r="I282" s="166" t="str">
        <f>IF(LEFT(Berekening!I29,1)&gt;RIGHT(Berekening!I29,1),$A282,IF(LEFT(Berekening!I29,1)&lt;RIGHT(Berekening!I29,1),$C282,"gelijkspel"))</f>
        <v>Schotland</v>
      </c>
      <c r="J282" s="166" t="str">
        <f>IF(LEFT(Berekening!J29,1)&gt;RIGHT(Berekening!J29,1),$A282,IF(LEFT(Berekening!J29,1)&lt;RIGHT(Berekening!J29,1),$C282,"gelijkspel"))</f>
        <v>Zwitserland</v>
      </c>
      <c r="K282" s="166" t="str">
        <f>IF(LEFT(Berekening!K29,1)&gt;RIGHT(Berekening!K29,1),$A282,IF(LEFT(Berekening!K29,1)&lt;RIGHT(Berekening!K29,1),$C282,"gelijkspel"))</f>
        <v>Zwitserland</v>
      </c>
      <c r="L282" s="166" t="str">
        <f>IF(LEFT(Berekening!L29,1)&gt;RIGHT(Berekening!L29,1),$A282,IF(LEFT(Berekening!L29,1)&lt;RIGHT(Berekening!L29,1),$C282,"gelijkspel"))</f>
        <v>gelijkspel</v>
      </c>
      <c r="M282" s="166" t="str">
        <f>IF(LEFT(Berekening!M29,1)&gt;RIGHT(Berekening!M29,1),$A282,IF(LEFT(Berekening!M29,1)&lt;RIGHT(Berekening!M29,1),$C282,"gelijkspel"))</f>
        <v>gelijkspel</v>
      </c>
      <c r="N282" s="166" t="str">
        <f>IF(LEFT(Berekening!N29,1)&gt;RIGHT(Berekening!N29,1),$A282,IF(LEFT(Berekening!N29,1)&lt;RIGHT(Berekening!N29,1),$C282,"gelijkspel"))</f>
        <v>Schotland</v>
      </c>
      <c r="O282" s="166" t="str">
        <f>IF(LEFT(Berekening!O29,1)&gt;RIGHT(Berekening!O29,1),$A282,IF(LEFT(Berekening!O29,1)&lt;RIGHT(Berekening!O29,1),$C282,"gelijkspel"))</f>
        <v>Zwitserland</v>
      </c>
      <c r="P282" s="166" t="str">
        <f>IF(LEFT(Berekening!P29,1)&gt;RIGHT(Berekening!P29,1),$A282,IF(LEFT(Berekening!P29,1)&lt;RIGHT(Berekening!P29,1),$C282,"gelijkspel"))</f>
        <v>Zwitserland</v>
      </c>
      <c r="Q282" s="166" t="str">
        <f>IF(LEFT(Berekening!Q29,1)&gt;RIGHT(Berekening!Q29,1),$A282,IF(LEFT(Berekening!Q29,1)&lt;RIGHT(Berekening!Q29,1),$C282,"gelijkspel"))</f>
        <v>Zwitserland</v>
      </c>
      <c r="R282" s="166" t="str">
        <f>IF(LEFT(Berekening!R29,1)&gt;RIGHT(Berekening!R29,1),$A282,IF(LEFT(Berekening!R29,1)&lt;RIGHT(Berekening!R29,1),$C282,"gelijkspel"))</f>
        <v>gelijkspel</v>
      </c>
      <c r="S282" s="166" t="str">
        <f>IF(LEFT(Berekening!S29,1)&gt;RIGHT(Berekening!S29,1),$A282,IF(LEFT(Berekening!S29,1)&lt;RIGHT(Berekening!S29,1),$C282,"gelijkspel"))</f>
        <v>gelijkspel</v>
      </c>
      <c r="T282" s="166" t="str">
        <f>IF(LEFT(Berekening!T29,1)&gt;RIGHT(Berekening!T29,1),$A282,IF(LEFT(Berekening!T29,1)&lt;RIGHT(Berekening!T29,1),$C282,"gelijkspel"))</f>
        <v>gelijkspel</v>
      </c>
      <c r="U282" s="166" t="str">
        <f>IF(LEFT(Berekening!U29,1)&gt;RIGHT(Berekening!U29,1),$A282,IF(LEFT(Berekening!U29,1)&lt;RIGHT(Berekening!U29,1),$C282,"gelijkspel"))</f>
        <v>gelijkspel</v>
      </c>
      <c r="V282" s="166" t="str">
        <f>IF(LEFT(Berekening!V29,1)&gt;RIGHT(Berekening!V29,1),$A282,IF(LEFT(Berekening!V29,1)&lt;RIGHT(Berekening!V29,1),$C282,"gelijkspel"))</f>
        <v>gelijkspel</v>
      </c>
      <c r="W282" s="166" t="str">
        <f>IF(LEFT(Berekening!W29,1)&gt;RIGHT(Berekening!W29,1),$A282,IF(LEFT(Berekening!W29,1)&lt;RIGHT(Berekening!W29,1),$C282,"gelijkspel"))</f>
        <v>gelijkspel</v>
      </c>
      <c r="X282" s="166" t="str">
        <f>IF(LEFT(Berekening!X29,1)&gt;RIGHT(Berekening!X29,1),$A282,IF(LEFT(Berekening!X29,1)&lt;RIGHT(Berekening!X29,1),$C282,"gelijkspel"))</f>
        <v>gelijkspel</v>
      </c>
      <c r="Y282" s="166" t="str">
        <f>IF(LEFT(Berekening!Y29,1)&gt;RIGHT(Berekening!Y29,1),$A282,IF(LEFT(Berekening!Y29,1)&lt;RIGHT(Berekening!Y29,1),$C282,"gelijkspel"))</f>
        <v>gelijkspel</v>
      </c>
      <c r="Z282" s="166" t="str">
        <f>IF(LEFT(Berekening!Z29,1)&gt;RIGHT(Berekening!Z29,1),$A282,IF(LEFT(Berekening!Z29,1)&lt;RIGHT(Berekening!Z29,1),$C282,"gelijkspel"))</f>
        <v>gelijkspel</v>
      </c>
      <c r="AA282" s="166" t="str">
        <f>IF(LEFT(Berekening!AA29,1)&gt;RIGHT(Berekening!AA29,1),$A282,IF(LEFT(Berekening!AA29,1)&lt;RIGHT(Berekening!AA29,1),$C282,"gelijkspel"))</f>
        <v>gelijkspel</v>
      </c>
      <c r="AB282" s="166" t="str">
        <f>IF(LEFT(Berekening!AB29,1)&gt;RIGHT(Berekening!AB29,1),$A282,IF(LEFT(Berekening!AB29,1)&lt;RIGHT(Berekening!AB29,1),$C282,"gelijkspel"))</f>
        <v>gelijkspel</v>
      </c>
      <c r="AC282" s="166" t="str">
        <f>IF(LEFT(Berekening!AC29,1)&gt;RIGHT(Berekening!AC29,1),$A282,IF(LEFT(Berekening!AC29,1)&lt;RIGHT(Berekening!AC29,1),$C282,"gelijkspel"))</f>
        <v>gelijkspel</v>
      </c>
      <c r="AD282" s="166" t="str">
        <f>IF(LEFT(Berekening!AD29,1)&gt;RIGHT(Berekening!AD29,1),$A282,IF(LEFT(Berekening!AD29,1)&lt;RIGHT(Berekening!AD29,1),$C282,"gelijkspel"))</f>
        <v>gelijkspel</v>
      </c>
      <c r="AE282" s="166" t="str">
        <f>IF(LEFT(Berekening!AE29,1)&gt;RIGHT(Berekening!AE29,1),$A282,IF(LEFT(Berekening!AE29,1)&lt;RIGHT(Berekening!AE29,1),$C282,"gelijkspel"))</f>
        <v>gelijkspel</v>
      </c>
      <c r="AF282" s="166" t="str">
        <f>IF(LEFT(Berekening!AF29,1)&gt;RIGHT(Berekening!AF29,1),$A282,IF(LEFT(Berekening!AF29,1)&lt;RIGHT(Berekening!AF29,1),$C282,"gelijkspel"))</f>
        <v>gelijkspel</v>
      </c>
      <c r="AG282" s="166" t="str">
        <f>IF(LEFT(Berekening!AG29,1)&gt;RIGHT(Berekening!AG29,1),$A282,IF(LEFT(Berekening!AG29,1)&lt;RIGHT(Berekening!AG29,1),$C282,"gelijkspel"))</f>
        <v>gelijkspel</v>
      </c>
      <c r="AH282" s="166" t="str">
        <f>IF(LEFT(Berekening!AH29,1)&gt;RIGHT(Berekening!AH29,1),$A282,IF(LEFT(Berekening!AH29,1)&lt;RIGHT(Berekening!AH29,1),$C282,"gelijkspel"))</f>
        <v>gelijkspel</v>
      </c>
      <c r="AI282" s="166" t="str">
        <f>IF(LEFT(Berekening!AI29,1)&gt;RIGHT(Berekening!AI29,1),$A282,IF(LEFT(Berekening!AI29,1)&lt;RIGHT(Berekening!AI29,1),$C282,"gelijkspel"))</f>
        <v>gelijkspel</v>
      </c>
      <c r="AJ282" s="166" t="str">
        <f>IF(LEFT(Berekening!AJ29,1)&gt;RIGHT(Berekening!AJ29,1),$A282,IF(LEFT(Berekening!AJ29,1)&lt;RIGHT(Berekening!AJ29,1),$C282,"gelijkspel"))</f>
        <v>gelijkspel</v>
      </c>
      <c r="AK282" s="166" t="str">
        <f>IF(LEFT(Berekening!AK29,1)&gt;RIGHT(Berekening!AK29,1),$A282,IF(LEFT(Berekening!AK29,1)&lt;RIGHT(Berekening!AK29,1),$C282,"gelijkspel"))</f>
        <v>gelijkspel</v>
      </c>
      <c r="AL282" s="166" t="str">
        <f>IF(LEFT(Berekening!AL29,1)&gt;RIGHT(Berekening!AL29,1),$A282,IF(LEFT(Berekening!AL29,1)&lt;RIGHT(Berekening!AL29,1),$C282,"gelijkspel"))</f>
        <v>gelijkspel</v>
      </c>
      <c r="AM282" s="166" t="str">
        <f>IF(LEFT(Berekening!AM29,1)&gt;RIGHT(Berekening!AM29,1),$A282,IF(LEFT(Berekening!AM29,1)&lt;RIGHT(Berekening!AM29,1),$C282,"gelijkspel"))</f>
        <v>gelijkspel</v>
      </c>
      <c r="AN282" s="166" t="str">
        <f>IF(LEFT(Berekening!AN29,1)&gt;RIGHT(Berekening!AN29,1),$A282,IF(LEFT(Berekening!AN29,1)&lt;RIGHT(Berekening!AN29,1),$C282,"gelijkspel"))</f>
        <v>gelijkspel</v>
      </c>
      <c r="AO282" s="166" t="str">
        <f>IF(LEFT(Berekening!AO29,1)&gt;RIGHT(Berekening!AO29,1),$A282,IF(LEFT(Berekening!AO29,1)&lt;RIGHT(Berekening!AO29,1),$C282,"gelijkspel"))</f>
        <v>gelijkspel</v>
      </c>
      <c r="AP282" s="166" t="str">
        <f>IF(LEFT(Berekening!AP29,1)&gt;RIGHT(Berekening!AP29,1),$A282,IF(LEFT(Berekening!AP29,1)&lt;RIGHT(Berekening!AP29,1),$C282,"gelijkspel"))</f>
        <v>gelijkspel</v>
      </c>
      <c r="AQ282" s="166" t="str">
        <f>IF(LEFT(Berekening!AQ29,1)&gt;RIGHT(Berekening!AQ29,1),$A282,IF(LEFT(Berekening!AQ29,1)&lt;RIGHT(Berekening!AQ29,1),$C282,"gelijkspel"))</f>
        <v>gelijkspel</v>
      </c>
      <c r="AR282" s="166" t="str">
        <f>IF(LEFT(Berekening!AR29,1)&gt;RIGHT(Berekening!AR29,1),$A282,IF(LEFT(Berekening!AR29,1)&lt;RIGHT(Berekening!AR29,1),$C282,"gelijkspel"))</f>
        <v>gelijkspel</v>
      </c>
      <c r="AS282" s="166" t="str">
        <f>IF(LEFT(Berekening!AS29,1)&gt;RIGHT(Berekening!AS29,1),$A282,IF(LEFT(Berekening!AS29,1)&lt;RIGHT(Berekening!AS29,1),$C282,"gelijkspel"))</f>
        <v>gelijkspel</v>
      </c>
      <c r="AT282" s="166" t="str">
        <f>IF(LEFT(Berekening!AT29,1)&gt;RIGHT(Berekening!AT29,1),$A282,IF(LEFT(Berekening!AT29,1)&lt;RIGHT(Berekening!AT29,1),$C282,"gelijkspel"))</f>
        <v>gelijkspel</v>
      </c>
    </row>
    <row r="283" spans="1:46" s="161" customFormat="1" ht="15">
      <c r="A283" s="163" t="s">
        <v>2630</v>
      </c>
      <c r="B283" s="164" t="s">
        <v>2971</v>
      </c>
      <c r="C283" s="165" t="s">
        <v>2661</v>
      </c>
      <c r="E283" s="166" t="str">
        <f>IF(LEFT(Berekening!E30,1)&gt;RIGHT(Berekening!E30,1),$A283,IF(LEFT(Berekening!E30,1)&lt;RIGHT(Berekening!E30,1),$C283,"gelijkspel"))</f>
        <v>Servië</v>
      </c>
      <c r="F283" s="166" t="str">
        <f>IF(LEFT(Berekening!F30,1)&gt;RIGHT(Berekening!F30,1),$A283,IF(LEFT(Berekening!F30,1)&lt;RIGHT(Berekening!F30,1),$C283,"gelijkspel"))</f>
        <v>Servië</v>
      </c>
      <c r="G283" s="166" t="str">
        <f>IF(LEFT(Berekening!G30,1)&gt;RIGHT(Berekening!G30,1),$A283,IF(LEFT(Berekening!G30,1)&lt;RIGHT(Berekening!G30,1),$C283,"gelijkspel"))</f>
        <v>gelijkspel</v>
      </c>
      <c r="H283" s="166" t="str">
        <f>IF(LEFT(Berekening!H30,1)&gt;RIGHT(Berekening!H30,1),$A283,IF(LEFT(Berekening!H30,1)&lt;RIGHT(Berekening!H30,1),$C283,"gelijkspel"))</f>
        <v>Servië</v>
      </c>
      <c r="I283" s="166" t="str">
        <f>IF(LEFT(Berekening!I30,1)&gt;RIGHT(Berekening!I30,1),$A283,IF(LEFT(Berekening!I30,1)&lt;RIGHT(Berekening!I30,1),$C283,"gelijkspel"))</f>
        <v>Servië</v>
      </c>
      <c r="J283" s="166" t="str">
        <f>IF(LEFT(Berekening!J30,1)&gt;RIGHT(Berekening!J30,1),$A283,IF(LEFT(Berekening!J30,1)&lt;RIGHT(Berekening!J30,1),$C283,"gelijkspel"))</f>
        <v>gelijkspel</v>
      </c>
      <c r="K283" s="166" t="str">
        <f>IF(LEFT(Berekening!K30,1)&gt;RIGHT(Berekening!K30,1),$A283,IF(LEFT(Berekening!K30,1)&lt;RIGHT(Berekening!K30,1),$C283,"gelijkspel"))</f>
        <v>Servië</v>
      </c>
      <c r="L283" s="166" t="str">
        <f>IF(LEFT(Berekening!L30,1)&gt;RIGHT(Berekening!L30,1),$A283,IF(LEFT(Berekening!L30,1)&lt;RIGHT(Berekening!L30,1),$C283,"gelijkspel"))</f>
        <v>gelijkspel</v>
      </c>
      <c r="M283" s="166" t="str">
        <f>IF(LEFT(Berekening!M30,1)&gt;RIGHT(Berekening!M30,1),$A283,IF(LEFT(Berekening!M30,1)&lt;RIGHT(Berekening!M30,1),$C283,"gelijkspel"))</f>
        <v>gelijkspel</v>
      </c>
      <c r="N283" s="166" t="str">
        <f>IF(LEFT(Berekening!N30,1)&gt;RIGHT(Berekening!N30,1),$A283,IF(LEFT(Berekening!N30,1)&lt;RIGHT(Berekening!N30,1),$C283,"gelijkspel"))</f>
        <v>Servië</v>
      </c>
      <c r="O283" s="166" t="str">
        <f>IF(LEFT(Berekening!O30,1)&gt;RIGHT(Berekening!O30,1),$A283,IF(LEFT(Berekening!O30,1)&lt;RIGHT(Berekening!O30,1),$C283,"gelijkspel"))</f>
        <v>Servië</v>
      </c>
      <c r="P283" s="166" t="str">
        <f>IF(LEFT(Berekening!P30,1)&gt;RIGHT(Berekening!P30,1),$A283,IF(LEFT(Berekening!P30,1)&lt;RIGHT(Berekening!P30,1),$C283,"gelijkspel"))</f>
        <v>gelijkspel</v>
      </c>
      <c r="Q283" s="166" t="str">
        <f>IF(LEFT(Berekening!Q30,1)&gt;RIGHT(Berekening!Q30,1),$A283,IF(LEFT(Berekening!Q30,1)&lt;RIGHT(Berekening!Q30,1),$C283,"gelijkspel"))</f>
        <v>Servië</v>
      </c>
      <c r="R283" s="166" t="str">
        <f>IF(LEFT(Berekening!R30,1)&gt;RIGHT(Berekening!R30,1),$A283,IF(LEFT(Berekening!R30,1)&lt;RIGHT(Berekening!R30,1),$C283,"gelijkspel"))</f>
        <v>Servië</v>
      </c>
      <c r="S283" s="166" t="str">
        <f>IF(LEFT(Berekening!S30,1)&gt;RIGHT(Berekening!S30,1),$A283,IF(LEFT(Berekening!S30,1)&lt;RIGHT(Berekening!S30,1),$C283,"gelijkspel"))</f>
        <v>Servië</v>
      </c>
      <c r="T283" s="166" t="str">
        <f>IF(LEFT(Berekening!T30,1)&gt;RIGHT(Berekening!T30,1),$A283,IF(LEFT(Berekening!T30,1)&lt;RIGHT(Berekening!T30,1),$C283,"gelijkspel"))</f>
        <v>Servië</v>
      </c>
      <c r="U283" s="166" t="str">
        <f>IF(LEFT(Berekening!U30,1)&gt;RIGHT(Berekening!U30,1),$A283,IF(LEFT(Berekening!U30,1)&lt;RIGHT(Berekening!U30,1),$C283,"gelijkspel"))</f>
        <v>gelijkspel</v>
      </c>
      <c r="V283" s="166" t="str">
        <f>IF(LEFT(Berekening!V30,1)&gt;RIGHT(Berekening!V30,1),$A283,IF(LEFT(Berekening!V30,1)&lt;RIGHT(Berekening!V30,1),$C283,"gelijkspel"))</f>
        <v>gelijkspel</v>
      </c>
      <c r="W283" s="166" t="str">
        <f>IF(LEFT(Berekening!W30,1)&gt;RIGHT(Berekening!W30,1),$A283,IF(LEFT(Berekening!W30,1)&lt;RIGHT(Berekening!W30,1),$C283,"gelijkspel"))</f>
        <v>gelijkspel</v>
      </c>
      <c r="X283" s="166" t="str">
        <f>IF(LEFT(Berekening!X30,1)&gt;RIGHT(Berekening!X30,1),$A283,IF(LEFT(Berekening!X30,1)&lt;RIGHT(Berekening!X30,1),$C283,"gelijkspel"))</f>
        <v>gelijkspel</v>
      </c>
      <c r="Y283" s="166" t="str">
        <f>IF(LEFT(Berekening!Y30,1)&gt;RIGHT(Berekening!Y30,1),$A283,IF(LEFT(Berekening!Y30,1)&lt;RIGHT(Berekening!Y30,1),$C283,"gelijkspel"))</f>
        <v>gelijkspel</v>
      </c>
      <c r="Z283" s="166" t="str">
        <f>IF(LEFT(Berekening!Z30,1)&gt;RIGHT(Berekening!Z30,1),$A283,IF(LEFT(Berekening!Z30,1)&lt;RIGHT(Berekening!Z30,1),$C283,"gelijkspel"))</f>
        <v>gelijkspel</v>
      </c>
      <c r="AA283" s="166" t="str">
        <f>IF(LEFT(Berekening!AA30,1)&gt;RIGHT(Berekening!AA30,1),$A283,IF(LEFT(Berekening!AA30,1)&lt;RIGHT(Berekening!AA30,1),$C283,"gelijkspel"))</f>
        <v>gelijkspel</v>
      </c>
      <c r="AB283" s="166" t="str">
        <f>IF(LEFT(Berekening!AB30,1)&gt;RIGHT(Berekening!AB30,1),$A283,IF(LEFT(Berekening!AB30,1)&lt;RIGHT(Berekening!AB30,1),$C283,"gelijkspel"))</f>
        <v>gelijkspel</v>
      </c>
      <c r="AC283" s="166" t="str">
        <f>IF(LEFT(Berekening!AC30,1)&gt;RIGHT(Berekening!AC30,1),$A283,IF(LEFT(Berekening!AC30,1)&lt;RIGHT(Berekening!AC30,1),$C283,"gelijkspel"))</f>
        <v>gelijkspel</v>
      </c>
      <c r="AD283" s="166" t="str">
        <f>IF(LEFT(Berekening!AD30,1)&gt;RIGHT(Berekening!AD30,1),$A283,IF(LEFT(Berekening!AD30,1)&lt;RIGHT(Berekening!AD30,1),$C283,"gelijkspel"))</f>
        <v>gelijkspel</v>
      </c>
      <c r="AE283" s="166" t="str">
        <f>IF(LEFT(Berekening!AE30,1)&gt;RIGHT(Berekening!AE30,1),$A283,IF(LEFT(Berekening!AE30,1)&lt;RIGHT(Berekening!AE30,1),$C283,"gelijkspel"))</f>
        <v>gelijkspel</v>
      </c>
      <c r="AF283" s="166" t="str">
        <f>IF(LEFT(Berekening!AF30,1)&gt;RIGHT(Berekening!AF30,1),$A283,IF(LEFT(Berekening!AF30,1)&lt;RIGHT(Berekening!AF30,1),$C283,"gelijkspel"))</f>
        <v>gelijkspel</v>
      </c>
      <c r="AG283" s="166" t="str">
        <f>IF(LEFT(Berekening!AG30,1)&gt;RIGHT(Berekening!AG30,1),$A283,IF(LEFT(Berekening!AG30,1)&lt;RIGHT(Berekening!AG30,1),$C283,"gelijkspel"))</f>
        <v>gelijkspel</v>
      </c>
      <c r="AH283" s="166" t="str">
        <f>IF(LEFT(Berekening!AH30,1)&gt;RIGHT(Berekening!AH30,1),$A283,IF(LEFT(Berekening!AH30,1)&lt;RIGHT(Berekening!AH30,1),$C283,"gelijkspel"))</f>
        <v>gelijkspel</v>
      </c>
      <c r="AI283" s="166" t="str">
        <f>IF(LEFT(Berekening!AI30,1)&gt;RIGHT(Berekening!AI30,1),$A283,IF(LEFT(Berekening!AI30,1)&lt;RIGHT(Berekening!AI30,1),$C283,"gelijkspel"))</f>
        <v>gelijkspel</v>
      </c>
      <c r="AJ283" s="166" t="str">
        <f>IF(LEFT(Berekening!AJ30,1)&gt;RIGHT(Berekening!AJ30,1),$A283,IF(LEFT(Berekening!AJ30,1)&lt;RIGHT(Berekening!AJ30,1),$C283,"gelijkspel"))</f>
        <v>gelijkspel</v>
      </c>
      <c r="AK283" s="166" t="str">
        <f>IF(LEFT(Berekening!AK30,1)&gt;RIGHT(Berekening!AK30,1),$A283,IF(LEFT(Berekening!AK30,1)&lt;RIGHT(Berekening!AK30,1),$C283,"gelijkspel"))</f>
        <v>gelijkspel</v>
      </c>
      <c r="AL283" s="166" t="str">
        <f>IF(LEFT(Berekening!AL30,1)&gt;RIGHT(Berekening!AL30,1),$A283,IF(LEFT(Berekening!AL30,1)&lt;RIGHT(Berekening!AL30,1),$C283,"gelijkspel"))</f>
        <v>gelijkspel</v>
      </c>
      <c r="AM283" s="166" t="str">
        <f>IF(LEFT(Berekening!AM30,1)&gt;RIGHT(Berekening!AM30,1),$A283,IF(LEFT(Berekening!AM30,1)&lt;RIGHT(Berekening!AM30,1),$C283,"gelijkspel"))</f>
        <v>gelijkspel</v>
      </c>
      <c r="AN283" s="166" t="str">
        <f>IF(LEFT(Berekening!AN30,1)&gt;RIGHT(Berekening!AN30,1),$A283,IF(LEFT(Berekening!AN30,1)&lt;RIGHT(Berekening!AN30,1),$C283,"gelijkspel"))</f>
        <v>gelijkspel</v>
      </c>
      <c r="AO283" s="166" t="str">
        <f>IF(LEFT(Berekening!AO30,1)&gt;RIGHT(Berekening!AO30,1),$A283,IF(LEFT(Berekening!AO30,1)&lt;RIGHT(Berekening!AO30,1),$C283,"gelijkspel"))</f>
        <v>gelijkspel</v>
      </c>
      <c r="AP283" s="166" t="str">
        <f>IF(LEFT(Berekening!AP30,1)&gt;RIGHT(Berekening!AP30,1),$A283,IF(LEFT(Berekening!AP30,1)&lt;RIGHT(Berekening!AP30,1),$C283,"gelijkspel"))</f>
        <v>gelijkspel</v>
      </c>
      <c r="AQ283" s="166" t="str">
        <f>IF(LEFT(Berekening!AQ30,1)&gt;RIGHT(Berekening!AQ30,1),$A283,IF(LEFT(Berekening!AQ30,1)&lt;RIGHT(Berekening!AQ30,1),$C283,"gelijkspel"))</f>
        <v>gelijkspel</v>
      </c>
      <c r="AR283" s="166" t="str">
        <f>IF(LEFT(Berekening!AR30,1)&gt;RIGHT(Berekening!AR30,1),$A283,IF(LEFT(Berekening!AR30,1)&lt;RIGHT(Berekening!AR30,1),$C283,"gelijkspel"))</f>
        <v>gelijkspel</v>
      </c>
      <c r="AS283" s="166" t="str">
        <f>IF(LEFT(Berekening!AS30,1)&gt;RIGHT(Berekening!AS30,1),$A283,IF(LEFT(Berekening!AS30,1)&lt;RIGHT(Berekening!AS30,1),$C283,"gelijkspel"))</f>
        <v>gelijkspel</v>
      </c>
      <c r="AT283" s="166" t="str">
        <f>IF(LEFT(Berekening!AT30,1)&gt;RIGHT(Berekening!AT30,1),$A283,IF(LEFT(Berekening!AT30,1)&lt;RIGHT(Berekening!AT30,1),$C283,"gelijkspel"))</f>
        <v>gelijkspel</v>
      </c>
    </row>
    <row r="284" spans="1:46" s="161" customFormat="1" ht="15">
      <c r="A284" s="163" t="s">
        <v>1206</v>
      </c>
      <c r="B284" s="164" t="s">
        <v>2971</v>
      </c>
      <c r="C284" s="165" t="s">
        <v>1856</v>
      </c>
      <c r="E284" s="166" t="str">
        <f>IF(LEFT(Berekening!E31,1)&gt;RIGHT(Berekening!E31,1),$A284,IF(LEFT(Berekening!E31,1)&lt;RIGHT(Berekening!E31,1),$C284,"gelijkspel"))</f>
        <v>Engeland</v>
      </c>
      <c r="F284" s="166" t="str">
        <f>IF(LEFT(Berekening!F31,1)&gt;RIGHT(Berekening!F31,1),$A284,IF(LEFT(Berekening!F31,1)&lt;RIGHT(Berekening!F31,1),$C284,"gelijkspel"))</f>
        <v>Engeland</v>
      </c>
      <c r="G284" s="166" t="str">
        <f>IF(LEFT(Berekening!G31,1)&gt;RIGHT(Berekening!G31,1),$A284,IF(LEFT(Berekening!G31,1)&lt;RIGHT(Berekening!G31,1),$C284,"gelijkspel"))</f>
        <v>Engeland</v>
      </c>
      <c r="H284" s="166" t="str">
        <f>IF(LEFT(Berekening!H31,1)&gt;RIGHT(Berekening!H31,1),$A284,IF(LEFT(Berekening!H31,1)&lt;RIGHT(Berekening!H31,1),$C284,"gelijkspel"))</f>
        <v>Engeland</v>
      </c>
      <c r="I284" s="166" t="str">
        <f>IF(LEFT(Berekening!I31,1)&gt;RIGHT(Berekening!I31,1),$A284,IF(LEFT(Berekening!I31,1)&lt;RIGHT(Berekening!I31,1),$C284,"gelijkspel"))</f>
        <v>gelijkspel</v>
      </c>
      <c r="J284" s="166" t="str">
        <f>IF(LEFT(Berekening!J31,1)&gt;RIGHT(Berekening!J31,1),$A284,IF(LEFT(Berekening!J31,1)&lt;RIGHT(Berekening!J31,1),$C284,"gelijkspel"))</f>
        <v>Engeland</v>
      </c>
      <c r="K284" s="166" t="str">
        <f>IF(LEFT(Berekening!K31,1)&gt;RIGHT(Berekening!K31,1),$A284,IF(LEFT(Berekening!K31,1)&lt;RIGHT(Berekening!K31,1),$C284,"gelijkspel"))</f>
        <v>Engeland</v>
      </c>
      <c r="L284" s="166" t="str">
        <f>IF(LEFT(Berekening!L31,1)&gt;RIGHT(Berekening!L31,1),$A284,IF(LEFT(Berekening!L31,1)&lt;RIGHT(Berekening!L31,1),$C284,"gelijkspel"))</f>
        <v>Engeland</v>
      </c>
      <c r="M284" s="166" t="str">
        <f>IF(LEFT(Berekening!M31,1)&gt;RIGHT(Berekening!M31,1),$A284,IF(LEFT(Berekening!M31,1)&lt;RIGHT(Berekening!M31,1),$C284,"gelijkspel"))</f>
        <v>Engeland</v>
      </c>
      <c r="N284" s="166" t="str">
        <f>IF(LEFT(Berekening!N31,1)&gt;RIGHT(Berekening!N31,1),$A284,IF(LEFT(Berekening!N31,1)&lt;RIGHT(Berekening!N31,1),$C284,"gelijkspel"))</f>
        <v>Engeland</v>
      </c>
      <c r="O284" s="166" t="str">
        <f>IF(LEFT(Berekening!O31,1)&gt;RIGHT(Berekening!O31,1),$A284,IF(LEFT(Berekening!O31,1)&lt;RIGHT(Berekening!O31,1),$C284,"gelijkspel"))</f>
        <v>Engeland</v>
      </c>
      <c r="P284" s="166" t="str">
        <f>IF(LEFT(Berekening!P31,1)&gt;RIGHT(Berekening!P31,1),$A284,IF(LEFT(Berekening!P31,1)&lt;RIGHT(Berekening!P31,1),$C284,"gelijkspel"))</f>
        <v>Engeland</v>
      </c>
      <c r="Q284" s="166" t="str">
        <f>IF(LEFT(Berekening!Q31,1)&gt;RIGHT(Berekening!Q31,1),$A284,IF(LEFT(Berekening!Q31,1)&lt;RIGHT(Berekening!Q31,1),$C284,"gelijkspel"))</f>
        <v>Engeland</v>
      </c>
      <c r="R284" s="166" t="str">
        <f>IF(LEFT(Berekening!R31,1)&gt;RIGHT(Berekening!R31,1),$A284,IF(LEFT(Berekening!R31,1)&lt;RIGHT(Berekening!R31,1),$C284,"gelijkspel"))</f>
        <v>Engeland</v>
      </c>
      <c r="S284" s="166" t="str">
        <f>IF(LEFT(Berekening!S31,1)&gt;RIGHT(Berekening!S31,1),$A284,IF(LEFT(Berekening!S31,1)&lt;RIGHT(Berekening!S31,1),$C284,"gelijkspel"))</f>
        <v>Engeland</v>
      </c>
      <c r="T284" s="166" t="str">
        <f>IF(LEFT(Berekening!T31,1)&gt;RIGHT(Berekening!T31,1),$A284,IF(LEFT(Berekening!T31,1)&lt;RIGHT(Berekening!T31,1),$C284,"gelijkspel"))</f>
        <v>gelijkspel</v>
      </c>
      <c r="U284" s="166" t="str">
        <f>IF(LEFT(Berekening!U31,1)&gt;RIGHT(Berekening!U31,1),$A284,IF(LEFT(Berekening!U31,1)&lt;RIGHT(Berekening!U31,1),$C284,"gelijkspel"))</f>
        <v>gelijkspel</v>
      </c>
      <c r="V284" s="166" t="str">
        <f>IF(LEFT(Berekening!V31,1)&gt;RIGHT(Berekening!V31,1),$A284,IF(LEFT(Berekening!V31,1)&lt;RIGHT(Berekening!V31,1),$C284,"gelijkspel"))</f>
        <v>gelijkspel</v>
      </c>
      <c r="W284" s="166" t="str">
        <f>IF(LEFT(Berekening!W31,1)&gt;RIGHT(Berekening!W31,1),$A284,IF(LEFT(Berekening!W31,1)&lt;RIGHT(Berekening!W31,1),$C284,"gelijkspel"))</f>
        <v>gelijkspel</v>
      </c>
      <c r="X284" s="166" t="str">
        <f>IF(LEFT(Berekening!X31,1)&gt;RIGHT(Berekening!X31,1),$A284,IF(LEFT(Berekening!X31,1)&lt;RIGHT(Berekening!X31,1),$C284,"gelijkspel"))</f>
        <v>gelijkspel</v>
      </c>
      <c r="Y284" s="166" t="str">
        <f>IF(LEFT(Berekening!Y31,1)&gt;RIGHT(Berekening!Y31,1),$A284,IF(LEFT(Berekening!Y31,1)&lt;RIGHT(Berekening!Y31,1),$C284,"gelijkspel"))</f>
        <v>gelijkspel</v>
      </c>
      <c r="Z284" s="166" t="str">
        <f>IF(LEFT(Berekening!Z31,1)&gt;RIGHT(Berekening!Z31,1),$A284,IF(LEFT(Berekening!Z31,1)&lt;RIGHT(Berekening!Z31,1),$C284,"gelijkspel"))</f>
        <v>gelijkspel</v>
      </c>
      <c r="AA284" s="166" t="str">
        <f>IF(LEFT(Berekening!AA31,1)&gt;RIGHT(Berekening!AA31,1),$A284,IF(LEFT(Berekening!AA31,1)&lt;RIGHT(Berekening!AA31,1),$C284,"gelijkspel"))</f>
        <v>gelijkspel</v>
      </c>
      <c r="AB284" s="166" t="str">
        <f>IF(LEFT(Berekening!AB31,1)&gt;RIGHT(Berekening!AB31,1),$A284,IF(LEFT(Berekening!AB31,1)&lt;RIGHT(Berekening!AB31,1),$C284,"gelijkspel"))</f>
        <v>gelijkspel</v>
      </c>
      <c r="AC284" s="166" t="str">
        <f>IF(LEFT(Berekening!AC31,1)&gt;RIGHT(Berekening!AC31,1),$A284,IF(LEFT(Berekening!AC31,1)&lt;RIGHT(Berekening!AC31,1),$C284,"gelijkspel"))</f>
        <v>gelijkspel</v>
      </c>
      <c r="AD284" s="166" t="str">
        <f>IF(LEFT(Berekening!AD31,1)&gt;RIGHT(Berekening!AD31,1),$A284,IF(LEFT(Berekening!AD31,1)&lt;RIGHT(Berekening!AD31,1),$C284,"gelijkspel"))</f>
        <v>gelijkspel</v>
      </c>
      <c r="AE284" s="166" t="str">
        <f>IF(LEFT(Berekening!AE31,1)&gt;RIGHT(Berekening!AE31,1),$A284,IF(LEFT(Berekening!AE31,1)&lt;RIGHT(Berekening!AE31,1),$C284,"gelijkspel"))</f>
        <v>gelijkspel</v>
      </c>
      <c r="AF284" s="166" t="str">
        <f>IF(LEFT(Berekening!AF31,1)&gt;RIGHT(Berekening!AF31,1),$A284,IF(LEFT(Berekening!AF31,1)&lt;RIGHT(Berekening!AF31,1),$C284,"gelijkspel"))</f>
        <v>gelijkspel</v>
      </c>
      <c r="AG284" s="166" t="str">
        <f>IF(LEFT(Berekening!AG31,1)&gt;RIGHT(Berekening!AG31,1),$A284,IF(LEFT(Berekening!AG31,1)&lt;RIGHT(Berekening!AG31,1),$C284,"gelijkspel"))</f>
        <v>gelijkspel</v>
      </c>
      <c r="AH284" s="166" t="str">
        <f>IF(LEFT(Berekening!AH31,1)&gt;RIGHT(Berekening!AH31,1),$A284,IF(LEFT(Berekening!AH31,1)&lt;RIGHT(Berekening!AH31,1),$C284,"gelijkspel"))</f>
        <v>gelijkspel</v>
      </c>
      <c r="AI284" s="166" t="str">
        <f>IF(LEFT(Berekening!AI31,1)&gt;RIGHT(Berekening!AI31,1),$A284,IF(LEFT(Berekening!AI31,1)&lt;RIGHT(Berekening!AI31,1),$C284,"gelijkspel"))</f>
        <v>gelijkspel</v>
      </c>
      <c r="AJ284" s="166" t="str">
        <f>IF(LEFT(Berekening!AJ31,1)&gt;RIGHT(Berekening!AJ31,1),$A284,IF(LEFT(Berekening!AJ31,1)&lt;RIGHT(Berekening!AJ31,1),$C284,"gelijkspel"))</f>
        <v>gelijkspel</v>
      </c>
      <c r="AK284" s="166" t="str">
        <f>IF(LEFT(Berekening!AK31,1)&gt;RIGHT(Berekening!AK31,1),$A284,IF(LEFT(Berekening!AK31,1)&lt;RIGHT(Berekening!AK31,1),$C284,"gelijkspel"))</f>
        <v>gelijkspel</v>
      </c>
      <c r="AL284" s="166" t="str">
        <f>IF(LEFT(Berekening!AL31,1)&gt;RIGHT(Berekening!AL31,1),$A284,IF(LEFT(Berekening!AL31,1)&lt;RIGHT(Berekening!AL31,1),$C284,"gelijkspel"))</f>
        <v>gelijkspel</v>
      </c>
      <c r="AM284" s="166" t="str">
        <f>IF(LEFT(Berekening!AM31,1)&gt;RIGHT(Berekening!AM31,1),$A284,IF(LEFT(Berekening!AM31,1)&lt;RIGHT(Berekening!AM31,1),$C284,"gelijkspel"))</f>
        <v>gelijkspel</v>
      </c>
      <c r="AN284" s="166" t="str">
        <f>IF(LEFT(Berekening!AN31,1)&gt;RIGHT(Berekening!AN31,1),$A284,IF(LEFT(Berekening!AN31,1)&lt;RIGHT(Berekening!AN31,1),$C284,"gelijkspel"))</f>
        <v>gelijkspel</v>
      </c>
      <c r="AO284" s="166" t="str">
        <f>IF(LEFT(Berekening!AO31,1)&gt;RIGHT(Berekening!AO31,1),$A284,IF(LEFT(Berekening!AO31,1)&lt;RIGHT(Berekening!AO31,1),$C284,"gelijkspel"))</f>
        <v>gelijkspel</v>
      </c>
      <c r="AP284" s="166" t="str">
        <f>IF(LEFT(Berekening!AP31,1)&gt;RIGHT(Berekening!AP31,1),$A284,IF(LEFT(Berekening!AP31,1)&lt;RIGHT(Berekening!AP31,1),$C284,"gelijkspel"))</f>
        <v>gelijkspel</v>
      </c>
      <c r="AQ284" s="166" t="str">
        <f>IF(LEFT(Berekening!AQ31,1)&gt;RIGHT(Berekening!AQ31,1),$A284,IF(LEFT(Berekening!AQ31,1)&lt;RIGHT(Berekening!AQ31,1),$C284,"gelijkspel"))</f>
        <v>gelijkspel</v>
      </c>
      <c r="AR284" s="166" t="str">
        <f>IF(LEFT(Berekening!AR31,1)&gt;RIGHT(Berekening!AR31,1),$A284,IF(LEFT(Berekening!AR31,1)&lt;RIGHT(Berekening!AR31,1),$C284,"gelijkspel"))</f>
        <v>gelijkspel</v>
      </c>
      <c r="AS284" s="166" t="str">
        <f>IF(LEFT(Berekening!AS31,1)&gt;RIGHT(Berekening!AS31,1),$A284,IF(LEFT(Berekening!AS31,1)&lt;RIGHT(Berekening!AS31,1),$C284,"gelijkspel"))</f>
        <v>gelijkspel</v>
      </c>
      <c r="AT284" s="166" t="str">
        <f>IF(LEFT(Berekening!AT31,1)&gt;RIGHT(Berekening!AT31,1),$A284,IF(LEFT(Berekening!AT31,1)&lt;RIGHT(Berekening!AT31,1),$C284,"gelijkspel"))</f>
        <v>gelijkspel</v>
      </c>
    </row>
    <row r="285" spans="1:46" s="161" customFormat="1" ht="15">
      <c r="A285" s="163" t="s">
        <v>1077</v>
      </c>
      <c r="B285" s="164" t="s">
        <v>2971</v>
      </c>
      <c r="C285" s="165" t="s">
        <v>1113</v>
      </c>
      <c r="E285" s="166" t="str">
        <f>IF(LEFT(Berekening!E32,1)&gt;RIGHT(Berekening!E32,1),$A285,IF(LEFT(Berekening!E32,1)&lt;RIGHT(Berekening!E32,1),$C285,"gelijkspel"))</f>
        <v>Spanje</v>
      </c>
      <c r="F285" s="166" t="str">
        <f>IF(LEFT(Berekening!F32,1)&gt;RIGHT(Berekening!F32,1),$A285,IF(LEFT(Berekening!F32,1)&lt;RIGHT(Berekening!F32,1),$C285,"gelijkspel"))</f>
        <v>Spanje</v>
      </c>
      <c r="G285" s="166" t="str">
        <f>IF(LEFT(Berekening!G32,1)&gt;RIGHT(Berekening!G32,1),$A285,IF(LEFT(Berekening!G32,1)&lt;RIGHT(Berekening!G32,1),$C285,"gelijkspel"))</f>
        <v>gelijkspel</v>
      </c>
      <c r="H285" s="166" t="str">
        <f>IF(LEFT(Berekening!H32,1)&gt;RIGHT(Berekening!H32,1),$A285,IF(LEFT(Berekening!H32,1)&lt;RIGHT(Berekening!H32,1),$C285,"gelijkspel"))</f>
        <v>gelijkspel</v>
      </c>
      <c r="I285" s="166" t="str">
        <f>IF(LEFT(Berekening!I32,1)&gt;RIGHT(Berekening!I32,1),$A285,IF(LEFT(Berekening!I32,1)&lt;RIGHT(Berekening!I32,1),$C285,"gelijkspel"))</f>
        <v>Spanje</v>
      </c>
      <c r="J285" s="166" t="str">
        <f>IF(LEFT(Berekening!J32,1)&gt;RIGHT(Berekening!J32,1),$A285,IF(LEFT(Berekening!J32,1)&lt;RIGHT(Berekening!J32,1),$C285,"gelijkspel"))</f>
        <v>Spanje</v>
      </c>
      <c r="K285" s="166" t="str">
        <f>IF(LEFT(Berekening!K32,1)&gt;RIGHT(Berekening!K32,1),$A285,IF(LEFT(Berekening!K32,1)&lt;RIGHT(Berekening!K32,1),$C285,"gelijkspel"))</f>
        <v>Spanje</v>
      </c>
      <c r="L285" s="166" t="str">
        <f>IF(LEFT(Berekening!L32,1)&gt;RIGHT(Berekening!L32,1),$A285,IF(LEFT(Berekening!L32,1)&lt;RIGHT(Berekening!L32,1),$C285,"gelijkspel"))</f>
        <v>Spanje</v>
      </c>
      <c r="M285" s="166" t="str">
        <f>IF(LEFT(Berekening!M32,1)&gt;RIGHT(Berekening!M32,1),$A285,IF(LEFT(Berekening!M32,1)&lt;RIGHT(Berekening!M32,1),$C285,"gelijkspel"))</f>
        <v>Spanje</v>
      </c>
      <c r="N285" s="166" t="str">
        <f>IF(LEFT(Berekening!N32,1)&gt;RIGHT(Berekening!N32,1),$A285,IF(LEFT(Berekening!N32,1)&lt;RIGHT(Berekening!N32,1),$C285,"gelijkspel"))</f>
        <v>Spanje</v>
      </c>
      <c r="O285" s="166" t="str">
        <f>IF(LEFT(Berekening!O32,1)&gt;RIGHT(Berekening!O32,1),$A285,IF(LEFT(Berekening!O32,1)&lt;RIGHT(Berekening!O32,1),$C285,"gelijkspel"))</f>
        <v>gelijkspel</v>
      </c>
      <c r="P285" s="166" t="str">
        <f>IF(LEFT(Berekening!P32,1)&gt;RIGHT(Berekening!P32,1),$A285,IF(LEFT(Berekening!P32,1)&lt;RIGHT(Berekening!P32,1),$C285,"gelijkspel"))</f>
        <v>Spanje</v>
      </c>
      <c r="Q285" s="166" t="str">
        <f>IF(LEFT(Berekening!Q32,1)&gt;RIGHT(Berekening!Q32,1),$A285,IF(LEFT(Berekening!Q32,1)&lt;RIGHT(Berekening!Q32,1),$C285,"gelijkspel"))</f>
        <v>Spanje</v>
      </c>
      <c r="R285" s="166" t="str">
        <f>IF(LEFT(Berekening!R32,1)&gt;RIGHT(Berekening!R32,1),$A285,IF(LEFT(Berekening!R32,1)&lt;RIGHT(Berekening!R32,1),$C285,"gelijkspel"))</f>
        <v>gelijkspel</v>
      </c>
      <c r="S285" s="166" t="str">
        <f>IF(LEFT(Berekening!S32,1)&gt;RIGHT(Berekening!S32,1),$A285,IF(LEFT(Berekening!S32,1)&lt;RIGHT(Berekening!S32,1),$C285,"gelijkspel"))</f>
        <v>Spanje</v>
      </c>
      <c r="T285" s="166" t="str">
        <f>IF(LEFT(Berekening!T32,1)&gt;RIGHT(Berekening!T32,1),$A285,IF(LEFT(Berekening!T32,1)&lt;RIGHT(Berekening!T32,1),$C285,"gelijkspel"))</f>
        <v>Spanje</v>
      </c>
      <c r="U285" s="166" t="str">
        <f>IF(LEFT(Berekening!U32,1)&gt;RIGHT(Berekening!U32,1),$A285,IF(LEFT(Berekening!U32,1)&lt;RIGHT(Berekening!U32,1),$C285,"gelijkspel"))</f>
        <v>gelijkspel</v>
      </c>
      <c r="V285" s="166" t="str">
        <f>IF(LEFT(Berekening!V32,1)&gt;RIGHT(Berekening!V32,1),$A285,IF(LEFT(Berekening!V32,1)&lt;RIGHT(Berekening!V32,1),$C285,"gelijkspel"))</f>
        <v>gelijkspel</v>
      </c>
      <c r="W285" s="166" t="str">
        <f>IF(LEFT(Berekening!W32,1)&gt;RIGHT(Berekening!W32,1),$A285,IF(LEFT(Berekening!W32,1)&lt;RIGHT(Berekening!W32,1),$C285,"gelijkspel"))</f>
        <v>gelijkspel</v>
      </c>
      <c r="X285" s="166" t="str">
        <f>IF(LEFT(Berekening!X32,1)&gt;RIGHT(Berekening!X32,1),$A285,IF(LEFT(Berekening!X32,1)&lt;RIGHT(Berekening!X32,1),$C285,"gelijkspel"))</f>
        <v>gelijkspel</v>
      </c>
      <c r="Y285" s="166" t="str">
        <f>IF(LEFT(Berekening!Y32,1)&gt;RIGHT(Berekening!Y32,1),$A285,IF(LEFT(Berekening!Y32,1)&lt;RIGHT(Berekening!Y32,1),$C285,"gelijkspel"))</f>
        <v>gelijkspel</v>
      </c>
      <c r="Z285" s="166" t="str">
        <f>IF(LEFT(Berekening!Z32,1)&gt;RIGHT(Berekening!Z32,1),$A285,IF(LEFT(Berekening!Z32,1)&lt;RIGHT(Berekening!Z32,1),$C285,"gelijkspel"))</f>
        <v>gelijkspel</v>
      </c>
      <c r="AA285" s="166" t="str">
        <f>IF(LEFT(Berekening!AA32,1)&gt;RIGHT(Berekening!AA32,1),$A285,IF(LEFT(Berekening!AA32,1)&lt;RIGHT(Berekening!AA32,1),$C285,"gelijkspel"))</f>
        <v>gelijkspel</v>
      </c>
      <c r="AB285" s="166" t="str">
        <f>IF(LEFT(Berekening!AB32,1)&gt;RIGHT(Berekening!AB32,1),$A285,IF(LEFT(Berekening!AB32,1)&lt;RIGHT(Berekening!AB32,1),$C285,"gelijkspel"))</f>
        <v>gelijkspel</v>
      </c>
      <c r="AC285" s="166" t="str">
        <f>IF(LEFT(Berekening!AC32,1)&gt;RIGHT(Berekening!AC32,1),$A285,IF(LEFT(Berekening!AC32,1)&lt;RIGHT(Berekening!AC32,1),$C285,"gelijkspel"))</f>
        <v>gelijkspel</v>
      </c>
      <c r="AD285" s="166" t="str">
        <f>IF(LEFT(Berekening!AD32,1)&gt;RIGHT(Berekening!AD32,1),$A285,IF(LEFT(Berekening!AD32,1)&lt;RIGHT(Berekening!AD32,1),$C285,"gelijkspel"))</f>
        <v>gelijkspel</v>
      </c>
      <c r="AE285" s="166" t="str">
        <f>IF(LEFT(Berekening!AE32,1)&gt;RIGHT(Berekening!AE32,1),$A285,IF(LEFT(Berekening!AE32,1)&lt;RIGHT(Berekening!AE32,1),$C285,"gelijkspel"))</f>
        <v>gelijkspel</v>
      </c>
      <c r="AF285" s="166" t="str">
        <f>IF(LEFT(Berekening!AF32,1)&gt;RIGHT(Berekening!AF32,1),$A285,IF(LEFT(Berekening!AF32,1)&lt;RIGHT(Berekening!AF32,1),$C285,"gelijkspel"))</f>
        <v>gelijkspel</v>
      </c>
      <c r="AG285" s="166" t="str">
        <f>IF(LEFT(Berekening!AG32,1)&gt;RIGHT(Berekening!AG32,1),$A285,IF(LEFT(Berekening!AG32,1)&lt;RIGHT(Berekening!AG32,1),$C285,"gelijkspel"))</f>
        <v>gelijkspel</v>
      </c>
      <c r="AH285" s="166" t="str">
        <f>IF(LEFT(Berekening!AH32,1)&gt;RIGHT(Berekening!AH32,1),$A285,IF(LEFT(Berekening!AH32,1)&lt;RIGHT(Berekening!AH32,1),$C285,"gelijkspel"))</f>
        <v>gelijkspel</v>
      </c>
      <c r="AI285" s="166" t="str">
        <f>IF(LEFT(Berekening!AI32,1)&gt;RIGHT(Berekening!AI32,1),$A285,IF(LEFT(Berekening!AI32,1)&lt;RIGHT(Berekening!AI32,1),$C285,"gelijkspel"))</f>
        <v>gelijkspel</v>
      </c>
      <c r="AJ285" s="166" t="str">
        <f>IF(LEFT(Berekening!AJ32,1)&gt;RIGHT(Berekening!AJ32,1),$A285,IF(LEFT(Berekening!AJ32,1)&lt;RIGHT(Berekening!AJ32,1),$C285,"gelijkspel"))</f>
        <v>gelijkspel</v>
      </c>
      <c r="AK285" s="166" t="str">
        <f>IF(LEFT(Berekening!AK32,1)&gt;RIGHT(Berekening!AK32,1),$A285,IF(LEFT(Berekening!AK32,1)&lt;RIGHT(Berekening!AK32,1),$C285,"gelijkspel"))</f>
        <v>gelijkspel</v>
      </c>
      <c r="AL285" s="166" t="str">
        <f>IF(LEFT(Berekening!AL32,1)&gt;RIGHT(Berekening!AL32,1),$A285,IF(LEFT(Berekening!AL32,1)&lt;RIGHT(Berekening!AL32,1),$C285,"gelijkspel"))</f>
        <v>gelijkspel</v>
      </c>
      <c r="AM285" s="166" t="str">
        <f>IF(LEFT(Berekening!AM32,1)&gt;RIGHT(Berekening!AM32,1),$A285,IF(LEFT(Berekening!AM32,1)&lt;RIGHT(Berekening!AM32,1),$C285,"gelijkspel"))</f>
        <v>gelijkspel</v>
      </c>
      <c r="AN285" s="166" t="str">
        <f>IF(LEFT(Berekening!AN32,1)&gt;RIGHT(Berekening!AN32,1),$A285,IF(LEFT(Berekening!AN32,1)&lt;RIGHT(Berekening!AN32,1),$C285,"gelijkspel"))</f>
        <v>gelijkspel</v>
      </c>
      <c r="AO285" s="166" t="str">
        <f>IF(LEFT(Berekening!AO32,1)&gt;RIGHT(Berekening!AO32,1),$A285,IF(LEFT(Berekening!AO32,1)&lt;RIGHT(Berekening!AO32,1),$C285,"gelijkspel"))</f>
        <v>gelijkspel</v>
      </c>
      <c r="AP285" s="166" t="str">
        <f>IF(LEFT(Berekening!AP32,1)&gt;RIGHT(Berekening!AP32,1),$A285,IF(LEFT(Berekening!AP32,1)&lt;RIGHT(Berekening!AP32,1),$C285,"gelijkspel"))</f>
        <v>gelijkspel</v>
      </c>
      <c r="AQ285" s="166" t="str">
        <f>IF(LEFT(Berekening!AQ32,1)&gt;RIGHT(Berekening!AQ32,1),$A285,IF(LEFT(Berekening!AQ32,1)&lt;RIGHT(Berekening!AQ32,1),$C285,"gelijkspel"))</f>
        <v>gelijkspel</v>
      </c>
      <c r="AR285" s="166" t="str">
        <f>IF(LEFT(Berekening!AR32,1)&gt;RIGHT(Berekening!AR32,1),$A285,IF(LEFT(Berekening!AR32,1)&lt;RIGHT(Berekening!AR32,1),$C285,"gelijkspel"))</f>
        <v>gelijkspel</v>
      </c>
      <c r="AS285" s="166" t="str">
        <f>IF(LEFT(Berekening!AS32,1)&gt;RIGHT(Berekening!AS32,1),$A285,IF(LEFT(Berekening!AS32,1)&lt;RIGHT(Berekening!AS32,1),$C285,"gelijkspel"))</f>
        <v>gelijkspel</v>
      </c>
      <c r="AT285" s="166" t="str">
        <f>IF(LEFT(Berekening!AT32,1)&gt;RIGHT(Berekening!AT32,1),$A285,IF(LEFT(Berekening!AT32,1)&lt;RIGHT(Berekening!AT32,1),$C285,"gelijkspel"))</f>
        <v>gelijkspel</v>
      </c>
    </row>
    <row r="286" spans="1:46" s="161" customFormat="1" ht="15">
      <c r="A286" s="163" t="s">
        <v>1433</v>
      </c>
      <c r="B286" s="164" t="s">
        <v>2971</v>
      </c>
      <c r="C286" s="165" t="s">
        <v>1235</v>
      </c>
      <c r="E286" s="166" t="str">
        <f>IF(LEFT(Berekening!E33,1)&gt;RIGHT(Berekening!E33,1),$A286,IF(LEFT(Berekening!E33,1)&lt;RIGHT(Berekening!E33,1),$C286,"gelijkspel"))</f>
        <v>Oekraïne</v>
      </c>
      <c r="F286" s="166" t="str">
        <f>IF(LEFT(Berekening!F33,1)&gt;RIGHT(Berekening!F33,1),$A286,IF(LEFT(Berekening!F33,1)&lt;RIGHT(Berekening!F33,1),$C286,"gelijkspel"))</f>
        <v>Oekraïne</v>
      </c>
      <c r="G286" s="166" t="str">
        <f>IF(LEFT(Berekening!G33,1)&gt;RIGHT(Berekening!G33,1),$A286,IF(LEFT(Berekening!G33,1)&lt;RIGHT(Berekening!G33,1),$C286,"gelijkspel"))</f>
        <v>Oekraïne</v>
      </c>
      <c r="H286" s="166" t="str">
        <f>IF(LEFT(Berekening!H33,1)&gt;RIGHT(Berekening!H33,1),$A286,IF(LEFT(Berekening!H33,1)&lt;RIGHT(Berekening!H33,1),$C286,"gelijkspel"))</f>
        <v>Oekraïne</v>
      </c>
      <c r="I286" s="166" t="str">
        <f>IF(LEFT(Berekening!I33,1)&gt;RIGHT(Berekening!I33,1),$A286,IF(LEFT(Berekening!I33,1)&lt;RIGHT(Berekening!I33,1),$C286,"gelijkspel"))</f>
        <v>Oekraïne</v>
      </c>
      <c r="J286" s="166" t="str">
        <f>IF(LEFT(Berekening!J33,1)&gt;RIGHT(Berekening!J33,1),$A286,IF(LEFT(Berekening!J33,1)&lt;RIGHT(Berekening!J33,1),$C286,"gelijkspel"))</f>
        <v>Oekraïne</v>
      </c>
      <c r="K286" s="166" t="str">
        <f>IF(LEFT(Berekening!K33,1)&gt;RIGHT(Berekening!K33,1),$A286,IF(LEFT(Berekening!K33,1)&lt;RIGHT(Berekening!K33,1),$C286,"gelijkspel"))</f>
        <v>Oekraïne</v>
      </c>
      <c r="L286" s="166" t="str">
        <f>IF(LEFT(Berekening!L33,1)&gt;RIGHT(Berekening!L33,1),$A286,IF(LEFT(Berekening!L33,1)&lt;RIGHT(Berekening!L33,1),$C286,"gelijkspel"))</f>
        <v>Oekraïne</v>
      </c>
      <c r="M286" s="166" t="str">
        <f>IF(LEFT(Berekening!M33,1)&gt;RIGHT(Berekening!M33,1),$A286,IF(LEFT(Berekening!M33,1)&lt;RIGHT(Berekening!M33,1),$C286,"gelijkspel"))</f>
        <v>Oekraïne</v>
      </c>
      <c r="N286" s="166" t="str">
        <f>IF(LEFT(Berekening!N33,1)&gt;RIGHT(Berekening!N33,1),$A286,IF(LEFT(Berekening!N33,1)&lt;RIGHT(Berekening!N33,1),$C286,"gelijkspel"))</f>
        <v>Oekraïne</v>
      </c>
      <c r="O286" s="166" t="str">
        <f>IF(LEFT(Berekening!O33,1)&gt;RIGHT(Berekening!O33,1),$A286,IF(LEFT(Berekening!O33,1)&lt;RIGHT(Berekening!O33,1),$C286,"gelijkspel"))</f>
        <v>gelijkspel</v>
      </c>
      <c r="P286" s="166" t="str">
        <f>IF(LEFT(Berekening!P33,1)&gt;RIGHT(Berekening!P33,1),$A286,IF(LEFT(Berekening!P33,1)&lt;RIGHT(Berekening!P33,1),$C286,"gelijkspel"))</f>
        <v>Oekraïne</v>
      </c>
      <c r="Q286" s="166" t="str">
        <f>IF(LEFT(Berekening!Q33,1)&gt;RIGHT(Berekening!Q33,1),$A286,IF(LEFT(Berekening!Q33,1)&lt;RIGHT(Berekening!Q33,1),$C286,"gelijkspel"))</f>
        <v>Oekraïne</v>
      </c>
      <c r="R286" s="166" t="str">
        <f>IF(LEFT(Berekening!R33,1)&gt;RIGHT(Berekening!R33,1),$A286,IF(LEFT(Berekening!R33,1)&lt;RIGHT(Berekening!R33,1),$C286,"gelijkspel"))</f>
        <v>gelijkspel</v>
      </c>
      <c r="S286" s="166" t="str">
        <f>IF(LEFT(Berekening!S33,1)&gt;RIGHT(Berekening!S33,1),$A286,IF(LEFT(Berekening!S33,1)&lt;RIGHT(Berekening!S33,1),$C286,"gelijkspel"))</f>
        <v>Slowakije</v>
      </c>
      <c r="T286" s="166" t="str">
        <f>IF(LEFT(Berekening!T33,1)&gt;RIGHT(Berekening!T33,1),$A286,IF(LEFT(Berekening!T33,1)&lt;RIGHT(Berekening!T33,1),$C286,"gelijkspel"))</f>
        <v>Oekraïne</v>
      </c>
      <c r="U286" s="166" t="str">
        <f>IF(LEFT(Berekening!U33,1)&gt;RIGHT(Berekening!U33,1),$A286,IF(LEFT(Berekening!U33,1)&lt;RIGHT(Berekening!U33,1),$C286,"gelijkspel"))</f>
        <v>gelijkspel</v>
      </c>
      <c r="V286" s="166" t="str">
        <f>IF(LEFT(Berekening!V33,1)&gt;RIGHT(Berekening!V33,1),$A286,IF(LEFT(Berekening!V33,1)&lt;RIGHT(Berekening!V33,1),$C286,"gelijkspel"))</f>
        <v>gelijkspel</v>
      </c>
      <c r="W286" s="166" t="str">
        <f>IF(LEFT(Berekening!W33,1)&gt;RIGHT(Berekening!W33,1),$A286,IF(LEFT(Berekening!W33,1)&lt;RIGHT(Berekening!W33,1),$C286,"gelijkspel"))</f>
        <v>gelijkspel</v>
      </c>
      <c r="X286" s="166" t="str">
        <f>IF(LEFT(Berekening!X33,1)&gt;RIGHT(Berekening!X33,1),$A286,IF(LEFT(Berekening!X33,1)&lt;RIGHT(Berekening!X33,1),$C286,"gelijkspel"))</f>
        <v>gelijkspel</v>
      </c>
      <c r="Y286" s="166" t="str">
        <f>IF(LEFT(Berekening!Y33,1)&gt;RIGHT(Berekening!Y33,1),$A286,IF(LEFT(Berekening!Y33,1)&lt;RIGHT(Berekening!Y33,1),$C286,"gelijkspel"))</f>
        <v>gelijkspel</v>
      </c>
      <c r="Z286" s="166" t="str">
        <f>IF(LEFT(Berekening!Z33,1)&gt;RIGHT(Berekening!Z33,1),$A286,IF(LEFT(Berekening!Z33,1)&lt;RIGHT(Berekening!Z33,1),$C286,"gelijkspel"))</f>
        <v>gelijkspel</v>
      </c>
      <c r="AA286" s="166" t="str">
        <f>IF(LEFT(Berekening!AA33,1)&gt;RIGHT(Berekening!AA33,1),$A286,IF(LEFT(Berekening!AA33,1)&lt;RIGHT(Berekening!AA33,1),$C286,"gelijkspel"))</f>
        <v>gelijkspel</v>
      </c>
      <c r="AB286" s="166" t="str">
        <f>IF(LEFT(Berekening!AB33,1)&gt;RIGHT(Berekening!AB33,1),$A286,IF(LEFT(Berekening!AB33,1)&lt;RIGHT(Berekening!AB33,1),$C286,"gelijkspel"))</f>
        <v>gelijkspel</v>
      </c>
      <c r="AC286" s="166" t="str">
        <f>IF(LEFT(Berekening!AC33,1)&gt;RIGHT(Berekening!AC33,1),$A286,IF(LEFT(Berekening!AC33,1)&lt;RIGHT(Berekening!AC33,1),$C286,"gelijkspel"))</f>
        <v>gelijkspel</v>
      </c>
      <c r="AD286" s="166" t="str">
        <f>IF(LEFT(Berekening!AD33,1)&gt;RIGHT(Berekening!AD33,1),$A286,IF(LEFT(Berekening!AD33,1)&lt;RIGHT(Berekening!AD33,1),$C286,"gelijkspel"))</f>
        <v>gelijkspel</v>
      </c>
      <c r="AE286" s="166" t="str">
        <f>IF(LEFT(Berekening!AE33,1)&gt;RIGHT(Berekening!AE33,1),$A286,IF(LEFT(Berekening!AE33,1)&lt;RIGHT(Berekening!AE33,1),$C286,"gelijkspel"))</f>
        <v>gelijkspel</v>
      </c>
      <c r="AF286" s="166" t="str">
        <f>IF(LEFT(Berekening!AF33,1)&gt;RIGHT(Berekening!AF33,1),$A286,IF(LEFT(Berekening!AF33,1)&lt;RIGHT(Berekening!AF33,1),$C286,"gelijkspel"))</f>
        <v>gelijkspel</v>
      </c>
      <c r="AG286" s="166" t="str">
        <f>IF(LEFT(Berekening!AG33,1)&gt;RIGHT(Berekening!AG33,1),$A286,IF(LEFT(Berekening!AG33,1)&lt;RIGHT(Berekening!AG33,1),$C286,"gelijkspel"))</f>
        <v>gelijkspel</v>
      </c>
      <c r="AH286" s="166" t="str">
        <f>IF(LEFT(Berekening!AH33,1)&gt;RIGHT(Berekening!AH33,1),$A286,IF(LEFT(Berekening!AH33,1)&lt;RIGHT(Berekening!AH33,1),$C286,"gelijkspel"))</f>
        <v>gelijkspel</v>
      </c>
      <c r="AI286" s="166" t="str">
        <f>IF(LEFT(Berekening!AI33,1)&gt;RIGHT(Berekening!AI33,1),$A286,IF(LEFT(Berekening!AI33,1)&lt;RIGHT(Berekening!AI33,1),$C286,"gelijkspel"))</f>
        <v>gelijkspel</v>
      </c>
      <c r="AJ286" s="166" t="str">
        <f>IF(LEFT(Berekening!AJ33,1)&gt;RIGHT(Berekening!AJ33,1),$A286,IF(LEFT(Berekening!AJ33,1)&lt;RIGHT(Berekening!AJ33,1),$C286,"gelijkspel"))</f>
        <v>gelijkspel</v>
      </c>
      <c r="AK286" s="166" t="str">
        <f>IF(LEFT(Berekening!AK33,1)&gt;RIGHT(Berekening!AK33,1),$A286,IF(LEFT(Berekening!AK33,1)&lt;RIGHT(Berekening!AK33,1),$C286,"gelijkspel"))</f>
        <v>gelijkspel</v>
      </c>
      <c r="AL286" s="166" t="str">
        <f>IF(LEFT(Berekening!AL33,1)&gt;RIGHT(Berekening!AL33,1),$A286,IF(LEFT(Berekening!AL33,1)&lt;RIGHT(Berekening!AL33,1),$C286,"gelijkspel"))</f>
        <v>gelijkspel</v>
      </c>
      <c r="AM286" s="166" t="str">
        <f>IF(LEFT(Berekening!AM33,1)&gt;RIGHT(Berekening!AM33,1),$A286,IF(LEFT(Berekening!AM33,1)&lt;RIGHT(Berekening!AM33,1),$C286,"gelijkspel"))</f>
        <v>gelijkspel</v>
      </c>
      <c r="AN286" s="166" t="str">
        <f>IF(LEFT(Berekening!AN33,1)&gt;RIGHT(Berekening!AN33,1),$A286,IF(LEFT(Berekening!AN33,1)&lt;RIGHT(Berekening!AN33,1),$C286,"gelijkspel"))</f>
        <v>gelijkspel</v>
      </c>
      <c r="AO286" s="166" t="str">
        <f>IF(LEFT(Berekening!AO33,1)&gt;RIGHT(Berekening!AO33,1),$A286,IF(LEFT(Berekening!AO33,1)&lt;RIGHT(Berekening!AO33,1),$C286,"gelijkspel"))</f>
        <v>gelijkspel</v>
      </c>
      <c r="AP286" s="166" t="str">
        <f>IF(LEFT(Berekening!AP33,1)&gt;RIGHT(Berekening!AP33,1),$A286,IF(LEFT(Berekening!AP33,1)&lt;RIGHT(Berekening!AP33,1),$C286,"gelijkspel"))</f>
        <v>gelijkspel</v>
      </c>
      <c r="AQ286" s="166" t="str">
        <f>IF(LEFT(Berekening!AQ33,1)&gt;RIGHT(Berekening!AQ33,1),$A286,IF(LEFT(Berekening!AQ33,1)&lt;RIGHT(Berekening!AQ33,1),$C286,"gelijkspel"))</f>
        <v>gelijkspel</v>
      </c>
      <c r="AR286" s="166" t="str">
        <f>IF(LEFT(Berekening!AR33,1)&gt;RIGHT(Berekening!AR33,1),$A286,IF(LEFT(Berekening!AR33,1)&lt;RIGHT(Berekening!AR33,1),$C286,"gelijkspel"))</f>
        <v>gelijkspel</v>
      </c>
      <c r="AS286" s="166" t="str">
        <f>IF(LEFT(Berekening!AS33,1)&gt;RIGHT(Berekening!AS33,1),$A286,IF(LEFT(Berekening!AS33,1)&lt;RIGHT(Berekening!AS33,1),$C286,"gelijkspel"))</f>
        <v>gelijkspel</v>
      </c>
      <c r="AT286" s="166" t="str">
        <f>IF(LEFT(Berekening!AT33,1)&gt;RIGHT(Berekening!AT33,1),$A286,IF(LEFT(Berekening!AT33,1)&lt;RIGHT(Berekening!AT33,1),$C286,"gelijkspel"))</f>
        <v>gelijkspel</v>
      </c>
    </row>
    <row r="287" spans="1:46" s="161" customFormat="1" ht="15">
      <c r="A287" s="163" t="s">
        <v>1822</v>
      </c>
      <c r="B287" s="164" t="s">
        <v>2971</v>
      </c>
      <c r="C287" s="165" t="s">
        <v>1755</v>
      </c>
      <c r="E287" s="166" t="str">
        <f>IF(LEFT(Berekening!E34,1)&gt;RIGHT(Berekening!E34,1),$A287,IF(LEFT(Berekening!E34,1)&lt;RIGHT(Berekening!E34,1),$C287,"gelijkspel"))</f>
        <v>gelijkspel</v>
      </c>
      <c r="F287" s="166" t="str">
        <f>IF(LEFT(Berekening!F34,1)&gt;RIGHT(Berekening!F34,1),$A287,IF(LEFT(Berekening!F34,1)&lt;RIGHT(Berekening!F34,1),$C287,"gelijkspel"))</f>
        <v>Oostenrijk</v>
      </c>
      <c r="G287" s="166" t="str">
        <f>IF(LEFT(Berekening!G34,1)&gt;RIGHT(Berekening!G34,1),$A287,IF(LEFT(Berekening!G34,1)&lt;RIGHT(Berekening!G34,1),$C287,"gelijkspel"))</f>
        <v>Polen</v>
      </c>
      <c r="H287" s="166" t="str">
        <f>IF(LEFT(Berekening!H34,1)&gt;RIGHT(Berekening!H34,1),$A287,IF(LEFT(Berekening!H34,1)&lt;RIGHT(Berekening!H34,1),$C287,"gelijkspel"))</f>
        <v>gelijkspel</v>
      </c>
      <c r="I287" s="166" t="str">
        <f>IF(LEFT(Berekening!I34,1)&gt;RIGHT(Berekening!I34,1),$A287,IF(LEFT(Berekening!I34,1)&lt;RIGHT(Berekening!I34,1),$C287,"gelijkspel"))</f>
        <v>Oostenrijk</v>
      </c>
      <c r="J287" s="166" t="str">
        <f>IF(LEFT(Berekening!J34,1)&gt;RIGHT(Berekening!J34,1),$A287,IF(LEFT(Berekening!J34,1)&lt;RIGHT(Berekening!J34,1),$C287,"gelijkspel"))</f>
        <v>Oostenrijk</v>
      </c>
      <c r="K287" s="166" t="str">
        <f>IF(LEFT(Berekening!K34,1)&gt;RIGHT(Berekening!K34,1),$A287,IF(LEFT(Berekening!K34,1)&lt;RIGHT(Berekening!K34,1),$C287,"gelijkspel"))</f>
        <v>Oostenrijk</v>
      </c>
      <c r="L287" s="166" t="str">
        <f>IF(LEFT(Berekening!L34,1)&gt;RIGHT(Berekening!L34,1),$A287,IF(LEFT(Berekening!L34,1)&lt;RIGHT(Berekening!L34,1),$C287,"gelijkspel"))</f>
        <v>Oostenrijk</v>
      </c>
      <c r="M287" s="166" t="str">
        <f>IF(LEFT(Berekening!M34,1)&gt;RIGHT(Berekening!M34,1),$A287,IF(LEFT(Berekening!M34,1)&lt;RIGHT(Berekening!M34,1),$C287,"gelijkspel"))</f>
        <v>Polen</v>
      </c>
      <c r="N287" s="166" t="str">
        <f>IF(LEFT(Berekening!N34,1)&gt;RIGHT(Berekening!N34,1),$A287,IF(LEFT(Berekening!N34,1)&lt;RIGHT(Berekening!N34,1),$C287,"gelijkspel"))</f>
        <v>gelijkspel</v>
      </c>
      <c r="O287" s="166" t="str">
        <f>IF(LEFT(Berekening!O34,1)&gt;RIGHT(Berekening!O34,1),$A287,IF(LEFT(Berekening!O34,1)&lt;RIGHT(Berekening!O34,1),$C287,"gelijkspel"))</f>
        <v>Oostenrijk</v>
      </c>
      <c r="P287" s="166" t="str">
        <f>IF(LEFT(Berekening!P34,1)&gt;RIGHT(Berekening!P34,1),$A287,IF(LEFT(Berekening!P34,1)&lt;RIGHT(Berekening!P34,1),$C287,"gelijkspel"))</f>
        <v>Oostenrijk</v>
      </c>
      <c r="Q287" s="166" t="str">
        <f>IF(LEFT(Berekening!Q34,1)&gt;RIGHT(Berekening!Q34,1),$A287,IF(LEFT(Berekening!Q34,1)&lt;RIGHT(Berekening!Q34,1),$C287,"gelijkspel"))</f>
        <v>Oostenrijk</v>
      </c>
      <c r="R287" s="166" t="str">
        <f>IF(LEFT(Berekening!R34,1)&gt;RIGHT(Berekening!R34,1),$A287,IF(LEFT(Berekening!R34,1)&lt;RIGHT(Berekening!R34,1),$C287,"gelijkspel"))</f>
        <v>Polen</v>
      </c>
      <c r="S287" s="166" t="str">
        <f>IF(LEFT(Berekening!S34,1)&gt;RIGHT(Berekening!S34,1),$A287,IF(LEFT(Berekening!S34,1)&lt;RIGHT(Berekening!S34,1),$C287,"gelijkspel"))</f>
        <v>Polen</v>
      </c>
      <c r="T287" s="166" t="str">
        <f>IF(LEFT(Berekening!T34,1)&gt;RIGHT(Berekening!T34,1),$A287,IF(LEFT(Berekening!T34,1)&lt;RIGHT(Berekening!T34,1),$C287,"gelijkspel"))</f>
        <v>gelijkspel</v>
      </c>
      <c r="U287" s="166" t="str">
        <f>IF(LEFT(Berekening!U34,1)&gt;RIGHT(Berekening!U34,1),$A287,IF(LEFT(Berekening!U34,1)&lt;RIGHT(Berekening!U34,1),$C287,"gelijkspel"))</f>
        <v>gelijkspel</v>
      </c>
      <c r="V287" s="166" t="str">
        <f>IF(LEFT(Berekening!V34,1)&gt;RIGHT(Berekening!V34,1),$A287,IF(LEFT(Berekening!V34,1)&lt;RIGHT(Berekening!V34,1),$C287,"gelijkspel"))</f>
        <v>gelijkspel</v>
      </c>
      <c r="W287" s="166" t="str">
        <f>IF(LEFT(Berekening!W34,1)&gt;RIGHT(Berekening!W34,1),$A287,IF(LEFT(Berekening!W34,1)&lt;RIGHT(Berekening!W34,1),$C287,"gelijkspel"))</f>
        <v>gelijkspel</v>
      </c>
      <c r="X287" s="166" t="str">
        <f>IF(LEFT(Berekening!X34,1)&gt;RIGHT(Berekening!X34,1),$A287,IF(LEFT(Berekening!X34,1)&lt;RIGHT(Berekening!X34,1),$C287,"gelijkspel"))</f>
        <v>gelijkspel</v>
      </c>
      <c r="Y287" s="166" t="str">
        <f>IF(LEFT(Berekening!Y34,1)&gt;RIGHT(Berekening!Y34,1),$A287,IF(LEFT(Berekening!Y34,1)&lt;RIGHT(Berekening!Y34,1),$C287,"gelijkspel"))</f>
        <v>gelijkspel</v>
      </c>
      <c r="Z287" s="166" t="str">
        <f>IF(LEFT(Berekening!Z34,1)&gt;RIGHT(Berekening!Z34,1),$A287,IF(LEFT(Berekening!Z34,1)&lt;RIGHT(Berekening!Z34,1),$C287,"gelijkspel"))</f>
        <v>gelijkspel</v>
      </c>
      <c r="AA287" s="166" t="str">
        <f>IF(LEFT(Berekening!AA34,1)&gt;RIGHT(Berekening!AA34,1),$A287,IF(LEFT(Berekening!AA34,1)&lt;RIGHT(Berekening!AA34,1),$C287,"gelijkspel"))</f>
        <v>gelijkspel</v>
      </c>
      <c r="AB287" s="166" t="str">
        <f>IF(LEFT(Berekening!AB34,1)&gt;RIGHT(Berekening!AB34,1),$A287,IF(LEFT(Berekening!AB34,1)&lt;RIGHT(Berekening!AB34,1),$C287,"gelijkspel"))</f>
        <v>gelijkspel</v>
      </c>
      <c r="AC287" s="166" t="str">
        <f>IF(LEFT(Berekening!AC34,1)&gt;RIGHT(Berekening!AC34,1),$A287,IF(LEFT(Berekening!AC34,1)&lt;RIGHT(Berekening!AC34,1),$C287,"gelijkspel"))</f>
        <v>gelijkspel</v>
      </c>
      <c r="AD287" s="166" t="str">
        <f>IF(LEFT(Berekening!AD34,1)&gt;RIGHT(Berekening!AD34,1),$A287,IF(LEFT(Berekening!AD34,1)&lt;RIGHT(Berekening!AD34,1),$C287,"gelijkspel"))</f>
        <v>gelijkspel</v>
      </c>
      <c r="AE287" s="166" t="str">
        <f>IF(LEFT(Berekening!AE34,1)&gt;RIGHT(Berekening!AE34,1),$A287,IF(LEFT(Berekening!AE34,1)&lt;RIGHT(Berekening!AE34,1),$C287,"gelijkspel"))</f>
        <v>gelijkspel</v>
      </c>
      <c r="AF287" s="166" t="str">
        <f>IF(LEFT(Berekening!AF34,1)&gt;RIGHT(Berekening!AF34,1),$A287,IF(LEFT(Berekening!AF34,1)&lt;RIGHT(Berekening!AF34,1),$C287,"gelijkspel"))</f>
        <v>gelijkspel</v>
      </c>
      <c r="AG287" s="166" t="str">
        <f>IF(LEFT(Berekening!AG34,1)&gt;RIGHT(Berekening!AG34,1),$A287,IF(LEFT(Berekening!AG34,1)&lt;RIGHT(Berekening!AG34,1),$C287,"gelijkspel"))</f>
        <v>gelijkspel</v>
      </c>
      <c r="AH287" s="166" t="str">
        <f>IF(LEFT(Berekening!AH34,1)&gt;RIGHT(Berekening!AH34,1),$A287,IF(LEFT(Berekening!AH34,1)&lt;RIGHT(Berekening!AH34,1),$C287,"gelijkspel"))</f>
        <v>gelijkspel</v>
      </c>
      <c r="AI287" s="166" t="str">
        <f>IF(LEFT(Berekening!AI34,1)&gt;RIGHT(Berekening!AI34,1),$A287,IF(LEFT(Berekening!AI34,1)&lt;RIGHT(Berekening!AI34,1),$C287,"gelijkspel"))</f>
        <v>gelijkspel</v>
      </c>
      <c r="AJ287" s="166" t="str">
        <f>IF(LEFT(Berekening!AJ34,1)&gt;RIGHT(Berekening!AJ34,1),$A287,IF(LEFT(Berekening!AJ34,1)&lt;RIGHT(Berekening!AJ34,1),$C287,"gelijkspel"))</f>
        <v>gelijkspel</v>
      </c>
      <c r="AK287" s="166" t="str">
        <f>IF(LEFT(Berekening!AK34,1)&gt;RIGHT(Berekening!AK34,1),$A287,IF(LEFT(Berekening!AK34,1)&lt;RIGHT(Berekening!AK34,1),$C287,"gelijkspel"))</f>
        <v>gelijkspel</v>
      </c>
      <c r="AL287" s="166" t="str">
        <f>IF(LEFT(Berekening!AL34,1)&gt;RIGHT(Berekening!AL34,1),$A287,IF(LEFT(Berekening!AL34,1)&lt;RIGHT(Berekening!AL34,1),$C287,"gelijkspel"))</f>
        <v>gelijkspel</v>
      </c>
      <c r="AM287" s="166" t="str">
        <f>IF(LEFT(Berekening!AM34,1)&gt;RIGHT(Berekening!AM34,1),$A287,IF(LEFT(Berekening!AM34,1)&lt;RIGHT(Berekening!AM34,1),$C287,"gelijkspel"))</f>
        <v>gelijkspel</v>
      </c>
      <c r="AN287" s="166" t="str">
        <f>IF(LEFT(Berekening!AN34,1)&gt;RIGHT(Berekening!AN34,1),$A287,IF(LEFT(Berekening!AN34,1)&lt;RIGHT(Berekening!AN34,1),$C287,"gelijkspel"))</f>
        <v>gelijkspel</v>
      </c>
      <c r="AO287" s="166" t="str">
        <f>IF(LEFT(Berekening!AO34,1)&gt;RIGHT(Berekening!AO34,1),$A287,IF(LEFT(Berekening!AO34,1)&lt;RIGHT(Berekening!AO34,1),$C287,"gelijkspel"))</f>
        <v>gelijkspel</v>
      </c>
      <c r="AP287" s="166" t="str">
        <f>IF(LEFT(Berekening!AP34,1)&gt;RIGHT(Berekening!AP34,1),$A287,IF(LEFT(Berekening!AP34,1)&lt;RIGHT(Berekening!AP34,1),$C287,"gelijkspel"))</f>
        <v>gelijkspel</v>
      </c>
      <c r="AQ287" s="166" t="str">
        <f>IF(LEFT(Berekening!AQ34,1)&gt;RIGHT(Berekening!AQ34,1),$A287,IF(LEFT(Berekening!AQ34,1)&lt;RIGHT(Berekening!AQ34,1),$C287,"gelijkspel"))</f>
        <v>gelijkspel</v>
      </c>
      <c r="AR287" s="166" t="str">
        <f>IF(LEFT(Berekening!AR34,1)&gt;RIGHT(Berekening!AR34,1),$A287,IF(LEFT(Berekening!AR34,1)&lt;RIGHT(Berekening!AR34,1),$C287,"gelijkspel"))</f>
        <v>gelijkspel</v>
      </c>
      <c r="AS287" s="166" t="str">
        <f>IF(LEFT(Berekening!AS34,1)&gt;RIGHT(Berekening!AS34,1),$A287,IF(LEFT(Berekening!AS34,1)&lt;RIGHT(Berekening!AS34,1),$C287,"gelijkspel"))</f>
        <v>gelijkspel</v>
      </c>
      <c r="AT287" s="166" t="str">
        <f>IF(LEFT(Berekening!AT34,1)&gt;RIGHT(Berekening!AT34,1),$A287,IF(LEFT(Berekening!AT34,1)&lt;RIGHT(Berekening!AT34,1),$C287,"gelijkspel"))</f>
        <v>gelijkspel</v>
      </c>
    </row>
    <row r="288" spans="1:46" s="161" customFormat="1" ht="15">
      <c r="A288" s="163" t="s">
        <v>1324</v>
      </c>
      <c r="B288" s="164" t="s">
        <v>2971</v>
      </c>
      <c r="C288" s="165" t="s">
        <v>1789</v>
      </c>
      <c r="E288" s="166" t="str">
        <f>IF(LEFT(Berekening!E35,1)&gt;RIGHT(Berekening!E35,1),$A288,IF(LEFT(Berekening!E35,1)&lt;RIGHT(Berekening!E35,1),$C288,"gelijkspel"))</f>
        <v>gelijkspel</v>
      </c>
      <c r="F288" s="166" t="str">
        <f>IF(LEFT(Berekening!F35,1)&gt;RIGHT(Berekening!F35,1),$A288,IF(LEFT(Berekening!F35,1)&lt;RIGHT(Berekening!F35,1),$C288,"gelijkspel"))</f>
        <v>Frankrijk</v>
      </c>
      <c r="G288" s="166" t="str">
        <f>IF(LEFT(Berekening!G35,1)&gt;RIGHT(Berekening!G35,1),$A288,IF(LEFT(Berekening!G35,1)&lt;RIGHT(Berekening!G35,1),$C288,"gelijkspel"))</f>
        <v>Frankrijk</v>
      </c>
      <c r="H288" s="166" t="str">
        <f>IF(LEFT(Berekening!H35,1)&gt;RIGHT(Berekening!H35,1),$A288,IF(LEFT(Berekening!H35,1)&lt;RIGHT(Berekening!H35,1),$C288,"gelijkspel"))</f>
        <v>Frankrijk</v>
      </c>
      <c r="I288" s="166" t="str">
        <f>IF(LEFT(Berekening!I35,1)&gt;RIGHT(Berekening!I35,1),$A288,IF(LEFT(Berekening!I35,1)&lt;RIGHT(Berekening!I35,1),$C288,"gelijkspel"))</f>
        <v>gelijkspel</v>
      </c>
      <c r="J288" s="166" t="str">
        <f>IF(LEFT(Berekening!J35,1)&gt;RIGHT(Berekening!J35,1),$A288,IF(LEFT(Berekening!J35,1)&lt;RIGHT(Berekening!J35,1),$C288,"gelijkspel"))</f>
        <v>Frankrijk</v>
      </c>
      <c r="K288" s="166" t="str">
        <f>IF(LEFT(Berekening!K35,1)&gt;RIGHT(Berekening!K35,1),$A288,IF(LEFT(Berekening!K35,1)&lt;RIGHT(Berekening!K35,1),$C288,"gelijkspel"))</f>
        <v>Frankrijk</v>
      </c>
      <c r="L288" s="166" t="str">
        <f>IF(LEFT(Berekening!L35,1)&gt;RIGHT(Berekening!L35,1),$A288,IF(LEFT(Berekening!L35,1)&lt;RIGHT(Berekening!L35,1),$C288,"gelijkspel"))</f>
        <v>Frankrijk</v>
      </c>
      <c r="M288" s="166" t="str">
        <f>IF(LEFT(Berekening!M35,1)&gt;RIGHT(Berekening!M35,1),$A288,IF(LEFT(Berekening!M35,1)&lt;RIGHT(Berekening!M35,1),$C288,"gelijkspel"))</f>
        <v>Frankrijk</v>
      </c>
      <c r="N288" s="166" t="str">
        <f>IF(LEFT(Berekening!N35,1)&gt;RIGHT(Berekening!N35,1),$A288,IF(LEFT(Berekening!N35,1)&lt;RIGHT(Berekening!N35,1),$C288,"gelijkspel"))</f>
        <v>Frankrijk</v>
      </c>
      <c r="O288" s="166" t="str">
        <f>IF(LEFT(Berekening!O35,1)&gt;RIGHT(Berekening!O35,1),$A288,IF(LEFT(Berekening!O35,1)&lt;RIGHT(Berekening!O35,1),$C288,"gelijkspel"))</f>
        <v>gelijkspel</v>
      </c>
      <c r="P288" s="166" t="str">
        <f>IF(LEFT(Berekening!P35,1)&gt;RIGHT(Berekening!P35,1),$A288,IF(LEFT(Berekening!P35,1)&lt;RIGHT(Berekening!P35,1),$C288,"gelijkspel"))</f>
        <v>Frankrijk</v>
      </c>
      <c r="Q288" s="166" t="str">
        <f>IF(LEFT(Berekening!Q35,1)&gt;RIGHT(Berekening!Q35,1),$A288,IF(LEFT(Berekening!Q35,1)&lt;RIGHT(Berekening!Q35,1),$C288,"gelijkspel"))</f>
        <v>Frankrijk</v>
      </c>
      <c r="R288" s="166" t="str">
        <f>IF(LEFT(Berekening!R35,1)&gt;RIGHT(Berekening!R35,1),$A288,IF(LEFT(Berekening!R35,1)&lt;RIGHT(Berekening!R35,1),$C288,"gelijkspel"))</f>
        <v>Frankrijk</v>
      </c>
      <c r="S288" s="166" t="str">
        <f>IF(LEFT(Berekening!S35,1)&gt;RIGHT(Berekening!S35,1),$A288,IF(LEFT(Berekening!S35,1)&lt;RIGHT(Berekening!S35,1),$C288,"gelijkspel"))</f>
        <v>Nederland</v>
      </c>
      <c r="T288" s="166" t="str">
        <f>IF(LEFT(Berekening!T35,1)&gt;RIGHT(Berekening!T35,1),$A288,IF(LEFT(Berekening!T35,1)&lt;RIGHT(Berekening!T35,1),$C288,"gelijkspel"))</f>
        <v>Frankrijk</v>
      </c>
      <c r="U288" s="166" t="str">
        <f>IF(LEFT(Berekening!U35,1)&gt;RIGHT(Berekening!U35,1),$A288,IF(LEFT(Berekening!U35,1)&lt;RIGHT(Berekening!U35,1),$C288,"gelijkspel"))</f>
        <v>gelijkspel</v>
      </c>
      <c r="V288" s="166" t="str">
        <f>IF(LEFT(Berekening!V35,1)&gt;RIGHT(Berekening!V35,1),$A288,IF(LEFT(Berekening!V35,1)&lt;RIGHT(Berekening!V35,1),$C288,"gelijkspel"))</f>
        <v>gelijkspel</v>
      </c>
      <c r="W288" s="166" t="str">
        <f>IF(LEFT(Berekening!W35,1)&gt;RIGHT(Berekening!W35,1),$A288,IF(LEFT(Berekening!W35,1)&lt;RIGHT(Berekening!W35,1),$C288,"gelijkspel"))</f>
        <v>gelijkspel</v>
      </c>
      <c r="X288" s="166" t="str">
        <f>IF(LEFT(Berekening!X35,1)&gt;RIGHT(Berekening!X35,1),$A288,IF(LEFT(Berekening!X35,1)&lt;RIGHT(Berekening!X35,1),$C288,"gelijkspel"))</f>
        <v>gelijkspel</v>
      </c>
      <c r="Y288" s="166" t="str">
        <f>IF(LEFT(Berekening!Y35,1)&gt;RIGHT(Berekening!Y35,1),$A288,IF(LEFT(Berekening!Y35,1)&lt;RIGHT(Berekening!Y35,1),$C288,"gelijkspel"))</f>
        <v>gelijkspel</v>
      </c>
      <c r="Z288" s="166" t="str">
        <f>IF(LEFT(Berekening!Z35,1)&gt;RIGHT(Berekening!Z35,1),$A288,IF(LEFT(Berekening!Z35,1)&lt;RIGHT(Berekening!Z35,1),$C288,"gelijkspel"))</f>
        <v>gelijkspel</v>
      </c>
      <c r="AA288" s="166" t="str">
        <f>IF(LEFT(Berekening!AA35,1)&gt;RIGHT(Berekening!AA35,1),$A288,IF(LEFT(Berekening!AA35,1)&lt;RIGHT(Berekening!AA35,1),$C288,"gelijkspel"))</f>
        <v>gelijkspel</v>
      </c>
      <c r="AB288" s="166" t="str">
        <f>IF(LEFT(Berekening!AB35,1)&gt;RIGHT(Berekening!AB35,1),$A288,IF(LEFT(Berekening!AB35,1)&lt;RIGHT(Berekening!AB35,1),$C288,"gelijkspel"))</f>
        <v>gelijkspel</v>
      </c>
      <c r="AC288" s="166" t="str">
        <f>IF(LEFT(Berekening!AC35,1)&gt;RIGHT(Berekening!AC35,1),$A288,IF(LEFT(Berekening!AC35,1)&lt;RIGHT(Berekening!AC35,1),$C288,"gelijkspel"))</f>
        <v>gelijkspel</v>
      </c>
      <c r="AD288" s="166" t="str">
        <f>IF(LEFT(Berekening!AD35,1)&gt;RIGHT(Berekening!AD35,1),$A288,IF(LEFT(Berekening!AD35,1)&lt;RIGHT(Berekening!AD35,1),$C288,"gelijkspel"))</f>
        <v>gelijkspel</v>
      </c>
      <c r="AE288" s="166" t="str">
        <f>IF(LEFT(Berekening!AE35,1)&gt;RIGHT(Berekening!AE35,1),$A288,IF(LEFT(Berekening!AE35,1)&lt;RIGHT(Berekening!AE35,1),$C288,"gelijkspel"))</f>
        <v>gelijkspel</v>
      </c>
      <c r="AF288" s="166" t="str">
        <f>IF(LEFT(Berekening!AF35,1)&gt;RIGHT(Berekening!AF35,1),$A288,IF(LEFT(Berekening!AF35,1)&lt;RIGHT(Berekening!AF35,1),$C288,"gelijkspel"))</f>
        <v>gelijkspel</v>
      </c>
      <c r="AG288" s="166" t="str">
        <f>IF(LEFT(Berekening!AG35,1)&gt;RIGHT(Berekening!AG35,1),$A288,IF(LEFT(Berekening!AG35,1)&lt;RIGHT(Berekening!AG35,1),$C288,"gelijkspel"))</f>
        <v>gelijkspel</v>
      </c>
      <c r="AH288" s="166" t="str">
        <f>IF(LEFT(Berekening!AH35,1)&gt;RIGHT(Berekening!AH35,1),$A288,IF(LEFT(Berekening!AH35,1)&lt;RIGHT(Berekening!AH35,1),$C288,"gelijkspel"))</f>
        <v>gelijkspel</v>
      </c>
      <c r="AI288" s="166" t="str">
        <f>IF(LEFT(Berekening!AI35,1)&gt;RIGHT(Berekening!AI35,1),$A288,IF(LEFT(Berekening!AI35,1)&lt;RIGHT(Berekening!AI35,1),$C288,"gelijkspel"))</f>
        <v>gelijkspel</v>
      </c>
      <c r="AJ288" s="166" t="str">
        <f>IF(LEFT(Berekening!AJ35,1)&gt;RIGHT(Berekening!AJ35,1),$A288,IF(LEFT(Berekening!AJ35,1)&lt;RIGHT(Berekening!AJ35,1),$C288,"gelijkspel"))</f>
        <v>gelijkspel</v>
      </c>
      <c r="AK288" s="166" t="str">
        <f>IF(LEFT(Berekening!AK35,1)&gt;RIGHT(Berekening!AK35,1),$A288,IF(LEFT(Berekening!AK35,1)&lt;RIGHT(Berekening!AK35,1),$C288,"gelijkspel"))</f>
        <v>gelijkspel</v>
      </c>
      <c r="AL288" s="166" t="str">
        <f>IF(LEFT(Berekening!AL35,1)&gt;RIGHT(Berekening!AL35,1),$A288,IF(LEFT(Berekening!AL35,1)&lt;RIGHT(Berekening!AL35,1),$C288,"gelijkspel"))</f>
        <v>gelijkspel</v>
      </c>
      <c r="AM288" s="166" t="str">
        <f>IF(LEFT(Berekening!AM35,1)&gt;RIGHT(Berekening!AM35,1),$A288,IF(LEFT(Berekening!AM35,1)&lt;RIGHT(Berekening!AM35,1),$C288,"gelijkspel"))</f>
        <v>gelijkspel</v>
      </c>
      <c r="AN288" s="166" t="str">
        <f>IF(LEFT(Berekening!AN35,1)&gt;RIGHT(Berekening!AN35,1),$A288,IF(LEFT(Berekening!AN35,1)&lt;RIGHT(Berekening!AN35,1),$C288,"gelijkspel"))</f>
        <v>gelijkspel</v>
      </c>
      <c r="AO288" s="166" t="str">
        <f>IF(LEFT(Berekening!AO35,1)&gt;RIGHT(Berekening!AO35,1),$A288,IF(LEFT(Berekening!AO35,1)&lt;RIGHT(Berekening!AO35,1),$C288,"gelijkspel"))</f>
        <v>gelijkspel</v>
      </c>
      <c r="AP288" s="166" t="str">
        <f>IF(LEFT(Berekening!AP35,1)&gt;RIGHT(Berekening!AP35,1),$A288,IF(LEFT(Berekening!AP35,1)&lt;RIGHT(Berekening!AP35,1),$C288,"gelijkspel"))</f>
        <v>gelijkspel</v>
      </c>
      <c r="AQ288" s="166" t="str">
        <f>IF(LEFT(Berekening!AQ35,1)&gt;RIGHT(Berekening!AQ35,1),$A288,IF(LEFT(Berekening!AQ35,1)&lt;RIGHT(Berekening!AQ35,1),$C288,"gelijkspel"))</f>
        <v>gelijkspel</v>
      </c>
      <c r="AR288" s="166" t="str">
        <f>IF(LEFT(Berekening!AR35,1)&gt;RIGHT(Berekening!AR35,1),$A288,IF(LEFT(Berekening!AR35,1)&lt;RIGHT(Berekening!AR35,1),$C288,"gelijkspel"))</f>
        <v>gelijkspel</v>
      </c>
      <c r="AS288" s="166" t="str">
        <f>IF(LEFT(Berekening!AS35,1)&gt;RIGHT(Berekening!AS35,1),$A288,IF(LEFT(Berekening!AS35,1)&lt;RIGHT(Berekening!AS35,1),$C288,"gelijkspel"))</f>
        <v>gelijkspel</v>
      </c>
      <c r="AT288" s="166" t="str">
        <f>IF(LEFT(Berekening!AT35,1)&gt;RIGHT(Berekening!AT35,1),$A288,IF(LEFT(Berekening!AT35,1)&lt;RIGHT(Berekening!AT35,1),$C288,"gelijkspel"))</f>
        <v>gelijkspel</v>
      </c>
    </row>
    <row r="289" spans="1:46" s="161" customFormat="1" ht="15">
      <c r="A289" s="163" t="s">
        <v>2689</v>
      </c>
      <c r="B289" s="164" t="s">
        <v>2971</v>
      </c>
      <c r="C289" s="165" t="s">
        <v>1647</v>
      </c>
      <c r="E289" s="166" t="str">
        <f>IF(LEFT(Berekening!E36,1)&gt;RIGHT(Berekening!E36,1),$A289,IF(LEFT(Berekening!E36,1)&lt;RIGHT(Berekening!E36,1),$C289,"gelijkspel"))</f>
        <v>Tsjechische Republiek</v>
      </c>
      <c r="F289" s="166" t="str">
        <f>IF(LEFT(Berekening!F36,1)&gt;RIGHT(Berekening!F36,1),$A289,IF(LEFT(Berekening!F36,1)&lt;RIGHT(Berekening!F36,1),$C289,"gelijkspel"))</f>
        <v>Tsjechische Republiek</v>
      </c>
      <c r="G289" s="166" t="str">
        <f>IF(LEFT(Berekening!G36,1)&gt;RIGHT(Berekening!G36,1),$A289,IF(LEFT(Berekening!G36,1)&lt;RIGHT(Berekening!G36,1),$C289,"gelijkspel"))</f>
        <v>Tsjechische Republiek</v>
      </c>
      <c r="H289" s="166" t="str">
        <f>IF(LEFT(Berekening!H36,1)&gt;RIGHT(Berekening!H36,1),$A289,IF(LEFT(Berekening!H36,1)&lt;RIGHT(Berekening!H36,1),$C289,"gelijkspel"))</f>
        <v>Tsjechische Republiek</v>
      </c>
      <c r="I289" s="166" t="str">
        <f>IF(LEFT(Berekening!I36,1)&gt;RIGHT(Berekening!I36,1),$A289,IF(LEFT(Berekening!I36,1)&lt;RIGHT(Berekening!I36,1),$C289,"gelijkspel"))</f>
        <v>Tsjechische Republiek</v>
      </c>
      <c r="J289" s="166" t="str">
        <f>IF(LEFT(Berekening!J36,1)&gt;RIGHT(Berekening!J36,1),$A289,IF(LEFT(Berekening!J36,1)&lt;RIGHT(Berekening!J36,1),$C289,"gelijkspel"))</f>
        <v>gelijkspel</v>
      </c>
      <c r="K289" s="166" t="str">
        <f>IF(LEFT(Berekening!K36,1)&gt;RIGHT(Berekening!K36,1),$A289,IF(LEFT(Berekening!K36,1)&lt;RIGHT(Berekening!K36,1),$C289,"gelijkspel"))</f>
        <v>Tsjechische Republiek</v>
      </c>
      <c r="L289" s="166" t="str">
        <f>IF(LEFT(Berekening!L36,1)&gt;RIGHT(Berekening!L36,1),$A289,IF(LEFT(Berekening!L36,1)&lt;RIGHT(Berekening!L36,1),$C289,"gelijkspel"))</f>
        <v>Tsjechische Republiek</v>
      </c>
      <c r="M289" s="166" t="str">
        <f>IF(LEFT(Berekening!M36,1)&gt;RIGHT(Berekening!M36,1),$A289,IF(LEFT(Berekening!M36,1)&lt;RIGHT(Berekening!M36,1),$C289,"gelijkspel"))</f>
        <v>Tsjechische Republiek</v>
      </c>
      <c r="N289" s="166" t="str">
        <f>IF(LEFT(Berekening!N36,1)&gt;RIGHT(Berekening!N36,1),$A289,IF(LEFT(Berekening!N36,1)&lt;RIGHT(Berekening!N36,1),$C289,"gelijkspel"))</f>
        <v>Tsjechische Republiek</v>
      </c>
      <c r="O289" s="166" t="str">
        <f>IF(LEFT(Berekening!O36,1)&gt;RIGHT(Berekening!O36,1),$A289,IF(LEFT(Berekening!O36,1)&lt;RIGHT(Berekening!O36,1),$C289,"gelijkspel"))</f>
        <v>gelijkspel</v>
      </c>
      <c r="P289" s="166" t="str">
        <f>IF(LEFT(Berekening!P36,1)&gt;RIGHT(Berekening!P36,1),$A289,IF(LEFT(Berekening!P36,1)&lt;RIGHT(Berekening!P36,1),$C289,"gelijkspel"))</f>
        <v>Tsjechische Republiek</v>
      </c>
      <c r="Q289" s="166" t="str">
        <f>IF(LEFT(Berekening!Q36,1)&gt;RIGHT(Berekening!Q36,1),$A289,IF(LEFT(Berekening!Q36,1)&lt;RIGHT(Berekening!Q36,1),$C289,"gelijkspel"))</f>
        <v>Tsjechische Republiek</v>
      </c>
      <c r="R289" s="166" t="str">
        <f>IF(LEFT(Berekening!R36,1)&gt;RIGHT(Berekening!R36,1),$A289,IF(LEFT(Berekening!R36,1)&lt;RIGHT(Berekening!R36,1),$C289,"gelijkspel"))</f>
        <v>Tsjechische Republiek</v>
      </c>
      <c r="S289" s="166" t="str">
        <f>IF(LEFT(Berekening!S36,1)&gt;RIGHT(Berekening!S36,1),$A289,IF(LEFT(Berekening!S36,1)&lt;RIGHT(Berekening!S36,1),$C289,"gelijkspel"))</f>
        <v>Tsjechische Republiek</v>
      </c>
      <c r="T289" s="166" t="str">
        <f>IF(LEFT(Berekening!T36,1)&gt;RIGHT(Berekening!T36,1),$A289,IF(LEFT(Berekening!T36,1)&lt;RIGHT(Berekening!T36,1),$C289,"gelijkspel"))</f>
        <v>Tsjechische Republiek</v>
      </c>
      <c r="U289" s="166" t="str">
        <f>IF(LEFT(Berekening!U36,1)&gt;RIGHT(Berekening!U36,1),$A289,IF(LEFT(Berekening!U36,1)&lt;RIGHT(Berekening!U36,1),$C289,"gelijkspel"))</f>
        <v>gelijkspel</v>
      </c>
      <c r="V289" s="166" t="str">
        <f>IF(LEFT(Berekening!V36,1)&gt;RIGHT(Berekening!V36,1),$A289,IF(LEFT(Berekening!V36,1)&lt;RIGHT(Berekening!V36,1),$C289,"gelijkspel"))</f>
        <v>gelijkspel</v>
      </c>
      <c r="W289" s="166" t="str">
        <f>IF(LEFT(Berekening!W36,1)&gt;RIGHT(Berekening!W36,1),$A289,IF(LEFT(Berekening!W36,1)&lt;RIGHT(Berekening!W36,1),$C289,"gelijkspel"))</f>
        <v>gelijkspel</v>
      </c>
      <c r="X289" s="166" t="str">
        <f>IF(LEFT(Berekening!X36,1)&gt;RIGHT(Berekening!X36,1),$A289,IF(LEFT(Berekening!X36,1)&lt;RIGHT(Berekening!X36,1),$C289,"gelijkspel"))</f>
        <v>gelijkspel</v>
      </c>
      <c r="Y289" s="166" t="str">
        <f>IF(LEFT(Berekening!Y36,1)&gt;RIGHT(Berekening!Y36,1),$A289,IF(LEFT(Berekening!Y36,1)&lt;RIGHT(Berekening!Y36,1),$C289,"gelijkspel"))</f>
        <v>gelijkspel</v>
      </c>
      <c r="Z289" s="166" t="str">
        <f>IF(LEFT(Berekening!Z36,1)&gt;RIGHT(Berekening!Z36,1),$A289,IF(LEFT(Berekening!Z36,1)&lt;RIGHT(Berekening!Z36,1),$C289,"gelijkspel"))</f>
        <v>gelijkspel</v>
      </c>
      <c r="AA289" s="166" t="str">
        <f>IF(LEFT(Berekening!AA36,1)&gt;RIGHT(Berekening!AA36,1),$A289,IF(LEFT(Berekening!AA36,1)&lt;RIGHT(Berekening!AA36,1),$C289,"gelijkspel"))</f>
        <v>gelijkspel</v>
      </c>
      <c r="AB289" s="166" t="str">
        <f>IF(LEFT(Berekening!AB36,1)&gt;RIGHT(Berekening!AB36,1),$A289,IF(LEFT(Berekening!AB36,1)&lt;RIGHT(Berekening!AB36,1),$C289,"gelijkspel"))</f>
        <v>gelijkspel</v>
      </c>
      <c r="AC289" s="166" t="str">
        <f>IF(LEFT(Berekening!AC36,1)&gt;RIGHT(Berekening!AC36,1),$A289,IF(LEFT(Berekening!AC36,1)&lt;RIGHT(Berekening!AC36,1),$C289,"gelijkspel"))</f>
        <v>gelijkspel</v>
      </c>
      <c r="AD289" s="166" t="str">
        <f>IF(LEFT(Berekening!AD36,1)&gt;RIGHT(Berekening!AD36,1),$A289,IF(LEFT(Berekening!AD36,1)&lt;RIGHT(Berekening!AD36,1),$C289,"gelijkspel"))</f>
        <v>gelijkspel</v>
      </c>
      <c r="AE289" s="166" t="str">
        <f>IF(LEFT(Berekening!AE36,1)&gt;RIGHT(Berekening!AE36,1),$A289,IF(LEFT(Berekening!AE36,1)&lt;RIGHT(Berekening!AE36,1),$C289,"gelijkspel"))</f>
        <v>gelijkspel</v>
      </c>
      <c r="AF289" s="166" t="str">
        <f>IF(LEFT(Berekening!AF36,1)&gt;RIGHT(Berekening!AF36,1),$A289,IF(LEFT(Berekening!AF36,1)&lt;RIGHT(Berekening!AF36,1),$C289,"gelijkspel"))</f>
        <v>gelijkspel</v>
      </c>
      <c r="AG289" s="166" t="str">
        <f>IF(LEFT(Berekening!AG36,1)&gt;RIGHT(Berekening!AG36,1),$A289,IF(LEFT(Berekening!AG36,1)&lt;RIGHT(Berekening!AG36,1),$C289,"gelijkspel"))</f>
        <v>gelijkspel</v>
      </c>
      <c r="AH289" s="166" t="str">
        <f>IF(LEFT(Berekening!AH36,1)&gt;RIGHT(Berekening!AH36,1),$A289,IF(LEFT(Berekening!AH36,1)&lt;RIGHT(Berekening!AH36,1),$C289,"gelijkspel"))</f>
        <v>gelijkspel</v>
      </c>
      <c r="AI289" s="166" t="str">
        <f>IF(LEFT(Berekening!AI36,1)&gt;RIGHT(Berekening!AI36,1),$A289,IF(LEFT(Berekening!AI36,1)&lt;RIGHT(Berekening!AI36,1),$C289,"gelijkspel"))</f>
        <v>gelijkspel</v>
      </c>
      <c r="AJ289" s="166" t="str">
        <f>IF(LEFT(Berekening!AJ36,1)&gt;RIGHT(Berekening!AJ36,1),$A289,IF(LEFT(Berekening!AJ36,1)&lt;RIGHT(Berekening!AJ36,1),$C289,"gelijkspel"))</f>
        <v>gelijkspel</v>
      </c>
      <c r="AK289" s="166" t="str">
        <f>IF(LEFT(Berekening!AK36,1)&gt;RIGHT(Berekening!AK36,1),$A289,IF(LEFT(Berekening!AK36,1)&lt;RIGHT(Berekening!AK36,1),$C289,"gelijkspel"))</f>
        <v>gelijkspel</v>
      </c>
      <c r="AL289" s="166" t="str">
        <f>IF(LEFT(Berekening!AL36,1)&gt;RIGHT(Berekening!AL36,1),$A289,IF(LEFT(Berekening!AL36,1)&lt;RIGHT(Berekening!AL36,1),$C289,"gelijkspel"))</f>
        <v>gelijkspel</v>
      </c>
      <c r="AM289" s="166" t="str">
        <f>IF(LEFT(Berekening!AM36,1)&gt;RIGHT(Berekening!AM36,1),$A289,IF(LEFT(Berekening!AM36,1)&lt;RIGHT(Berekening!AM36,1),$C289,"gelijkspel"))</f>
        <v>gelijkspel</v>
      </c>
      <c r="AN289" s="166" t="str">
        <f>IF(LEFT(Berekening!AN36,1)&gt;RIGHT(Berekening!AN36,1),$A289,IF(LEFT(Berekening!AN36,1)&lt;RIGHT(Berekening!AN36,1),$C289,"gelijkspel"))</f>
        <v>gelijkspel</v>
      </c>
      <c r="AO289" s="166" t="str">
        <f>IF(LEFT(Berekening!AO36,1)&gt;RIGHT(Berekening!AO36,1),$A289,IF(LEFT(Berekening!AO36,1)&lt;RIGHT(Berekening!AO36,1),$C289,"gelijkspel"))</f>
        <v>gelijkspel</v>
      </c>
      <c r="AP289" s="166" t="str">
        <f>IF(LEFT(Berekening!AP36,1)&gt;RIGHT(Berekening!AP36,1),$A289,IF(LEFT(Berekening!AP36,1)&lt;RIGHT(Berekening!AP36,1),$C289,"gelijkspel"))</f>
        <v>gelijkspel</v>
      </c>
      <c r="AQ289" s="166" t="str">
        <f>IF(LEFT(Berekening!AQ36,1)&gt;RIGHT(Berekening!AQ36,1),$A289,IF(LEFT(Berekening!AQ36,1)&lt;RIGHT(Berekening!AQ36,1),$C289,"gelijkspel"))</f>
        <v>gelijkspel</v>
      </c>
      <c r="AR289" s="166" t="str">
        <f>IF(LEFT(Berekening!AR36,1)&gt;RIGHT(Berekening!AR36,1),$A289,IF(LEFT(Berekening!AR36,1)&lt;RIGHT(Berekening!AR36,1),$C289,"gelijkspel"))</f>
        <v>gelijkspel</v>
      </c>
      <c r="AS289" s="166" t="str">
        <f>IF(LEFT(Berekening!AS36,1)&gt;RIGHT(Berekening!AS36,1),$A289,IF(LEFT(Berekening!AS36,1)&lt;RIGHT(Berekening!AS36,1),$C289,"gelijkspel"))</f>
        <v>gelijkspel</v>
      </c>
      <c r="AT289" s="166" t="str">
        <f>IF(LEFT(Berekening!AT36,1)&gt;RIGHT(Berekening!AT36,1),$A289,IF(LEFT(Berekening!AT36,1)&lt;RIGHT(Berekening!AT36,1),$C289,"gelijkspel"))</f>
        <v>gelijkspel</v>
      </c>
    </row>
    <row r="290" spans="1:46" s="161" customFormat="1" ht="15">
      <c r="A290" s="163" t="s">
        <v>1262</v>
      </c>
      <c r="B290" s="164" t="s">
        <v>2971</v>
      </c>
      <c r="C290" s="165" t="s">
        <v>1132</v>
      </c>
      <c r="E290" s="166" t="str">
        <f>IF(LEFT(Berekening!E37,1)&gt;RIGHT(Berekening!E37,1),$A290,IF(LEFT(Berekening!E37,1)&lt;RIGHT(Berekening!E37,1),$C290,"gelijkspel"))</f>
        <v>Portugal</v>
      </c>
      <c r="F290" s="166" t="str">
        <f>IF(LEFT(Berekening!F37,1)&gt;RIGHT(Berekening!F37,1),$A290,IF(LEFT(Berekening!F37,1)&lt;RIGHT(Berekening!F37,1),$C290,"gelijkspel"))</f>
        <v>Portugal</v>
      </c>
      <c r="G290" s="166" t="str">
        <f>IF(LEFT(Berekening!G37,1)&gt;RIGHT(Berekening!G37,1),$A290,IF(LEFT(Berekening!G37,1)&lt;RIGHT(Berekening!G37,1),$C290,"gelijkspel"))</f>
        <v>Portugal</v>
      </c>
      <c r="H290" s="166" t="str">
        <f>IF(LEFT(Berekening!H37,1)&gt;RIGHT(Berekening!H37,1),$A290,IF(LEFT(Berekening!H37,1)&lt;RIGHT(Berekening!H37,1),$C290,"gelijkspel"))</f>
        <v>Portugal</v>
      </c>
      <c r="I290" s="166" t="str">
        <f>IF(LEFT(Berekening!I37,1)&gt;RIGHT(Berekening!I37,1),$A290,IF(LEFT(Berekening!I37,1)&lt;RIGHT(Berekening!I37,1),$C290,"gelijkspel"))</f>
        <v>Portugal</v>
      </c>
      <c r="J290" s="166" t="str">
        <f>IF(LEFT(Berekening!J37,1)&gt;RIGHT(Berekening!J37,1),$A290,IF(LEFT(Berekening!J37,1)&lt;RIGHT(Berekening!J37,1),$C290,"gelijkspel"))</f>
        <v>Portugal</v>
      </c>
      <c r="K290" s="166" t="str">
        <f>IF(LEFT(Berekening!K37,1)&gt;RIGHT(Berekening!K37,1),$A290,IF(LEFT(Berekening!K37,1)&lt;RIGHT(Berekening!K37,1),$C290,"gelijkspel"))</f>
        <v>Portugal</v>
      </c>
      <c r="L290" s="166" t="str">
        <f>IF(LEFT(Berekening!L37,1)&gt;RIGHT(Berekening!L37,1),$A290,IF(LEFT(Berekening!L37,1)&lt;RIGHT(Berekening!L37,1),$C290,"gelijkspel"))</f>
        <v>Portugal</v>
      </c>
      <c r="M290" s="166" t="str">
        <f>IF(LEFT(Berekening!M37,1)&gt;RIGHT(Berekening!M37,1),$A290,IF(LEFT(Berekening!M37,1)&lt;RIGHT(Berekening!M37,1),$C290,"gelijkspel"))</f>
        <v>Portugal</v>
      </c>
      <c r="N290" s="166" t="str">
        <f>IF(LEFT(Berekening!N37,1)&gt;RIGHT(Berekening!N37,1),$A290,IF(LEFT(Berekening!N37,1)&lt;RIGHT(Berekening!N37,1),$C290,"gelijkspel"))</f>
        <v>Portugal</v>
      </c>
      <c r="O290" s="166" t="str">
        <f>IF(LEFT(Berekening!O37,1)&gt;RIGHT(Berekening!O37,1),$A290,IF(LEFT(Berekening!O37,1)&lt;RIGHT(Berekening!O37,1),$C290,"gelijkspel"))</f>
        <v>Portugal</v>
      </c>
      <c r="P290" s="166" t="str">
        <f>IF(LEFT(Berekening!P37,1)&gt;RIGHT(Berekening!P37,1),$A290,IF(LEFT(Berekening!P37,1)&lt;RIGHT(Berekening!P37,1),$C290,"gelijkspel"))</f>
        <v>Portugal</v>
      </c>
      <c r="Q290" s="166" t="str">
        <f>IF(LEFT(Berekening!Q37,1)&gt;RIGHT(Berekening!Q37,1),$A290,IF(LEFT(Berekening!Q37,1)&lt;RIGHT(Berekening!Q37,1),$C290,"gelijkspel"))</f>
        <v>Portugal</v>
      </c>
      <c r="R290" s="166" t="str">
        <f>IF(LEFT(Berekening!R37,1)&gt;RIGHT(Berekening!R37,1),$A290,IF(LEFT(Berekening!R37,1)&lt;RIGHT(Berekening!R37,1),$C290,"gelijkspel"))</f>
        <v>Portugal</v>
      </c>
      <c r="S290" s="166" t="str">
        <f>IF(LEFT(Berekening!S37,1)&gt;RIGHT(Berekening!S37,1),$A290,IF(LEFT(Berekening!S37,1)&lt;RIGHT(Berekening!S37,1),$C290,"gelijkspel"))</f>
        <v>Portugal</v>
      </c>
      <c r="T290" s="166" t="str">
        <f>IF(LEFT(Berekening!T37,1)&gt;RIGHT(Berekening!T37,1),$A290,IF(LEFT(Berekening!T37,1)&lt;RIGHT(Berekening!T37,1),$C290,"gelijkspel"))</f>
        <v>Portugal</v>
      </c>
      <c r="U290" s="166" t="str">
        <f>IF(LEFT(Berekening!U37,1)&gt;RIGHT(Berekening!U37,1),$A290,IF(LEFT(Berekening!U37,1)&lt;RIGHT(Berekening!U37,1),$C290,"gelijkspel"))</f>
        <v>gelijkspel</v>
      </c>
      <c r="V290" s="166" t="str">
        <f>IF(LEFT(Berekening!V37,1)&gt;RIGHT(Berekening!V37,1),$A290,IF(LEFT(Berekening!V37,1)&lt;RIGHT(Berekening!V37,1),$C290,"gelijkspel"))</f>
        <v>gelijkspel</v>
      </c>
      <c r="W290" s="166" t="str">
        <f>IF(LEFT(Berekening!W37,1)&gt;RIGHT(Berekening!W37,1),$A290,IF(LEFT(Berekening!W37,1)&lt;RIGHT(Berekening!W37,1),$C290,"gelijkspel"))</f>
        <v>gelijkspel</v>
      </c>
      <c r="X290" s="166" t="str">
        <f>IF(LEFT(Berekening!X37,1)&gt;RIGHT(Berekening!X37,1),$A290,IF(LEFT(Berekening!X37,1)&lt;RIGHT(Berekening!X37,1),$C290,"gelijkspel"))</f>
        <v>gelijkspel</v>
      </c>
      <c r="Y290" s="166" t="str">
        <f>IF(LEFT(Berekening!Y37,1)&gt;RIGHT(Berekening!Y37,1),$A290,IF(LEFT(Berekening!Y37,1)&lt;RIGHT(Berekening!Y37,1),$C290,"gelijkspel"))</f>
        <v>gelijkspel</v>
      </c>
      <c r="Z290" s="166" t="str">
        <f>IF(LEFT(Berekening!Z37,1)&gt;RIGHT(Berekening!Z37,1),$A290,IF(LEFT(Berekening!Z37,1)&lt;RIGHT(Berekening!Z37,1),$C290,"gelijkspel"))</f>
        <v>gelijkspel</v>
      </c>
      <c r="AA290" s="166" t="str">
        <f>IF(LEFT(Berekening!AA37,1)&gt;RIGHT(Berekening!AA37,1),$A290,IF(LEFT(Berekening!AA37,1)&lt;RIGHT(Berekening!AA37,1),$C290,"gelijkspel"))</f>
        <v>gelijkspel</v>
      </c>
      <c r="AB290" s="166" t="str">
        <f>IF(LEFT(Berekening!AB37,1)&gt;RIGHT(Berekening!AB37,1),$A290,IF(LEFT(Berekening!AB37,1)&lt;RIGHT(Berekening!AB37,1),$C290,"gelijkspel"))</f>
        <v>gelijkspel</v>
      </c>
      <c r="AC290" s="166" t="str">
        <f>IF(LEFT(Berekening!AC37,1)&gt;RIGHT(Berekening!AC37,1),$A290,IF(LEFT(Berekening!AC37,1)&lt;RIGHT(Berekening!AC37,1),$C290,"gelijkspel"))</f>
        <v>gelijkspel</v>
      </c>
      <c r="AD290" s="166" t="str">
        <f>IF(LEFT(Berekening!AD37,1)&gt;RIGHT(Berekening!AD37,1),$A290,IF(LEFT(Berekening!AD37,1)&lt;RIGHT(Berekening!AD37,1),$C290,"gelijkspel"))</f>
        <v>gelijkspel</v>
      </c>
      <c r="AE290" s="166" t="str">
        <f>IF(LEFT(Berekening!AE37,1)&gt;RIGHT(Berekening!AE37,1),$A290,IF(LEFT(Berekening!AE37,1)&lt;RIGHT(Berekening!AE37,1),$C290,"gelijkspel"))</f>
        <v>gelijkspel</v>
      </c>
      <c r="AF290" s="166" t="str">
        <f>IF(LEFT(Berekening!AF37,1)&gt;RIGHT(Berekening!AF37,1),$A290,IF(LEFT(Berekening!AF37,1)&lt;RIGHT(Berekening!AF37,1),$C290,"gelijkspel"))</f>
        <v>gelijkspel</v>
      </c>
      <c r="AG290" s="166" t="str">
        <f>IF(LEFT(Berekening!AG37,1)&gt;RIGHT(Berekening!AG37,1),$A290,IF(LEFT(Berekening!AG37,1)&lt;RIGHT(Berekening!AG37,1),$C290,"gelijkspel"))</f>
        <v>gelijkspel</v>
      </c>
      <c r="AH290" s="166" t="str">
        <f>IF(LEFT(Berekening!AH37,1)&gt;RIGHT(Berekening!AH37,1),$A290,IF(LEFT(Berekening!AH37,1)&lt;RIGHT(Berekening!AH37,1),$C290,"gelijkspel"))</f>
        <v>gelijkspel</v>
      </c>
      <c r="AI290" s="166" t="str">
        <f>IF(LEFT(Berekening!AI37,1)&gt;RIGHT(Berekening!AI37,1),$A290,IF(LEFT(Berekening!AI37,1)&lt;RIGHT(Berekening!AI37,1),$C290,"gelijkspel"))</f>
        <v>gelijkspel</v>
      </c>
      <c r="AJ290" s="166" t="str">
        <f>IF(LEFT(Berekening!AJ37,1)&gt;RIGHT(Berekening!AJ37,1),$A290,IF(LEFT(Berekening!AJ37,1)&lt;RIGHT(Berekening!AJ37,1),$C290,"gelijkspel"))</f>
        <v>gelijkspel</v>
      </c>
      <c r="AK290" s="166" t="str">
        <f>IF(LEFT(Berekening!AK37,1)&gt;RIGHT(Berekening!AK37,1),$A290,IF(LEFT(Berekening!AK37,1)&lt;RIGHT(Berekening!AK37,1),$C290,"gelijkspel"))</f>
        <v>gelijkspel</v>
      </c>
      <c r="AL290" s="166" t="str">
        <f>IF(LEFT(Berekening!AL37,1)&gt;RIGHT(Berekening!AL37,1),$A290,IF(LEFT(Berekening!AL37,1)&lt;RIGHT(Berekening!AL37,1),$C290,"gelijkspel"))</f>
        <v>gelijkspel</v>
      </c>
      <c r="AM290" s="166" t="str">
        <f>IF(LEFT(Berekening!AM37,1)&gt;RIGHT(Berekening!AM37,1),$A290,IF(LEFT(Berekening!AM37,1)&lt;RIGHT(Berekening!AM37,1),$C290,"gelijkspel"))</f>
        <v>gelijkspel</v>
      </c>
      <c r="AN290" s="166" t="str">
        <f>IF(LEFT(Berekening!AN37,1)&gt;RIGHT(Berekening!AN37,1),$A290,IF(LEFT(Berekening!AN37,1)&lt;RIGHT(Berekening!AN37,1),$C290,"gelijkspel"))</f>
        <v>gelijkspel</v>
      </c>
      <c r="AO290" s="166" t="str">
        <f>IF(LEFT(Berekening!AO37,1)&gt;RIGHT(Berekening!AO37,1),$A290,IF(LEFT(Berekening!AO37,1)&lt;RIGHT(Berekening!AO37,1),$C290,"gelijkspel"))</f>
        <v>gelijkspel</v>
      </c>
      <c r="AP290" s="166" t="str">
        <f>IF(LEFT(Berekening!AP37,1)&gt;RIGHT(Berekening!AP37,1),$A290,IF(LEFT(Berekening!AP37,1)&lt;RIGHT(Berekening!AP37,1),$C290,"gelijkspel"))</f>
        <v>gelijkspel</v>
      </c>
      <c r="AQ290" s="166" t="str">
        <f>IF(LEFT(Berekening!AQ37,1)&gt;RIGHT(Berekening!AQ37,1),$A290,IF(LEFT(Berekening!AQ37,1)&lt;RIGHT(Berekening!AQ37,1),$C290,"gelijkspel"))</f>
        <v>gelijkspel</v>
      </c>
      <c r="AR290" s="166" t="str">
        <f>IF(LEFT(Berekening!AR37,1)&gt;RIGHT(Berekening!AR37,1),$A290,IF(LEFT(Berekening!AR37,1)&lt;RIGHT(Berekening!AR37,1),$C290,"gelijkspel"))</f>
        <v>gelijkspel</v>
      </c>
      <c r="AS290" s="166" t="str">
        <f>IF(LEFT(Berekening!AS37,1)&gt;RIGHT(Berekening!AS37,1),$A290,IF(LEFT(Berekening!AS37,1)&lt;RIGHT(Berekening!AS37,1),$C290,"gelijkspel"))</f>
        <v>gelijkspel</v>
      </c>
      <c r="AT290" s="166" t="str">
        <f>IF(LEFT(Berekening!AT37,1)&gt;RIGHT(Berekening!AT37,1),$A290,IF(LEFT(Berekening!AT37,1)&lt;RIGHT(Berekening!AT37,1),$C290,"gelijkspel"))</f>
        <v>gelijkspel</v>
      </c>
    </row>
    <row r="291" spans="1:46" s="161" customFormat="1" ht="15">
      <c r="A291" s="163" t="s">
        <v>1889</v>
      </c>
      <c r="B291" s="164" t="s">
        <v>2971</v>
      </c>
      <c r="C291" s="165" t="s">
        <v>1043</v>
      </c>
      <c r="E291" s="166" t="str">
        <f>IF(LEFT(Berekening!E38,1)&gt;RIGHT(Berekening!E38,1),$A291,IF(LEFT(Berekening!E38,1)&lt;RIGHT(Berekening!E38,1),$C291,"gelijkspel"))</f>
        <v>België</v>
      </c>
      <c r="F291" s="166" t="str">
        <f>IF(LEFT(Berekening!F38,1)&gt;RIGHT(Berekening!F38,1),$A291,IF(LEFT(Berekening!F38,1)&lt;RIGHT(Berekening!F38,1),$C291,"gelijkspel"))</f>
        <v>België</v>
      </c>
      <c r="G291" s="166" t="str">
        <f>IF(LEFT(Berekening!G38,1)&gt;RIGHT(Berekening!G38,1),$A291,IF(LEFT(Berekening!G38,1)&lt;RIGHT(Berekening!G38,1),$C291,"gelijkspel"))</f>
        <v>België</v>
      </c>
      <c r="H291" s="166" t="str">
        <f>IF(LEFT(Berekening!H38,1)&gt;RIGHT(Berekening!H38,1),$A291,IF(LEFT(Berekening!H38,1)&lt;RIGHT(Berekening!H38,1),$C291,"gelijkspel"))</f>
        <v>België</v>
      </c>
      <c r="I291" s="166" t="str">
        <f>IF(LEFT(Berekening!I38,1)&gt;RIGHT(Berekening!I38,1),$A291,IF(LEFT(Berekening!I38,1)&lt;RIGHT(Berekening!I38,1),$C291,"gelijkspel"))</f>
        <v>België</v>
      </c>
      <c r="J291" s="166" t="str">
        <f>IF(LEFT(Berekening!J38,1)&gt;RIGHT(Berekening!J38,1),$A291,IF(LEFT(Berekening!J38,1)&lt;RIGHT(Berekening!J38,1),$C291,"gelijkspel"))</f>
        <v>gelijkspel</v>
      </c>
      <c r="K291" s="166" t="str">
        <f>IF(LEFT(Berekening!K38,1)&gt;RIGHT(Berekening!K38,1),$A291,IF(LEFT(Berekening!K38,1)&lt;RIGHT(Berekening!K38,1),$C291,"gelijkspel"))</f>
        <v>België</v>
      </c>
      <c r="L291" s="166" t="str">
        <f>IF(LEFT(Berekening!L38,1)&gt;RIGHT(Berekening!L38,1),$A291,IF(LEFT(Berekening!L38,1)&lt;RIGHT(Berekening!L38,1),$C291,"gelijkspel"))</f>
        <v>België</v>
      </c>
      <c r="M291" s="166" t="str">
        <f>IF(LEFT(Berekening!M38,1)&gt;RIGHT(Berekening!M38,1),$A291,IF(LEFT(Berekening!M38,1)&lt;RIGHT(Berekening!M38,1),$C291,"gelijkspel"))</f>
        <v>België</v>
      </c>
      <c r="N291" s="166" t="str">
        <f>IF(LEFT(Berekening!N38,1)&gt;RIGHT(Berekening!N38,1),$A291,IF(LEFT(Berekening!N38,1)&lt;RIGHT(Berekening!N38,1),$C291,"gelijkspel"))</f>
        <v>België</v>
      </c>
      <c r="O291" s="166" t="str">
        <f>IF(LEFT(Berekening!O38,1)&gt;RIGHT(Berekening!O38,1),$A291,IF(LEFT(Berekening!O38,1)&lt;RIGHT(Berekening!O38,1),$C291,"gelijkspel"))</f>
        <v>België</v>
      </c>
      <c r="P291" s="166" t="str">
        <f>IF(LEFT(Berekening!P38,1)&gt;RIGHT(Berekening!P38,1),$A291,IF(LEFT(Berekening!P38,1)&lt;RIGHT(Berekening!P38,1),$C291,"gelijkspel"))</f>
        <v>België</v>
      </c>
      <c r="Q291" s="166" t="str">
        <f>IF(LEFT(Berekening!Q38,1)&gt;RIGHT(Berekening!Q38,1),$A291,IF(LEFT(Berekening!Q38,1)&lt;RIGHT(Berekening!Q38,1),$C291,"gelijkspel"))</f>
        <v>België</v>
      </c>
      <c r="R291" s="166" t="str">
        <f>IF(LEFT(Berekening!R38,1)&gt;RIGHT(Berekening!R38,1),$A291,IF(LEFT(Berekening!R38,1)&lt;RIGHT(Berekening!R38,1),$C291,"gelijkspel"))</f>
        <v>België</v>
      </c>
      <c r="S291" s="166" t="str">
        <f>IF(LEFT(Berekening!S38,1)&gt;RIGHT(Berekening!S38,1),$A291,IF(LEFT(Berekening!S38,1)&lt;RIGHT(Berekening!S38,1),$C291,"gelijkspel"))</f>
        <v>België</v>
      </c>
      <c r="T291" s="166" t="str">
        <f>IF(LEFT(Berekening!T38,1)&gt;RIGHT(Berekening!T38,1),$A291,IF(LEFT(Berekening!T38,1)&lt;RIGHT(Berekening!T38,1),$C291,"gelijkspel"))</f>
        <v>België</v>
      </c>
      <c r="U291" s="166" t="str">
        <f>IF(LEFT(Berekening!U38,1)&gt;RIGHT(Berekening!U38,1),$A291,IF(LEFT(Berekening!U38,1)&lt;RIGHT(Berekening!U38,1),$C291,"gelijkspel"))</f>
        <v>gelijkspel</v>
      </c>
      <c r="V291" s="166" t="str">
        <f>IF(LEFT(Berekening!V38,1)&gt;RIGHT(Berekening!V38,1),$A291,IF(LEFT(Berekening!V38,1)&lt;RIGHT(Berekening!V38,1),$C291,"gelijkspel"))</f>
        <v>gelijkspel</v>
      </c>
      <c r="W291" s="166" t="str">
        <f>IF(LEFT(Berekening!W38,1)&gt;RIGHT(Berekening!W38,1),$A291,IF(LEFT(Berekening!W38,1)&lt;RIGHT(Berekening!W38,1),$C291,"gelijkspel"))</f>
        <v>gelijkspel</v>
      </c>
      <c r="X291" s="166" t="str">
        <f>IF(LEFT(Berekening!X38,1)&gt;RIGHT(Berekening!X38,1),$A291,IF(LEFT(Berekening!X38,1)&lt;RIGHT(Berekening!X38,1),$C291,"gelijkspel"))</f>
        <v>gelijkspel</v>
      </c>
      <c r="Y291" s="166" t="str">
        <f>IF(LEFT(Berekening!Y38,1)&gt;RIGHT(Berekening!Y38,1),$A291,IF(LEFT(Berekening!Y38,1)&lt;RIGHT(Berekening!Y38,1),$C291,"gelijkspel"))</f>
        <v>gelijkspel</v>
      </c>
      <c r="Z291" s="166" t="str">
        <f>IF(LEFT(Berekening!Z38,1)&gt;RIGHT(Berekening!Z38,1),$A291,IF(LEFT(Berekening!Z38,1)&lt;RIGHT(Berekening!Z38,1),$C291,"gelijkspel"))</f>
        <v>gelijkspel</v>
      </c>
      <c r="AA291" s="166" t="str">
        <f>IF(LEFT(Berekening!AA38,1)&gt;RIGHT(Berekening!AA38,1),$A291,IF(LEFT(Berekening!AA38,1)&lt;RIGHT(Berekening!AA38,1),$C291,"gelijkspel"))</f>
        <v>gelijkspel</v>
      </c>
      <c r="AB291" s="166" t="str">
        <f>IF(LEFT(Berekening!AB38,1)&gt;RIGHT(Berekening!AB38,1),$A291,IF(LEFT(Berekening!AB38,1)&lt;RIGHT(Berekening!AB38,1),$C291,"gelijkspel"))</f>
        <v>gelijkspel</v>
      </c>
      <c r="AC291" s="166" t="str">
        <f>IF(LEFT(Berekening!AC38,1)&gt;RIGHT(Berekening!AC38,1),$A291,IF(LEFT(Berekening!AC38,1)&lt;RIGHT(Berekening!AC38,1),$C291,"gelijkspel"))</f>
        <v>gelijkspel</v>
      </c>
      <c r="AD291" s="166" t="str">
        <f>IF(LEFT(Berekening!AD38,1)&gt;RIGHT(Berekening!AD38,1),$A291,IF(LEFT(Berekening!AD38,1)&lt;RIGHT(Berekening!AD38,1),$C291,"gelijkspel"))</f>
        <v>gelijkspel</v>
      </c>
      <c r="AE291" s="166" t="str">
        <f>IF(LEFT(Berekening!AE38,1)&gt;RIGHT(Berekening!AE38,1),$A291,IF(LEFT(Berekening!AE38,1)&lt;RIGHT(Berekening!AE38,1),$C291,"gelijkspel"))</f>
        <v>gelijkspel</v>
      </c>
      <c r="AF291" s="166" t="str">
        <f>IF(LEFT(Berekening!AF38,1)&gt;RIGHT(Berekening!AF38,1),$A291,IF(LEFT(Berekening!AF38,1)&lt;RIGHT(Berekening!AF38,1),$C291,"gelijkspel"))</f>
        <v>gelijkspel</v>
      </c>
      <c r="AG291" s="166" t="str">
        <f>IF(LEFT(Berekening!AG38,1)&gt;RIGHT(Berekening!AG38,1),$A291,IF(LEFT(Berekening!AG38,1)&lt;RIGHT(Berekening!AG38,1),$C291,"gelijkspel"))</f>
        <v>gelijkspel</v>
      </c>
      <c r="AH291" s="166" t="str">
        <f>IF(LEFT(Berekening!AH38,1)&gt;RIGHT(Berekening!AH38,1),$A291,IF(LEFT(Berekening!AH38,1)&lt;RIGHT(Berekening!AH38,1),$C291,"gelijkspel"))</f>
        <v>gelijkspel</v>
      </c>
      <c r="AI291" s="166" t="str">
        <f>IF(LEFT(Berekening!AI38,1)&gt;RIGHT(Berekening!AI38,1),$A291,IF(LEFT(Berekening!AI38,1)&lt;RIGHT(Berekening!AI38,1),$C291,"gelijkspel"))</f>
        <v>gelijkspel</v>
      </c>
      <c r="AJ291" s="166" t="str">
        <f>IF(LEFT(Berekening!AJ38,1)&gt;RIGHT(Berekening!AJ38,1),$A291,IF(LEFT(Berekening!AJ38,1)&lt;RIGHT(Berekening!AJ38,1),$C291,"gelijkspel"))</f>
        <v>gelijkspel</v>
      </c>
      <c r="AK291" s="166" t="str">
        <f>IF(LEFT(Berekening!AK38,1)&gt;RIGHT(Berekening!AK38,1),$A291,IF(LEFT(Berekening!AK38,1)&lt;RIGHT(Berekening!AK38,1),$C291,"gelijkspel"))</f>
        <v>gelijkspel</v>
      </c>
      <c r="AL291" s="166" t="str">
        <f>IF(LEFT(Berekening!AL38,1)&gt;RIGHT(Berekening!AL38,1),$A291,IF(LEFT(Berekening!AL38,1)&lt;RIGHT(Berekening!AL38,1),$C291,"gelijkspel"))</f>
        <v>gelijkspel</v>
      </c>
      <c r="AM291" s="166" t="str">
        <f>IF(LEFT(Berekening!AM38,1)&gt;RIGHT(Berekening!AM38,1),$A291,IF(LEFT(Berekening!AM38,1)&lt;RIGHT(Berekening!AM38,1),$C291,"gelijkspel"))</f>
        <v>gelijkspel</v>
      </c>
      <c r="AN291" s="166" t="str">
        <f>IF(LEFT(Berekening!AN38,1)&gt;RIGHT(Berekening!AN38,1),$A291,IF(LEFT(Berekening!AN38,1)&lt;RIGHT(Berekening!AN38,1),$C291,"gelijkspel"))</f>
        <v>gelijkspel</v>
      </c>
      <c r="AO291" s="166" t="str">
        <f>IF(LEFT(Berekening!AO38,1)&gt;RIGHT(Berekening!AO38,1),$A291,IF(LEFT(Berekening!AO38,1)&lt;RIGHT(Berekening!AO38,1),$C291,"gelijkspel"))</f>
        <v>gelijkspel</v>
      </c>
      <c r="AP291" s="166" t="str">
        <f>IF(LEFT(Berekening!AP38,1)&gt;RIGHT(Berekening!AP38,1),$A291,IF(LEFT(Berekening!AP38,1)&lt;RIGHT(Berekening!AP38,1),$C291,"gelijkspel"))</f>
        <v>gelijkspel</v>
      </c>
      <c r="AQ291" s="166" t="str">
        <f>IF(LEFT(Berekening!AQ38,1)&gt;RIGHT(Berekening!AQ38,1),$A291,IF(LEFT(Berekening!AQ38,1)&lt;RIGHT(Berekening!AQ38,1),$C291,"gelijkspel"))</f>
        <v>gelijkspel</v>
      </c>
      <c r="AR291" s="166" t="str">
        <f>IF(LEFT(Berekening!AR38,1)&gt;RIGHT(Berekening!AR38,1),$A291,IF(LEFT(Berekening!AR38,1)&lt;RIGHT(Berekening!AR38,1),$C291,"gelijkspel"))</f>
        <v>gelijkspel</v>
      </c>
      <c r="AS291" s="166" t="str">
        <f>IF(LEFT(Berekening!AS38,1)&gt;RIGHT(Berekening!AS38,1),$A291,IF(LEFT(Berekening!AS38,1)&lt;RIGHT(Berekening!AS38,1),$C291,"gelijkspel"))</f>
        <v>gelijkspel</v>
      </c>
      <c r="AT291" s="166" t="str">
        <f>IF(LEFT(Berekening!AT38,1)&gt;RIGHT(Berekening!AT38,1),$A291,IF(LEFT(Berekening!AT38,1)&lt;RIGHT(Berekening!AT38,1),$C291,"gelijkspel"))</f>
        <v>gelijkspel</v>
      </c>
    </row>
    <row r="292" spans="1:46" s="161" customFormat="1" ht="15">
      <c r="A292" s="163" t="s">
        <v>1608</v>
      </c>
      <c r="B292" s="164" t="s">
        <v>2971</v>
      </c>
      <c r="C292" s="165" t="s">
        <v>1468</v>
      </c>
      <c r="E292" s="166" t="str">
        <f>IF(LEFT(Berekening!E39,1)&gt;RIGHT(Berekening!E39,1),$A292,IF(LEFT(Berekening!E39,1)&lt;RIGHT(Berekening!E39,1),$C292,"gelijkspel"))</f>
        <v>Duitsland</v>
      </c>
      <c r="F292" s="166" t="str">
        <f>IF(LEFT(Berekening!F39,1)&gt;RIGHT(Berekening!F39,1),$A292,IF(LEFT(Berekening!F39,1)&lt;RIGHT(Berekening!F39,1),$C292,"gelijkspel"))</f>
        <v>Duitsland</v>
      </c>
      <c r="G292" s="166" t="str">
        <f>IF(LEFT(Berekening!G39,1)&gt;RIGHT(Berekening!G39,1),$A292,IF(LEFT(Berekening!G39,1)&lt;RIGHT(Berekening!G39,1),$C292,"gelijkspel"))</f>
        <v>Duitsland</v>
      </c>
      <c r="H292" s="166" t="str">
        <f>IF(LEFT(Berekening!H39,1)&gt;RIGHT(Berekening!H39,1),$A292,IF(LEFT(Berekening!H39,1)&lt;RIGHT(Berekening!H39,1),$C292,"gelijkspel"))</f>
        <v>Duitsland</v>
      </c>
      <c r="I292" s="166" t="str">
        <f>IF(LEFT(Berekening!I39,1)&gt;RIGHT(Berekening!I39,1),$A292,IF(LEFT(Berekening!I39,1)&lt;RIGHT(Berekening!I39,1),$C292,"gelijkspel"))</f>
        <v>gelijkspel</v>
      </c>
      <c r="J292" s="166" t="str">
        <f>IF(LEFT(Berekening!J39,1)&gt;RIGHT(Berekening!J39,1),$A292,IF(LEFT(Berekening!J39,1)&lt;RIGHT(Berekening!J39,1),$C292,"gelijkspel"))</f>
        <v>gelijkspel</v>
      </c>
      <c r="K292" s="166" t="str">
        <f>IF(LEFT(Berekening!K39,1)&gt;RIGHT(Berekening!K39,1),$A292,IF(LEFT(Berekening!K39,1)&lt;RIGHT(Berekening!K39,1),$C292,"gelijkspel"))</f>
        <v>Duitsland</v>
      </c>
      <c r="L292" s="166" t="str">
        <f>IF(LEFT(Berekening!L39,1)&gt;RIGHT(Berekening!L39,1),$A292,IF(LEFT(Berekening!L39,1)&lt;RIGHT(Berekening!L39,1),$C292,"gelijkspel"))</f>
        <v>Duitsland</v>
      </c>
      <c r="M292" s="166" t="str">
        <f>IF(LEFT(Berekening!M39,1)&gt;RIGHT(Berekening!M39,1),$A292,IF(LEFT(Berekening!M39,1)&lt;RIGHT(Berekening!M39,1),$C292,"gelijkspel"))</f>
        <v>Duitsland</v>
      </c>
      <c r="N292" s="166" t="str">
        <f>IF(LEFT(Berekening!N39,1)&gt;RIGHT(Berekening!N39,1),$A292,IF(LEFT(Berekening!N39,1)&lt;RIGHT(Berekening!N39,1),$C292,"gelijkspel"))</f>
        <v>Duitsland</v>
      </c>
      <c r="O292" s="166" t="str">
        <f>IF(LEFT(Berekening!O39,1)&gt;RIGHT(Berekening!O39,1),$A292,IF(LEFT(Berekening!O39,1)&lt;RIGHT(Berekening!O39,1),$C292,"gelijkspel"))</f>
        <v>Duitsland</v>
      </c>
      <c r="P292" s="166" t="str">
        <f>IF(LEFT(Berekening!P39,1)&gt;RIGHT(Berekening!P39,1),$A292,IF(LEFT(Berekening!P39,1)&lt;RIGHT(Berekening!P39,1),$C292,"gelijkspel"))</f>
        <v>gelijkspel</v>
      </c>
      <c r="Q292" s="166" t="str">
        <f>IF(LEFT(Berekening!Q39,1)&gt;RIGHT(Berekening!Q39,1),$A292,IF(LEFT(Berekening!Q39,1)&lt;RIGHT(Berekening!Q39,1),$C292,"gelijkspel"))</f>
        <v>Duitsland</v>
      </c>
      <c r="R292" s="166" t="str">
        <f>IF(LEFT(Berekening!R39,1)&gt;RIGHT(Berekening!R39,1),$A292,IF(LEFT(Berekening!R39,1)&lt;RIGHT(Berekening!R39,1),$C292,"gelijkspel"))</f>
        <v>Duitsland</v>
      </c>
      <c r="S292" s="166" t="str">
        <f>IF(LEFT(Berekening!S39,1)&gt;RIGHT(Berekening!S39,1),$A292,IF(LEFT(Berekening!S39,1)&lt;RIGHT(Berekening!S39,1),$C292,"gelijkspel"))</f>
        <v>Duitsland</v>
      </c>
      <c r="T292" s="166" t="str">
        <f>IF(LEFT(Berekening!T39,1)&gt;RIGHT(Berekening!T39,1),$A292,IF(LEFT(Berekening!T39,1)&lt;RIGHT(Berekening!T39,1),$C292,"gelijkspel"))</f>
        <v>Duitsland</v>
      </c>
      <c r="U292" s="166" t="str">
        <f>IF(LEFT(Berekening!U39,1)&gt;RIGHT(Berekening!U39,1),$A292,IF(LEFT(Berekening!U39,1)&lt;RIGHT(Berekening!U39,1),$C292,"gelijkspel"))</f>
        <v>gelijkspel</v>
      </c>
      <c r="V292" s="166" t="str">
        <f>IF(LEFT(Berekening!V39,1)&gt;RIGHT(Berekening!V39,1),$A292,IF(LEFT(Berekening!V39,1)&lt;RIGHT(Berekening!V39,1),$C292,"gelijkspel"))</f>
        <v>gelijkspel</v>
      </c>
      <c r="W292" s="166" t="str">
        <f>IF(LEFT(Berekening!W39,1)&gt;RIGHT(Berekening!W39,1),$A292,IF(LEFT(Berekening!W39,1)&lt;RIGHT(Berekening!W39,1),$C292,"gelijkspel"))</f>
        <v>gelijkspel</v>
      </c>
      <c r="X292" s="166" t="str">
        <f>IF(LEFT(Berekening!X39,1)&gt;RIGHT(Berekening!X39,1),$A292,IF(LEFT(Berekening!X39,1)&lt;RIGHT(Berekening!X39,1),$C292,"gelijkspel"))</f>
        <v>gelijkspel</v>
      </c>
      <c r="Y292" s="166" t="str">
        <f>IF(LEFT(Berekening!Y39,1)&gt;RIGHT(Berekening!Y39,1),$A292,IF(LEFT(Berekening!Y39,1)&lt;RIGHT(Berekening!Y39,1),$C292,"gelijkspel"))</f>
        <v>gelijkspel</v>
      </c>
      <c r="Z292" s="166" t="str">
        <f>IF(LEFT(Berekening!Z39,1)&gt;RIGHT(Berekening!Z39,1),$A292,IF(LEFT(Berekening!Z39,1)&lt;RIGHT(Berekening!Z39,1),$C292,"gelijkspel"))</f>
        <v>gelijkspel</v>
      </c>
      <c r="AA292" s="166" t="str">
        <f>IF(LEFT(Berekening!AA39,1)&gt;RIGHT(Berekening!AA39,1),$A292,IF(LEFT(Berekening!AA39,1)&lt;RIGHT(Berekening!AA39,1),$C292,"gelijkspel"))</f>
        <v>gelijkspel</v>
      </c>
      <c r="AB292" s="166" t="str">
        <f>IF(LEFT(Berekening!AB39,1)&gt;RIGHT(Berekening!AB39,1),$A292,IF(LEFT(Berekening!AB39,1)&lt;RIGHT(Berekening!AB39,1),$C292,"gelijkspel"))</f>
        <v>gelijkspel</v>
      </c>
      <c r="AC292" s="166" t="str">
        <f>IF(LEFT(Berekening!AC39,1)&gt;RIGHT(Berekening!AC39,1),$A292,IF(LEFT(Berekening!AC39,1)&lt;RIGHT(Berekening!AC39,1),$C292,"gelijkspel"))</f>
        <v>gelijkspel</v>
      </c>
      <c r="AD292" s="166" t="str">
        <f>IF(LEFT(Berekening!AD39,1)&gt;RIGHT(Berekening!AD39,1),$A292,IF(LEFT(Berekening!AD39,1)&lt;RIGHT(Berekening!AD39,1),$C292,"gelijkspel"))</f>
        <v>gelijkspel</v>
      </c>
      <c r="AE292" s="166" t="str">
        <f>IF(LEFT(Berekening!AE39,1)&gt;RIGHT(Berekening!AE39,1),$A292,IF(LEFT(Berekening!AE39,1)&lt;RIGHT(Berekening!AE39,1),$C292,"gelijkspel"))</f>
        <v>gelijkspel</v>
      </c>
      <c r="AF292" s="166" t="str">
        <f>IF(LEFT(Berekening!AF39,1)&gt;RIGHT(Berekening!AF39,1),$A292,IF(LEFT(Berekening!AF39,1)&lt;RIGHT(Berekening!AF39,1),$C292,"gelijkspel"))</f>
        <v>gelijkspel</v>
      </c>
      <c r="AG292" s="166" t="str">
        <f>IF(LEFT(Berekening!AG39,1)&gt;RIGHT(Berekening!AG39,1),$A292,IF(LEFT(Berekening!AG39,1)&lt;RIGHT(Berekening!AG39,1),$C292,"gelijkspel"))</f>
        <v>gelijkspel</v>
      </c>
      <c r="AH292" s="166" t="str">
        <f>IF(LEFT(Berekening!AH39,1)&gt;RIGHT(Berekening!AH39,1),$A292,IF(LEFT(Berekening!AH39,1)&lt;RIGHT(Berekening!AH39,1),$C292,"gelijkspel"))</f>
        <v>gelijkspel</v>
      </c>
      <c r="AI292" s="166" t="str">
        <f>IF(LEFT(Berekening!AI39,1)&gt;RIGHT(Berekening!AI39,1),$A292,IF(LEFT(Berekening!AI39,1)&lt;RIGHT(Berekening!AI39,1),$C292,"gelijkspel"))</f>
        <v>gelijkspel</v>
      </c>
      <c r="AJ292" s="166" t="str">
        <f>IF(LEFT(Berekening!AJ39,1)&gt;RIGHT(Berekening!AJ39,1),$A292,IF(LEFT(Berekening!AJ39,1)&lt;RIGHT(Berekening!AJ39,1),$C292,"gelijkspel"))</f>
        <v>gelijkspel</v>
      </c>
      <c r="AK292" s="166" t="str">
        <f>IF(LEFT(Berekening!AK39,1)&gt;RIGHT(Berekening!AK39,1),$A292,IF(LEFT(Berekening!AK39,1)&lt;RIGHT(Berekening!AK39,1),$C292,"gelijkspel"))</f>
        <v>gelijkspel</v>
      </c>
      <c r="AL292" s="166" t="str">
        <f>IF(LEFT(Berekening!AL39,1)&gt;RIGHT(Berekening!AL39,1),$A292,IF(LEFT(Berekening!AL39,1)&lt;RIGHT(Berekening!AL39,1),$C292,"gelijkspel"))</f>
        <v>gelijkspel</v>
      </c>
      <c r="AM292" s="166" t="str">
        <f>IF(LEFT(Berekening!AM39,1)&gt;RIGHT(Berekening!AM39,1),$A292,IF(LEFT(Berekening!AM39,1)&lt;RIGHT(Berekening!AM39,1),$C292,"gelijkspel"))</f>
        <v>gelijkspel</v>
      </c>
      <c r="AN292" s="166" t="str">
        <f>IF(LEFT(Berekening!AN39,1)&gt;RIGHT(Berekening!AN39,1),$A292,IF(LEFT(Berekening!AN39,1)&lt;RIGHT(Berekening!AN39,1),$C292,"gelijkspel"))</f>
        <v>gelijkspel</v>
      </c>
      <c r="AO292" s="166" t="str">
        <f>IF(LEFT(Berekening!AO39,1)&gt;RIGHT(Berekening!AO39,1),$A292,IF(LEFT(Berekening!AO39,1)&lt;RIGHT(Berekening!AO39,1),$C292,"gelijkspel"))</f>
        <v>gelijkspel</v>
      </c>
      <c r="AP292" s="166" t="str">
        <f>IF(LEFT(Berekening!AP39,1)&gt;RIGHT(Berekening!AP39,1),$A292,IF(LEFT(Berekening!AP39,1)&lt;RIGHT(Berekening!AP39,1),$C292,"gelijkspel"))</f>
        <v>gelijkspel</v>
      </c>
      <c r="AQ292" s="166" t="str">
        <f>IF(LEFT(Berekening!AQ39,1)&gt;RIGHT(Berekening!AQ39,1),$A292,IF(LEFT(Berekening!AQ39,1)&lt;RIGHT(Berekening!AQ39,1),$C292,"gelijkspel"))</f>
        <v>gelijkspel</v>
      </c>
      <c r="AR292" s="166" t="str">
        <f>IF(LEFT(Berekening!AR39,1)&gt;RIGHT(Berekening!AR39,1),$A292,IF(LEFT(Berekening!AR39,1)&lt;RIGHT(Berekening!AR39,1),$C292,"gelijkspel"))</f>
        <v>gelijkspel</v>
      </c>
      <c r="AS292" s="166" t="str">
        <f>IF(LEFT(Berekening!AS39,1)&gt;RIGHT(Berekening!AS39,1),$A292,IF(LEFT(Berekening!AS39,1)&lt;RIGHT(Berekening!AS39,1),$C292,"gelijkspel"))</f>
        <v>gelijkspel</v>
      </c>
      <c r="AT292" s="166" t="str">
        <f>IF(LEFT(Berekening!AT39,1)&gt;RIGHT(Berekening!AT39,1),$A292,IF(LEFT(Berekening!AT39,1)&lt;RIGHT(Berekening!AT39,1),$C292,"gelijkspel"))</f>
        <v>gelijkspel</v>
      </c>
    </row>
    <row r="293" spans="1:46" s="161" customFormat="1" ht="15">
      <c r="A293" s="163" t="s">
        <v>1399</v>
      </c>
      <c r="B293" s="164" t="s">
        <v>2971</v>
      </c>
      <c r="C293" s="165" t="s">
        <v>1168</v>
      </c>
      <c r="E293" s="166" t="str">
        <f>IF(LEFT(Berekening!E40,1)&gt;RIGHT(Berekening!E40,1),$A293,IF(LEFT(Berekening!E40,1)&lt;RIGHT(Berekening!E40,1),$C293,"gelijkspel"))</f>
        <v>Schotland</v>
      </c>
      <c r="F293" s="166" t="str">
        <f>IF(LEFT(Berekening!F40,1)&gt;RIGHT(Berekening!F40,1),$A293,IF(LEFT(Berekening!F40,1)&lt;RIGHT(Berekening!F40,1),$C293,"gelijkspel"))</f>
        <v>Schotland</v>
      </c>
      <c r="G293" s="166" t="str">
        <f>IF(LEFT(Berekening!G40,1)&gt;RIGHT(Berekening!G40,1),$A293,IF(LEFT(Berekening!G40,1)&lt;RIGHT(Berekening!G40,1),$C293,"gelijkspel"))</f>
        <v>Schotland</v>
      </c>
      <c r="H293" s="166" t="str">
        <f>IF(LEFT(Berekening!H40,1)&gt;RIGHT(Berekening!H40,1),$A293,IF(LEFT(Berekening!H40,1)&lt;RIGHT(Berekening!H40,1),$C293,"gelijkspel"))</f>
        <v>Hongarije</v>
      </c>
      <c r="I293" s="166" t="str">
        <f>IF(LEFT(Berekening!I40,1)&gt;RIGHT(Berekening!I40,1),$A293,IF(LEFT(Berekening!I40,1)&lt;RIGHT(Berekening!I40,1),$C293,"gelijkspel"))</f>
        <v>gelijkspel</v>
      </c>
      <c r="J293" s="166" t="str">
        <f>IF(LEFT(Berekening!J40,1)&gt;RIGHT(Berekening!J40,1),$A293,IF(LEFT(Berekening!J40,1)&lt;RIGHT(Berekening!J40,1),$C293,"gelijkspel"))</f>
        <v>Hongarije</v>
      </c>
      <c r="K293" s="166" t="str">
        <f>IF(LEFT(Berekening!K40,1)&gt;RIGHT(Berekening!K40,1),$A293,IF(LEFT(Berekening!K40,1)&lt;RIGHT(Berekening!K40,1),$C293,"gelijkspel"))</f>
        <v>Hongarije</v>
      </c>
      <c r="L293" s="166" t="str">
        <f>IF(LEFT(Berekening!L40,1)&gt;RIGHT(Berekening!L40,1),$A293,IF(LEFT(Berekening!L40,1)&lt;RIGHT(Berekening!L40,1),$C293,"gelijkspel"))</f>
        <v>Schotland</v>
      </c>
      <c r="M293" s="166" t="str">
        <f>IF(LEFT(Berekening!M40,1)&gt;RIGHT(Berekening!M40,1),$A293,IF(LEFT(Berekening!M40,1)&lt;RIGHT(Berekening!M40,1),$C293,"gelijkspel"))</f>
        <v>Schotland</v>
      </c>
      <c r="N293" s="166" t="str">
        <f>IF(LEFT(Berekening!N40,1)&gt;RIGHT(Berekening!N40,1),$A293,IF(LEFT(Berekening!N40,1)&lt;RIGHT(Berekening!N40,1),$C293,"gelijkspel"))</f>
        <v>gelijkspel</v>
      </c>
      <c r="O293" s="166" t="str">
        <f>IF(LEFT(Berekening!O40,1)&gt;RIGHT(Berekening!O40,1),$A293,IF(LEFT(Berekening!O40,1)&lt;RIGHT(Berekening!O40,1),$C293,"gelijkspel"))</f>
        <v>Schotland</v>
      </c>
      <c r="P293" s="166" t="str">
        <f>IF(LEFT(Berekening!P40,1)&gt;RIGHT(Berekening!P40,1),$A293,IF(LEFT(Berekening!P40,1)&lt;RIGHT(Berekening!P40,1),$C293,"gelijkspel"))</f>
        <v>Hongarije</v>
      </c>
      <c r="Q293" s="166" t="str">
        <f>IF(LEFT(Berekening!Q40,1)&gt;RIGHT(Berekening!Q40,1),$A293,IF(LEFT(Berekening!Q40,1)&lt;RIGHT(Berekening!Q40,1),$C293,"gelijkspel"))</f>
        <v>gelijkspel</v>
      </c>
      <c r="R293" s="166" t="str">
        <f>IF(LEFT(Berekening!R40,1)&gt;RIGHT(Berekening!R40,1),$A293,IF(LEFT(Berekening!R40,1)&lt;RIGHT(Berekening!R40,1),$C293,"gelijkspel"))</f>
        <v>gelijkspel</v>
      </c>
      <c r="S293" s="166" t="str">
        <f>IF(LEFT(Berekening!S40,1)&gt;RIGHT(Berekening!S40,1),$A293,IF(LEFT(Berekening!S40,1)&lt;RIGHT(Berekening!S40,1),$C293,"gelijkspel"))</f>
        <v>Schotland</v>
      </c>
      <c r="T293" s="166" t="str">
        <f>IF(LEFT(Berekening!T40,1)&gt;RIGHT(Berekening!T40,1),$A293,IF(LEFT(Berekening!T40,1)&lt;RIGHT(Berekening!T40,1),$C293,"gelijkspel"))</f>
        <v>Hongarije</v>
      </c>
      <c r="U293" s="166" t="str">
        <f>IF(LEFT(Berekening!U40,1)&gt;RIGHT(Berekening!U40,1),$A293,IF(LEFT(Berekening!U40,1)&lt;RIGHT(Berekening!U40,1),$C293,"gelijkspel"))</f>
        <v>gelijkspel</v>
      </c>
      <c r="V293" s="166" t="str">
        <f>IF(LEFT(Berekening!V40,1)&gt;RIGHT(Berekening!V40,1),$A293,IF(LEFT(Berekening!V40,1)&lt;RIGHT(Berekening!V40,1),$C293,"gelijkspel"))</f>
        <v>gelijkspel</v>
      </c>
      <c r="W293" s="166" t="str">
        <f>IF(LEFT(Berekening!W40,1)&gt;RIGHT(Berekening!W40,1),$A293,IF(LEFT(Berekening!W40,1)&lt;RIGHT(Berekening!W40,1),$C293,"gelijkspel"))</f>
        <v>gelijkspel</v>
      </c>
      <c r="X293" s="166" t="str">
        <f>IF(LEFT(Berekening!X40,1)&gt;RIGHT(Berekening!X40,1),$A293,IF(LEFT(Berekening!X40,1)&lt;RIGHT(Berekening!X40,1),$C293,"gelijkspel"))</f>
        <v>gelijkspel</v>
      </c>
      <c r="Y293" s="166" t="str">
        <f>IF(LEFT(Berekening!Y40,1)&gt;RIGHT(Berekening!Y40,1),$A293,IF(LEFT(Berekening!Y40,1)&lt;RIGHT(Berekening!Y40,1),$C293,"gelijkspel"))</f>
        <v>gelijkspel</v>
      </c>
      <c r="Z293" s="166" t="str">
        <f>IF(LEFT(Berekening!Z40,1)&gt;RIGHT(Berekening!Z40,1),$A293,IF(LEFT(Berekening!Z40,1)&lt;RIGHT(Berekening!Z40,1),$C293,"gelijkspel"))</f>
        <v>gelijkspel</v>
      </c>
      <c r="AA293" s="166" t="str">
        <f>IF(LEFT(Berekening!AA40,1)&gt;RIGHT(Berekening!AA40,1),$A293,IF(LEFT(Berekening!AA40,1)&lt;RIGHT(Berekening!AA40,1),$C293,"gelijkspel"))</f>
        <v>gelijkspel</v>
      </c>
      <c r="AB293" s="166" t="str">
        <f>IF(LEFT(Berekening!AB40,1)&gt;RIGHT(Berekening!AB40,1),$A293,IF(LEFT(Berekening!AB40,1)&lt;RIGHT(Berekening!AB40,1),$C293,"gelijkspel"))</f>
        <v>gelijkspel</v>
      </c>
      <c r="AC293" s="166" t="str">
        <f>IF(LEFT(Berekening!AC40,1)&gt;RIGHT(Berekening!AC40,1),$A293,IF(LEFT(Berekening!AC40,1)&lt;RIGHT(Berekening!AC40,1),$C293,"gelijkspel"))</f>
        <v>gelijkspel</v>
      </c>
      <c r="AD293" s="166" t="str">
        <f>IF(LEFT(Berekening!AD40,1)&gt;RIGHT(Berekening!AD40,1),$A293,IF(LEFT(Berekening!AD40,1)&lt;RIGHT(Berekening!AD40,1),$C293,"gelijkspel"))</f>
        <v>gelijkspel</v>
      </c>
      <c r="AE293" s="166" t="str">
        <f>IF(LEFT(Berekening!AE40,1)&gt;RIGHT(Berekening!AE40,1),$A293,IF(LEFT(Berekening!AE40,1)&lt;RIGHT(Berekening!AE40,1),$C293,"gelijkspel"))</f>
        <v>gelijkspel</v>
      </c>
      <c r="AF293" s="166" t="str">
        <f>IF(LEFT(Berekening!AF40,1)&gt;RIGHT(Berekening!AF40,1),$A293,IF(LEFT(Berekening!AF40,1)&lt;RIGHT(Berekening!AF40,1),$C293,"gelijkspel"))</f>
        <v>gelijkspel</v>
      </c>
      <c r="AG293" s="166" t="str">
        <f>IF(LEFT(Berekening!AG40,1)&gt;RIGHT(Berekening!AG40,1),$A293,IF(LEFT(Berekening!AG40,1)&lt;RIGHT(Berekening!AG40,1),$C293,"gelijkspel"))</f>
        <v>gelijkspel</v>
      </c>
      <c r="AH293" s="166" t="str">
        <f>IF(LEFT(Berekening!AH40,1)&gt;RIGHT(Berekening!AH40,1),$A293,IF(LEFT(Berekening!AH40,1)&lt;RIGHT(Berekening!AH40,1),$C293,"gelijkspel"))</f>
        <v>gelijkspel</v>
      </c>
      <c r="AI293" s="166" t="str">
        <f>IF(LEFT(Berekening!AI40,1)&gt;RIGHT(Berekening!AI40,1),$A293,IF(LEFT(Berekening!AI40,1)&lt;RIGHT(Berekening!AI40,1),$C293,"gelijkspel"))</f>
        <v>gelijkspel</v>
      </c>
      <c r="AJ293" s="166" t="str">
        <f>IF(LEFT(Berekening!AJ40,1)&gt;RIGHT(Berekening!AJ40,1),$A293,IF(LEFT(Berekening!AJ40,1)&lt;RIGHT(Berekening!AJ40,1),$C293,"gelijkspel"))</f>
        <v>gelijkspel</v>
      </c>
      <c r="AK293" s="166" t="str">
        <f>IF(LEFT(Berekening!AK40,1)&gt;RIGHT(Berekening!AK40,1),$A293,IF(LEFT(Berekening!AK40,1)&lt;RIGHT(Berekening!AK40,1),$C293,"gelijkspel"))</f>
        <v>gelijkspel</v>
      </c>
      <c r="AL293" s="166" t="str">
        <f>IF(LEFT(Berekening!AL40,1)&gt;RIGHT(Berekening!AL40,1),$A293,IF(LEFT(Berekening!AL40,1)&lt;RIGHT(Berekening!AL40,1),$C293,"gelijkspel"))</f>
        <v>gelijkspel</v>
      </c>
      <c r="AM293" s="166" t="str">
        <f>IF(LEFT(Berekening!AM40,1)&gt;RIGHT(Berekening!AM40,1),$A293,IF(LEFT(Berekening!AM40,1)&lt;RIGHT(Berekening!AM40,1),$C293,"gelijkspel"))</f>
        <v>gelijkspel</v>
      </c>
      <c r="AN293" s="166" t="str">
        <f>IF(LEFT(Berekening!AN40,1)&gt;RIGHT(Berekening!AN40,1),$A293,IF(LEFT(Berekening!AN40,1)&lt;RIGHT(Berekening!AN40,1),$C293,"gelijkspel"))</f>
        <v>gelijkspel</v>
      </c>
      <c r="AO293" s="166" t="str">
        <f>IF(LEFT(Berekening!AO40,1)&gt;RIGHT(Berekening!AO40,1),$A293,IF(LEFT(Berekening!AO40,1)&lt;RIGHT(Berekening!AO40,1),$C293,"gelijkspel"))</f>
        <v>gelijkspel</v>
      </c>
      <c r="AP293" s="166" t="str">
        <f>IF(LEFT(Berekening!AP40,1)&gt;RIGHT(Berekening!AP40,1),$A293,IF(LEFT(Berekening!AP40,1)&lt;RIGHT(Berekening!AP40,1),$C293,"gelijkspel"))</f>
        <v>gelijkspel</v>
      </c>
      <c r="AQ293" s="166" t="str">
        <f>IF(LEFT(Berekening!AQ40,1)&gt;RIGHT(Berekening!AQ40,1),$A293,IF(LEFT(Berekening!AQ40,1)&lt;RIGHT(Berekening!AQ40,1),$C293,"gelijkspel"))</f>
        <v>gelijkspel</v>
      </c>
      <c r="AR293" s="166" t="str">
        <f>IF(LEFT(Berekening!AR40,1)&gt;RIGHT(Berekening!AR40,1),$A293,IF(LEFT(Berekening!AR40,1)&lt;RIGHT(Berekening!AR40,1),$C293,"gelijkspel"))</f>
        <v>gelijkspel</v>
      </c>
      <c r="AS293" s="166" t="str">
        <f>IF(LEFT(Berekening!AS40,1)&gt;RIGHT(Berekening!AS40,1),$A293,IF(LEFT(Berekening!AS40,1)&lt;RIGHT(Berekening!AS40,1),$C293,"gelijkspel"))</f>
        <v>gelijkspel</v>
      </c>
      <c r="AT293" s="166" t="str">
        <f>IF(LEFT(Berekening!AT40,1)&gt;RIGHT(Berekening!AT40,1),$A293,IF(LEFT(Berekening!AT40,1)&lt;RIGHT(Berekening!AT40,1),$C293,"gelijkspel"))</f>
        <v>gelijkspel</v>
      </c>
    </row>
    <row r="294" spans="1:46" s="161" customFormat="1" ht="15">
      <c r="A294" s="163" t="s">
        <v>1016</v>
      </c>
      <c r="B294" s="164" t="s">
        <v>2971</v>
      </c>
      <c r="C294" s="165" t="s">
        <v>1077</v>
      </c>
      <c r="E294" s="166" t="str">
        <f>IF(LEFT(Berekening!E41,1)&gt;RIGHT(Berekening!E41,1),$A294,IF(LEFT(Berekening!E41,1)&lt;RIGHT(Berekening!E41,1),$C294,"gelijkspel"))</f>
        <v>Spanje</v>
      </c>
      <c r="F294" s="166" t="str">
        <f>IF(LEFT(Berekening!F41,1)&gt;RIGHT(Berekening!F41,1),$A294,IF(LEFT(Berekening!F41,1)&lt;RIGHT(Berekening!F41,1),$C294,"gelijkspel"))</f>
        <v>Spanje</v>
      </c>
      <c r="G294" s="166" t="str">
        <f>IF(LEFT(Berekening!G41,1)&gt;RIGHT(Berekening!G41,1),$A294,IF(LEFT(Berekening!G41,1)&lt;RIGHT(Berekening!G41,1),$C294,"gelijkspel"))</f>
        <v>Spanje</v>
      </c>
      <c r="H294" s="166" t="str">
        <f>IF(LEFT(Berekening!H41,1)&gt;RIGHT(Berekening!H41,1),$A294,IF(LEFT(Berekening!H41,1)&lt;RIGHT(Berekening!H41,1),$C294,"gelijkspel"))</f>
        <v>Spanje</v>
      </c>
      <c r="I294" s="166" t="str">
        <f>IF(LEFT(Berekening!I41,1)&gt;RIGHT(Berekening!I41,1),$A294,IF(LEFT(Berekening!I41,1)&lt;RIGHT(Berekening!I41,1),$C294,"gelijkspel"))</f>
        <v>Spanje</v>
      </c>
      <c r="J294" s="166" t="str">
        <f>IF(LEFT(Berekening!J41,1)&gt;RIGHT(Berekening!J41,1),$A294,IF(LEFT(Berekening!J41,1)&lt;RIGHT(Berekening!J41,1),$C294,"gelijkspel"))</f>
        <v>Spanje</v>
      </c>
      <c r="K294" s="166" t="str">
        <f>IF(LEFT(Berekening!K41,1)&gt;RIGHT(Berekening!K41,1),$A294,IF(LEFT(Berekening!K41,1)&lt;RIGHT(Berekening!K41,1),$C294,"gelijkspel"))</f>
        <v>Spanje</v>
      </c>
      <c r="L294" s="166" t="str">
        <f>IF(LEFT(Berekening!L41,1)&gt;RIGHT(Berekening!L41,1),$A294,IF(LEFT(Berekening!L41,1)&lt;RIGHT(Berekening!L41,1),$C294,"gelijkspel"))</f>
        <v>Spanje</v>
      </c>
      <c r="M294" s="166" t="str">
        <f>IF(LEFT(Berekening!M41,1)&gt;RIGHT(Berekening!M41,1),$A294,IF(LEFT(Berekening!M41,1)&lt;RIGHT(Berekening!M41,1),$C294,"gelijkspel"))</f>
        <v>Spanje</v>
      </c>
      <c r="N294" s="166" t="str">
        <f>IF(LEFT(Berekening!N41,1)&gt;RIGHT(Berekening!N41,1),$A294,IF(LEFT(Berekening!N41,1)&lt;RIGHT(Berekening!N41,1),$C294,"gelijkspel"))</f>
        <v>Spanje</v>
      </c>
      <c r="O294" s="166" t="str">
        <f>IF(LEFT(Berekening!O41,1)&gt;RIGHT(Berekening!O41,1),$A294,IF(LEFT(Berekening!O41,1)&lt;RIGHT(Berekening!O41,1),$C294,"gelijkspel"))</f>
        <v>Spanje</v>
      </c>
      <c r="P294" s="166" t="str">
        <f>IF(LEFT(Berekening!P41,1)&gt;RIGHT(Berekening!P41,1),$A294,IF(LEFT(Berekening!P41,1)&lt;RIGHT(Berekening!P41,1),$C294,"gelijkspel"))</f>
        <v>Spanje</v>
      </c>
      <c r="Q294" s="166" t="str">
        <f>IF(LEFT(Berekening!Q41,1)&gt;RIGHT(Berekening!Q41,1),$A294,IF(LEFT(Berekening!Q41,1)&lt;RIGHT(Berekening!Q41,1),$C294,"gelijkspel"))</f>
        <v>Spanje</v>
      </c>
      <c r="R294" s="166" t="str">
        <f>IF(LEFT(Berekening!R41,1)&gt;RIGHT(Berekening!R41,1),$A294,IF(LEFT(Berekening!R41,1)&lt;RIGHT(Berekening!R41,1),$C294,"gelijkspel"))</f>
        <v>Spanje</v>
      </c>
      <c r="S294" s="166" t="str">
        <f>IF(LEFT(Berekening!S41,1)&gt;RIGHT(Berekening!S41,1),$A294,IF(LEFT(Berekening!S41,1)&lt;RIGHT(Berekening!S41,1),$C294,"gelijkspel"))</f>
        <v>Spanje</v>
      </c>
      <c r="T294" s="166" t="str">
        <f>IF(LEFT(Berekening!T41,1)&gt;RIGHT(Berekening!T41,1),$A294,IF(LEFT(Berekening!T41,1)&lt;RIGHT(Berekening!T41,1),$C294,"gelijkspel"))</f>
        <v>Spanje</v>
      </c>
      <c r="U294" s="166" t="str">
        <f>IF(LEFT(Berekening!U41,1)&gt;RIGHT(Berekening!U41,1),$A294,IF(LEFT(Berekening!U41,1)&lt;RIGHT(Berekening!U41,1),$C294,"gelijkspel"))</f>
        <v>gelijkspel</v>
      </c>
      <c r="V294" s="166" t="str">
        <f>IF(LEFT(Berekening!V41,1)&gt;RIGHT(Berekening!V41,1),$A294,IF(LEFT(Berekening!V41,1)&lt;RIGHT(Berekening!V41,1),$C294,"gelijkspel"))</f>
        <v>gelijkspel</v>
      </c>
      <c r="W294" s="166" t="str">
        <f>IF(LEFT(Berekening!W41,1)&gt;RIGHT(Berekening!W41,1),$A294,IF(LEFT(Berekening!W41,1)&lt;RIGHT(Berekening!W41,1),$C294,"gelijkspel"))</f>
        <v>gelijkspel</v>
      </c>
      <c r="X294" s="166" t="str">
        <f>IF(LEFT(Berekening!X41,1)&gt;RIGHT(Berekening!X41,1),$A294,IF(LEFT(Berekening!X41,1)&lt;RIGHT(Berekening!X41,1),$C294,"gelijkspel"))</f>
        <v>gelijkspel</v>
      </c>
      <c r="Y294" s="166" t="str">
        <f>IF(LEFT(Berekening!Y41,1)&gt;RIGHT(Berekening!Y41,1),$A294,IF(LEFT(Berekening!Y41,1)&lt;RIGHT(Berekening!Y41,1),$C294,"gelijkspel"))</f>
        <v>gelijkspel</v>
      </c>
      <c r="Z294" s="166" t="str">
        <f>IF(LEFT(Berekening!Z41,1)&gt;RIGHT(Berekening!Z41,1),$A294,IF(LEFT(Berekening!Z41,1)&lt;RIGHT(Berekening!Z41,1),$C294,"gelijkspel"))</f>
        <v>gelijkspel</v>
      </c>
      <c r="AA294" s="166" t="str">
        <f>IF(LEFT(Berekening!AA41,1)&gt;RIGHT(Berekening!AA41,1),$A294,IF(LEFT(Berekening!AA41,1)&lt;RIGHT(Berekening!AA41,1),$C294,"gelijkspel"))</f>
        <v>gelijkspel</v>
      </c>
      <c r="AB294" s="166" t="str">
        <f>IF(LEFT(Berekening!AB41,1)&gt;RIGHT(Berekening!AB41,1),$A294,IF(LEFT(Berekening!AB41,1)&lt;RIGHT(Berekening!AB41,1),$C294,"gelijkspel"))</f>
        <v>gelijkspel</v>
      </c>
      <c r="AC294" s="166" t="str">
        <f>IF(LEFT(Berekening!AC41,1)&gt;RIGHT(Berekening!AC41,1),$A294,IF(LEFT(Berekening!AC41,1)&lt;RIGHT(Berekening!AC41,1),$C294,"gelijkspel"))</f>
        <v>gelijkspel</v>
      </c>
      <c r="AD294" s="166" t="str">
        <f>IF(LEFT(Berekening!AD41,1)&gt;RIGHT(Berekening!AD41,1),$A294,IF(LEFT(Berekening!AD41,1)&lt;RIGHT(Berekening!AD41,1),$C294,"gelijkspel"))</f>
        <v>gelijkspel</v>
      </c>
      <c r="AE294" s="166" t="str">
        <f>IF(LEFT(Berekening!AE41,1)&gt;RIGHT(Berekening!AE41,1),$A294,IF(LEFT(Berekening!AE41,1)&lt;RIGHT(Berekening!AE41,1),$C294,"gelijkspel"))</f>
        <v>gelijkspel</v>
      </c>
      <c r="AF294" s="166" t="str">
        <f>IF(LEFT(Berekening!AF41,1)&gt;RIGHT(Berekening!AF41,1),$A294,IF(LEFT(Berekening!AF41,1)&lt;RIGHT(Berekening!AF41,1),$C294,"gelijkspel"))</f>
        <v>gelijkspel</v>
      </c>
      <c r="AG294" s="166" t="str">
        <f>IF(LEFT(Berekening!AG41,1)&gt;RIGHT(Berekening!AG41,1),$A294,IF(LEFT(Berekening!AG41,1)&lt;RIGHT(Berekening!AG41,1),$C294,"gelijkspel"))</f>
        <v>gelijkspel</v>
      </c>
      <c r="AH294" s="166" t="str">
        <f>IF(LEFT(Berekening!AH41,1)&gt;RIGHT(Berekening!AH41,1),$A294,IF(LEFT(Berekening!AH41,1)&lt;RIGHT(Berekening!AH41,1),$C294,"gelijkspel"))</f>
        <v>gelijkspel</v>
      </c>
      <c r="AI294" s="166" t="str">
        <f>IF(LEFT(Berekening!AI41,1)&gt;RIGHT(Berekening!AI41,1),$A294,IF(LEFT(Berekening!AI41,1)&lt;RIGHT(Berekening!AI41,1),$C294,"gelijkspel"))</f>
        <v>gelijkspel</v>
      </c>
      <c r="AJ294" s="166" t="str">
        <f>IF(LEFT(Berekening!AJ41,1)&gt;RIGHT(Berekening!AJ41,1),$A294,IF(LEFT(Berekening!AJ41,1)&lt;RIGHT(Berekening!AJ41,1),$C294,"gelijkspel"))</f>
        <v>gelijkspel</v>
      </c>
      <c r="AK294" s="166" t="str">
        <f>IF(LEFT(Berekening!AK41,1)&gt;RIGHT(Berekening!AK41,1),$A294,IF(LEFT(Berekening!AK41,1)&lt;RIGHT(Berekening!AK41,1),$C294,"gelijkspel"))</f>
        <v>gelijkspel</v>
      </c>
      <c r="AL294" s="166" t="str">
        <f>IF(LEFT(Berekening!AL41,1)&gt;RIGHT(Berekening!AL41,1),$A294,IF(LEFT(Berekening!AL41,1)&lt;RIGHT(Berekening!AL41,1),$C294,"gelijkspel"))</f>
        <v>gelijkspel</v>
      </c>
      <c r="AM294" s="166" t="str">
        <f>IF(LEFT(Berekening!AM41,1)&gt;RIGHT(Berekening!AM41,1),$A294,IF(LEFT(Berekening!AM41,1)&lt;RIGHT(Berekening!AM41,1),$C294,"gelijkspel"))</f>
        <v>gelijkspel</v>
      </c>
      <c r="AN294" s="166" t="str">
        <f>IF(LEFT(Berekening!AN41,1)&gt;RIGHT(Berekening!AN41,1),$A294,IF(LEFT(Berekening!AN41,1)&lt;RIGHT(Berekening!AN41,1),$C294,"gelijkspel"))</f>
        <v>gelijkspel</v>
      </c>
      <c r="AO294" s="166" t="str">
        <f>IF(LEFT(Berekening!AO41,1)&gt;RIGHT(Berekening!AO41,1),$A294,IF(LEFT(Berekening!AO41,1)&lt;RIGHT(Berekening!AO41,1),$C294,"gelijkspel"))</f>
        <v>gelijkspel</v>
      </c>
      <c r="AP294" s="166" t="str">
        <f>IF(LEFT(Berekening!AP41,1)&gt;RIGHT(Berekening!AP41,1),$A294,IF(LEFT(Berekening!AP41,1)&lt;RIGHT(Berekening!AP41,1),$C294,"gelijkspel"))</f>
        <v>gelijkspel</v>
      </c>
      <c r="AQ294" s="166" t="str">
        <f>IF(LEFT(Berekening!AQ41,1)&gt;RIGHT(Berekening!AQ41,1),$A294,IF(LEFT(Berekening!AQ41,1)&lt;RIGHT(Berekening!AQ41,1),$C294,"gelijkspel"))</f>
        <v>gelijkspel</v>
      </c>
      <c r="AR294" s="166" t="str">
        <f>IF(LEFT(Berekening!AR41,1)&gt;RIGHT(Berekening!AR41,1),$A294,IF(LEFT(Berekening!AR41,1)&lt;RIGHT(Berekening!AR41,1),$C294,"gelijkspel"))</f>
        <v>gelijkspel</v>
      </c>
      <c r="AS294" s="166" t="str">
        <f>IF(LEFT(Berekening!AS41,1)&gt;RIGHT(Berekening!AS41,1),$A294,IF(LEFT(Berekening!AS41,1)&lt;RIGHT(Berekening!AS41,1),$C294,"gelijkspel"))</f>
        <v>gelijkspel</v>
      </c>
      <c r="AT294" s="166" t="str">
        <f>IF(LEFT(Berekening!AT41,1)&gt;RIGHT(Berekening!AT41,1),$A294,IF(LEFT(Berekening!AT41,1)&lt;RIGHT(Berekening!AT41,1),$C294,"gelijkspel"))</f>
        <v>gelijkspel</v>
      </c>
    </row>
    <row r="295" spans="1:46" s="161" customFormat="1" ht="15">
      <c r="A295" s="163" t="s">
        <v>1533</v>
      </c>
      <c r="B295" s="164" t="s">
        <v>2971</v>
      </c>
      <c r="C295" s="165" t="s">
        <v>1113</v>
      </c>
      <c r="E295" s="166" t="str">
        <f>IF(LEFT(Berekening!E42,1)&gt;RIGHT(Berekening!E42,1),$A295,IF(LEFT(Berekening!E42,1)&lt;RIGHT(Berekening!E42,1),$C295,"gelijkspel"))</f>
        <v>gelijkspel</v>
      </c>
      <c r="F295" s="166" t="str">
        <f>IF(LEFT(Berekening!F42,1)&gt;RIGHT(Berekening!F42,1),$A295,IF(LEFT(Berekening!F42,1)&lt;RIGHT(Berekening!F42,1),$C295,"gelijkspel"))</f>
        <v>Italië</v>
      </c>
      <c r="G295" s="166" t="str">
        <f>IF(LEFT(Berekening!G42,1)&gt;RIGHT(Berekening!G42,1),$A295,IF(LEFT(Berekening!G42,1)&lt;RIGHT(Berekening!G42,1),$C295,"gelijkspel"))</f>
        <v>Kroatië</v>
      </c>
      <c r="H295" s="166" t="str">
        <f>IF(LEFT(Berekening!H42,1)&gt;RIGHT(Berekening!H42,1),$A295,IF(LEFT(Berekening!H42,1)&lt;RIGHT(Berekening!H42,1),$C295,"gelijkspel"))</f>
        <v>gelijkspel</v>
      </c>
      <c r="I295" s="166" t="str">
        <f>IF(LEFT(Berekening!I42,1)&gt;RIGHT(Berekening!I42,1),$A295,IF(LEFT(Berekening!I42,1)&lt;RIGHT(Berekening!I42,1),$C295,"gelijkspel"))</f>
        <v>gelijkspel</v>
      </c>
      <c r="J295" s="166" t="str">
        <f>IF(LEFT(Berekening!J42,1)&gt;RIGHT(Berekening!J42,1),$A295,IF(LEFT(Berekening!J42,1)&lt;RIGHT(Berekening!J42,1),$C295,"gelijkspel"))</f>
        <v>Kroatië</v>
      </c>
      <c r="K295" s="166" t="str">
        <f>IF(LEFT(Berekening!K42,1)&gt;RIGHT(Berekening!K42,1),$A295,IF(LEFT(Berekening!K42,1)&lt;RIGHT(Berekening!K42,1),$C295,"gelijkspel"))</f>
        <v>gelijkspel</v>
      </c>
      <c r="L295" s="166" t="str">
        <f>IF(LEFT(Berekening!L42,1)&gt;RIGHT(Berekening!L42,1),$A295,IF(LEFT(Berekening!L42,1)&lt;RIGHT(Berekening!L42,1),$C295,"gelijkspel"))</f>
        <v>Kroatië</v>
      </c>
      <c r="M295" s="166" t="str">
        <f>IF(LEFT(Berekening!M42,1)&gt;RIGHT(Berekening!M42,1),$A295,IF(LEFT(Berekening!M42,1)&lt;RIGHT(Berekening!M42,1),$C295,"gelijkspel"))</f>
        <v>gelijkspel</v>
      </c>
      <c r="N295" s="166" t="str">
        <f>IF(LEFT(Berekening!N42,1)&gt;RIGHT(Berekening!N42,1),$A295,IF(LEFT(Berekening!N42,1)&lt;RIGHT(Berekening!N42,1),$C295,"gelijkspel"))</f>
        <v>gelijkspel</v>
      </c>
      <c r="O295" s="166" t="str">
        <f>IF(LEFT(Berekening!O42,1)&gt;RIGHT(Berekening!O42,1),$A295,IF(LEFT(Berekening!O42,1)&lt;RIGHT(Berekening!O42,1),$C295,"gelijkspel"))</f>
        <v>Italië</v>
      </c>
      <c r="P295" s="166" t="str">
        <f>IF(LEFT(Berekening!P42,1)&gt;RIGHT(Berekening!P42,1),$A295,IF(LEFT(Berekening!P42,1)&lt;RIGHT(Berekening!P42,1),$C295,"gelijkspel"))</f>
        <v>Kroatië</v>
      </c>
      <c r="Q295" s="166" t="str">
        <f>IF(LEFT(Berekening!Q42,1)&gt;RIGHT(Berekening!Q42,1),$A295,IF(LEFT(Berekening!Q42,1)&lt;RIGHT(Berekening!Q42,1),$C295,"gelijkspel"))</f>
        <v>gelijkspel</v>
      </c>
      <c r="R295" s="166" t="str">
        <f>IF(LEFT(Berekening!R42,1)&gt;RIGHT(Berekening!R42,1),$A295,IF(LEFT(Berekening!R42,1)&lt;RIGHT(Berekening!R42,1),$C295,"gelijkspel"))</f>
        <v>gelijkspel</v>
      </c>
      <c r="S295" s="166" t="str">
        <f>IF(LEFT(Berekening!S42,1)&gt;RIGHT(Berekening!S42,1),$A295,IF(LEFT(Berekening!S42,1)&lt;RIGHT(Berekening!S42,1),$C295,"gelijkspel"))</f>
        <v>Kroatië</v>
      </c>
      <c r="T295" s="166" t="str">
        <f>IF(LEFT(Berekening!T42,1)&gt;RIGHT(Berekening!T42,1),$A295,IF(LEFT(Berekening!T42,1)&lt;RIGHT(Berekening!T42,1),$C295,"gelijkspel"))</f>
        <v>gelijkspel</v>
      </c>
      <c r="U295" s="166" t="str">
        <f>IF(LEFT(Berekening!U42,1)&gt;RIGHT(Berekening!U42,1),$A295,IF(LEFT(Berekening!U42,1)&lt;RIGHT(Berekening!U42,1),$C295,"gelijkspel"))</f>
        <v>gelijkspel</v>
      </c>
      <c r="V295" s="166" t="str">
        <f>IF(LEFT(Berekening!V42,1)&gt;RIGHT(Berekening!V42,1),$A295,IF(LEFT(Berekening!V42,1)&lt;RIGHT(Berekening!V42,1),$C295,"gelijkspel"))</f>
        <v>gelijkspel</v>
      </c>
      <c r="W295" s="166" t="str">
        <f>IF(LEFT(Berekening!W42,1)&gt;RIGHT(Berekening!W42,1),$A295,IF(LEFT(Berekening!W42,1)&lt;RIGHT(Berekening!W42,1),$C295,"gelijkspel"))</f>
        <v>gelijkspel</v>
      </c>
      <c r="X295" s="166" t="str">
        <f>IF(LEFT(Berekening!X42,1)&gt;RIGHT(Berekening!X42,1),$A295,IF(LEFT(Berekening!X42,1)&lt;RIGHT(Berekening!X42,1),$C295,"gelijkspel"))</f>
        <v>gelijkspel</v>
      </c>
      <c r="Y295" s="166" t="str">
        <f>IF(LEFT(Berekening!Y42,1)&gt;RIGHT(Berekening!Y42,1),$A295,IF(LEFT(Berekening!Y42,1)&lt;RIGHT(Berekening!Y42,1),$C295,"gelijkspel"))</f>
        <v>gelijkspel</v>
      </c>
      <c r="Z295" s="166" t="str">
        <f>IF(LEFT(Berekening!Z42,1)&gt;RIGHT(Berekening!Z42,1),$A295,IF(LEFT(Berekening!Z42,1)&lt;RIGHT(Berekening!Z42,1),$C295,"gelijkspel"))</f>
        <v>gelijkspel</v>
      </c>
      <c r="AA295" s="166" t="str">
        <f>IF(LEFT(Berekening!AA42,1)&gt;RIGHT(Berekening!AA42,1),$A295,IF(LEFT(Berekening!AA42,1)&lt;RIGHT(Berekening!AA42,1),$C295,"gelijkspel"))</f>
        <v>gelijkspel</v>
      </c>
      <c r="AB295" s="166" t="str">
        <f>IF(LEFT(Berekening!AB42,1)&gt;RIGHT(Berekening!AB42,1),$A295,IF(LEFT(Berekening!AB42,1)&lt;RIGHT(Berekening!AB42,1),$C295,"gelijkspel"))</f>
        <v>gelijkspel</v>
      </c>
      <c r="AC295" s="166" t="str">
        <f>IF(LEFT(Berekening!AC42,1)&gt;RIGHT(Berekening!AC42,1),$A295,IF(LEFT(Berekening!AC42,1)&lt;RIGHT(Berekening!AC42,1),$C295,"gelijkspel"))</f>
        <v>gelijkspel</v>
      </c>
      <c r="AD295" s="166" t="str">
        <f>IF(LEFT(Berekening!AD42,1)&gt;RIGHT(Berekening!AD42,1),$A295,IF(LEFT(Berekening!AD42,1)&lt;RIGHT(Berekening!AD42,1),$C295,"gelijkspel"))</f>
        <v>gelijkspel</v>
      </c>
      <c r="AE295" s="166" t="str">
        <f>IF(LEFT(Berekening!AE42,1)&gt;RIGHT(Berekening!AE42,1),$A295,IF(LEFT(Berekening!AE42,1)&lt;RIGHT(Berekening!AE42,1),$C295,"gelijkspel"))</f>
        <v>gelijkspel</v>
      </c>
      <c r="AF295" s="166" t="str">
        <f>IF(LEFT(Berekening!AF42,1)&gt;RIGHT(Berekening!AF42,1),$A295,IF(LEFT(Berekening!AF42,1)&lt;RIGHT(Berekening!AF42,1),$C295,"gelijkspel"))</f>
        <v>gelijkspel</v>
      </c>
      <c r="AG295" s="166" t="str">
        <f>IF(LEFT(Berekening!AG42,1)&gt;RIGHT(Berekening!AG42,1),$A295,IF(LEFT(Berekening!AG42,1)&lt;RIGHT(Berekening!AG42,1),$C295,"gelijkspel"))</f>
        <v>gelijkspel</v>
      </c>
      <c r="AH295" s="166" t="str">
        <f>IF(LEFT(Berekening!AH42,1)&gt;RIGHT(Berekening!AH42,1),$A295,IF(LEFT(Berekening!AH42,1)&lt;RIGHT(Berekening!AH42,1),$C295,"gelijkspel"))</f>
        <v>gelijkspel</v>
      </c>
      <c r="AI295" s="166" t="str">
        <f>IF(LEFT(Berekening!AI42,1)&gt;RIGHT(Berekening!AI42,1),$A295,IF(LEFT(Berekening!AI42,1)&lt;RIGHT(Berekening!AI42,1),$C295,"gelijkspel"))</f>
        <v>gelijkspel</v>
      </c>
      <c r="AJ295" s="166" t="str">
        <f>IF(LEFT(Berekening!AJ42,1)&gt;RIGHT(Berekening!AJ42,1),$A295,IF(LEFT(Berekening!AJ42,1)&lt;RIGHT(Berekening!AJ42,1),$C295,"gelijkspel"))</f>
        <v>gelijkspel</v>
      </c>
      <c r="AK295" s="166" t="str">
        <f>IF(LEFT(Berekening!AK42,1)&gt;RIGHT(Berekening!AK42,1),$A295,IF(LEFT(Berekening!AK42,1)&lt;RIGHT(Berekening!AK42,1),$C295,"gelijkspel"))</f>
        <v>gelijkspel</v>
      </c>
      <c r="AL295" s="166" t="str">
        <f>IF(LEFT(Berekening!AL42,1)&gt;RIGHT(Berekening!AL42,1),$A295,IF(LEFT(Berekening!AL42,1)&lt;RIGHT(Berekening!AL42,1),$C295,"gelijkspel"))</f>
        <v>gelijkspel</v>
      </c>
      <c r="AM295" s="166" t="str">
        <f>IF(LEFT(Berekening!AM42,1)&gt;RIGHT(Berekening!AM42,1),$A295,IF(LEFT(Berekening!AM42,1)&lt;RIGHT(Berekening!AM42,1),$C295,"gelijkspel"))</f>
        <v>gelijkspel</v>
      </c>
      <c r="AN295" s="166" t="str">
        <f>IF(LEFT(Berekening!AN42,1)&gt;RIGHT(Berekening!AN42,1),$A295,IF(LEFT(Berekening!AN42,1)&lt;RIGHT(Berekening!AN42,1),$C295,"gelijkspel"))</f>
        <v>gelijkspel</v>
      </c>
      <c r="AO295" s="166" t="str">
        <f>IF(LEFT(Berekening!AO42,1)&gt;RIGHT(Berekening!AO42,1),$A295,IF(LEFT(Berekening!AO42,1)&lt;RIGHT(Berekening!AO42,1),$C295,"gelijkspel"))</f>
        <v>gelijkspel</v>
      </c>
      <c r="AP295" s="166" t="str">
        <f>IF(LEFT(Berekening!AP42,1)&gt;RIGHT(Berekening!AP42,1),$A295,IF(LEFT(Berekening!AP42,1)&lt;RIGHT(Berekening!AP42,1),$C295,"gelijkspel"))</f>
        <v>gelijkspel</v>
      </c>
      <c r="AQ295" s="166" t="str">
        <f>IF(LEFT(Berekening!AQ42,1)&gt;RIGHT(Berekening!AQ42,1),$A295,IF(LEFT(Berekening!AQ42,1)&lt;RIGHT(Berekening!AQ42,1),$C295,"gelijkspel"))</f>
        <v>gelijkspel</v>
      </c>
      <c r="AR295" s="166" t="str">
        <f>IF(LEFT(Berekening!AR42,1)&gt;RIGHT(Berekening!AR42,1),$A295,IF(LEFT(Berekening!AR42,1)&lt;RIGHT(Berekening!AR42,1),$C295,"gelijkspel"))</f>
        <v>gelijkspel</v>
      </c>
      <c r="AS295" s="166" t="str">
        <f>IF(LEFT(Berekening!AS42,1)&gt;RIGHT(Berekening!AS42,1),$A295,IF(LEFT(Berekening!AS42,1)&lt;RIGHT(Berekening!AS42,1),$C295,"gelijkspel"))</f>
        <v>gelijkspel</v>
      </c>
      <c r="AT295" s="166" t="str">
        <f>IF(LEFT(Berekening!AT42,1)&gt;RIGHT(Berekening!AT42,1),$A295,IF(LEFT(Berekening!AT42,1)&lt;RIGHT(Berekening!AT42,1),$C295,"gelijkspel"))</f>
        <v>gelijkspel</v>
      </c>
    </row>
    <row r="296" spans="1:46" s="161" customFormat="1" ht="15">
      <c r="A296" s="163" t="s">
        <v>1324</v>
      </c>
      <c r="B296" s="164" t="s">
        <v>2971</v>
      </c>
      <c r="C296" s="165" t="s">
        <v>1755</v>
      </c>
      <c r="E296" s="166" t="str">
        <f>IF(LEFT(Berekening!E43,1)&gt;RIGHT(Berekening!E43,1),$A296,IF(LEFT(Berekening!E43,1)&lt;RIGHT(Berekening!E43,1),$C296,"gelijkspel"))</f>
        <v>Nederland</v>
      </c>
      <c r="F296" s="166" t="str">
        <f>IF(LEFT(Berekening!F43,1)&gt;RIGHT(Berekening!F43,1),$A296,IF(LEFT(Berekening!F43,1)&lt;RIGHT(Berekening!F43,1),$C296,"gelijkspel"))</f>
        <v>Nederland</v>
      </c>
      <c r="G296" s="166" t="str">
        <f>IF(LEFT(Berekening!G43,1)&gt;RIGHT(Berekening!G43,1),$A296,IF(LEFT(Berekening!G43,1)&lt;RIGHT(Berekening!G43,1),$C296,"gelijkspel"))</f>
        <v>Nederland</v>
      </c>
      <c r="H296" s="166" t="str">
        <f>IF(LEFT(Berekening!H43,1)&gt;RIGHT(Berekening!H43,1),$A296,IF(LEFT(Berekening!H43,1)&lt;RIGHT(Berekening!H43,1),$C296,"gelijkspel"))</f>
        <v>Nederland</v>
      </c>
      <c r="I296" s="166" t="str">
        <f>IF(LEFT(Berekening!I43,1)&gt;RIGHT(Berekening!I43,1),$A296,IF(LEFT(Berekening!I43,1)&lt;RIGHT(Berekening!I43,1),$C296,"gelijkspel"))</f>
        <v>gelijkspel</v>
      </c>
      <c r="J296" s="166" t="str">
        <f>IF(LEFT(Berekening!J43,1)&gt;RIGHT(Berekening!J43,1),$A296,IF(LEFT(Berekening!J43,1)&lt;RIGHT(Berekening!J43,1),$C296,"gelijkspel"))</f>
        <v>gelijkspel</v>
      </c>
      <c r="K296" s="166" t="str">
        <f>IF(LEFT(Berekening!K43,1)&gt;RIGHT(Berekening!K43,1),$A296,IF(LEFT(Berekening!K43,1)&lt;RIGHT(Berekening!K43,1),$C296,"gelijkspel"))</f>
        <v>Nederland</v>
      </c>
      <c r="L296" s="166" t="str">
        <f>IF(LEFT(Berekening!L43,1)&gt;RIGHT(Berekening!L43,1),$A296,IF(LEFT(Berekening!L43,1)&lt;RIGHT(Berekening!L43,1),$C296,"gelijkspel"))</f>
        <v>Oostenrijk</v>
      </c>
      <c r="M296" s="166" t="str">
        <f>IF(LEFT(Berekening!M43,1)&gt;RIGHT(Berekening!M43,1),$A296,IF(LEFT(Berekening!M43,1)&lt;RIGHT(Berekening!M43,1),$C296,"gelijkspel"))</f>
        <v>Nederland</v>
      </c>
      <c r="N296" s="166" t="str">
        <f>IF(LEFT(Berekening!N43,1)&gt;RIGHT(Berekening!N43,1),$A296,IF(LEFT(Berekening!N43,1)&lt;RIGHT(Berekening!N43,1),$C296,"gelijkspel"))</f>
        <v>Nederland</v>
      </c>
      <c r="O296" s="166" t="str">
        <f>IF(LEFT(Berekening!O43,1)&gt;RIGHT(Berekening!O43,1),$A296,IF(LEFT(Berekening!O43,1)&lt;RIGHT(Berekening!O43,1),$C296,"gelijkspel"))</f>
        <v>Nederland</v>
      </c>
      <c r="P296" s="166" t="str">
        <f>IF(LEFT(Berekening!P43,1)&gt;RIGHT(Berekening!P43,1),$A296,IF(LEFT(Berekening!P43,1)&lt;RIGHT(Berekening!P43,1),$C296,"gelijkspel"))</f>
        <v>gelijkspel</v>
      </c>
      <c r="Q296" s="166" t="str">
        <f>IF(LEFT(Berekening!Q43,1)&gt;RIGHT(Berekening!Q43,1),$A296,IF(LEFT(Berekening!Q43,1)&lt;RIGHT(Berekening!Q43,1),$C296,"gelijkspel"))</f>
        <v>gelijkspel</v>
      </c>
      <c r="R296" s="166" t="str">
        <f>IF(LEFT(Berekening!R43,1)&gt;RIGHT(Berekening!R43,1),$A296,IF(LEFT(Berekening!R43,1)&lt;RIGHT(Berekening!R43,1),$C296,"gelijkspel"))</f>
        <v>Nederland</v>
      </c>
      <c r="S296" s="166" t="str">
        <f>IF(LEFT(Berekening!S43,1)&gt;RIGHT(Berekening!S43,1),$A296,IF(LEFT(Berekening!S43,1)&lt;RIGHT(Berekening!S43,1),$C296,"gelijkspel"))</f>
        <v>Nederland</v>
      </c>
      <c r="T296" s="166" t="str">
        <f>IF(LEFT(Berekening!T43,1)&gt;RIGHT(Berekening!T43,1),$A296,IF(LEFT(Berekening!T43,1)&lt;RIGHT(Berekening!T43,1),$C296,"gelijkspel"))</f>
        <v>gelijkspel</v>
      </c>
      <c r="U296" s="166" t="str">
        <f>IF(LEFT(Berekening!U43,1)&gt;RIGHT(Berekening!U43,1),$A296,IF(LEFT(Berekening!U43,1)&lt;RIGHT(Berekening!U43,1),$C296,"gelijkspel"))</f>
        <v>gelijkspel</v>
      </c>
      <c r="V296" s="166" t="str">
        <f>IF(LEFT(Berekening!V43,1)&gt;RIGHT(Berekening!V43,1),$A296,IF(LEFT(Berekening!V43,1)&lt;RIGHT(Berekening!V43,1),$C296,"gelijkspel"))</f>
        <v>gelijkspel</v>
      </c>
      <c r="W296" s="166" t="str">
        <f>IF(LEFT(Berekening!W43,1)&gt;RIGHT(Berekening!W43,1),$A296,IF(LEFT(Berekening!W43,1)&lt;RIGHT(Berekening!W43,1),$C296,"gelijkspel"))</f>
        <v>gelijkspel</v>
      </c>
      <c r="X296" s="166" t="str">
        <f>IF(LEFT(Berekening!X43,1)&gt;RIGHT(Berekening!X43,1),$A296,IF(LEFT(Berekening!X43,1)&lt;RIGHT(Berekening!X43,1),$C296,"gelijkspel"))</f>
        <v>gelijkspel</v>
      </c>
      <c r="Y296" s="166" t="str">
        <f>IF(LEFT(Berekening!Y43,1)&gt;RIGHT(Berekening!Y43,1),$A296,IF(LEFT(Berekening!Y43,1)&lt;RIGHT(Berekening!Y43,1),$C296,"gelijkspel"))</f>
        <v>gelijkspel</v>
      </c>
      <c r="Z296" s="166" t="str">
        <f>IF(LEFT(Berekening!Z43,1)&gt;RIGHT(Berekening!Z43,1),$A296,IF(LEFT(Berekening!Z43,1)&lt;RIGHT(Berekening!Z43,1),$C296,"gelijkspel"))</f>
        <v>gelijkspel</v>
      </c>
      <c r="AA296" s="166" t="str">
        <f>IF(LEFT(Berekening!AA43,1)&gt;RIGHT(Berekening!AA43,1),$A296,IF(LEFT(Berekening!AA43,1)&lt;RIGHT(Berekening!AA43,1),$C296,"gelijkspel"))</f>
        <v>gelijkspel</v>
      </c>
      <c r="AB296" s="166" t="str">
        <f>IF(LEFT(Berekening!AB43,1)&gt;RIGHT(Berekening!AB43,1),$A296,IF(LEFT(Berekening!AB43,1)&lt;RIGHT(Berekening!AB43,1),$C296,"gelijkspel"))</f>
        <v>gelijkspel</v>
      </c>
      <c r="AC296" s="166" t="str">
        <f>IF(LEFT(Berekening!AC43,1)&gt;RIGHT(Berekening!AC43,1),$A296,IF(LEFT(Berekening!AC43,1)&lt;RIGHT(Berekening!AC43,1),$C296,"gelijkspel"))</f>
        <v>gelijkspel</v>
      </c>
      <c r="AD296" s="166" t="str">
        <f>IF(LEFT(Berekening!AD43,1)&gt;RIGHT(Berekening!AD43,1),$A296,IF(LEFT(Berekening!AD43,1)&lt;RIGHT(Berekening!AD43,1),$C296,"gelijkspel"))</f>
        <v>gelijkspel</v>
      </c>
      <c r="AE296" s="166" t="str">
        <f>IF(LEFT(Berekening!AE43,1)&gt;RIGHT(Berekening!AE43,1),$A296,IF(LEFT(Berekening!AE43,1)&lt;RIGHT(Berekening!AE43,1),$C296,"gelijkspel"))</f>
        <v>gelijkspel</v>
      </c>
      <c r="AF296" s="166" t="str">
        <f>IF(LEFT(Berekening!AF43,1)&gt;RIGHT(Berekening!AF43,1),$A296,IF(LEFT(Berekening!AF43,1)&lt;RIGHT(Berekening!AF43,1),$C296,"gelijkspel"))</f>
        <v>gelijkspel</v>
      </c>
      <c r="AG296" s="166" t="str">
        <f>IF(LEFT(Berekening!AG43,1)&gt;RIGHT(Berekening!AG43,1),$A296,IF(LEFT(Berekening!AG43,1)&lt;RIGHT(Berekening!AG43,1),$C296,"gelijkspel"))</f>
        <v>gelijkspel</v>
      </c>
      <c r="AH296" s="166" t="str">
        <f>IF(LEFT(Berekening!AH43,1)&gt;RIGHT(Berekening!AH43,1),$A296,IF(LEFT(Berekening!AH43,1)&lt;RIGHT(Berekening!AH43,1),$C296,"gelijkspel"))</f>
        <v>gelijkspel</v>
      </c>
      <c r="AI296" s="166" t="str">
        <f>IF(LEFT(Berekening!AI43,1)&gt;RIGHT(Berekening!AI43,1),$A296,IF(LEFT(Berekening!AI43,1)&lt;RIGHT(Berekening!AI43,1),$C296,"gelijkspel"))</f>
        <v>gelijkspel</v>
      </c>
      <c r="AJ296" s="166" t="str">
        <f>IF(LEFT(Berekening!AJ43,1)&gt;RIGHT(Berekening!AJ43,1),$A296,IF(LEFT(Berekening!AJ43,1)&lt;RIGHT(Berekening!AJ43,1),$C296,"gelijkspel"))</f>
        <v>gelijkspel</v>
      </c>
      <c r="AK296" s="166" t="str">
        <f>IF(LEFT(Berekening!AK43,1)&gt;RIGHT(Berekening!AK43,1),$A296,IF(LEFT(Berekening!AK43,1)&lt;RIGHT(Berekening!AK43,1),$C296,"gelijkspel"))</f>
        <v>gelijkspel</v>
      </c>
      <c r="AL296" s="166" t="str">
        <f>IF(LEFT(Berekening!AL43,1)&gt;RIGHT(Berekening!AL43,1),$A296,IF(LEFT(Berekening!AL43,1)&lt;RIGHT(Berekening!AL43,1),$C296,"gelijkspel"))</f>
        <v>gelijkspel</v>
      </c>
      <c r="AM296" s="166" t="str">
        <f>IF(LEFT(Berekening!AM43,1)&gt;RIGHT(Berekening!AM43,1),$A296,IF(LEFT(Berekening!AM43,1)&lt;RIGHT(Berekening!AM43,1),$C296,"gelijkspel"))</f>
        <v>gelijkspel</v>
      </c>
      <c r="AN296" s="166" t="str">
        <f>IF(LEFT(Berekening!AN43,1)&gt;RIGHT(Berekening!AN43,1),$A296,IF(LEFT(Berekening!AN43,1)&lt;RIGHT(Berekening!AN43,1),$C296,"gelijkspel"))</f>
        <v>gelijkspel</v>
      </c>
      <c r="AO296" s="166" t="str">
        <f>IF(LEFT(Berekening!AO43,1)&gt;RIGHT(Berekening!AO43,1),$A296,IF(LEFT(Berekening!AO43,1)&lt;RIGHT(Berekening!AO43,1),$C296,"gelijkspel"))</f>
        <v>gelijkspel</v>
      </c>
      <c r="AP296" s="166" t="str">
        <f>IF(LEFT(Berekening!AP43,1)&gt;RIGHT(Berekening!AP43,1),$A296,IF(LEFT(Berekening!AP43,1)&lt;RIGHT(Berekening!AP43,1),$C296,"gelijkspel"))</f>
        <v>gelijkspel</v>
      </c>
      <c r="AQ296" s="166" t="str">
        <f>IF(LEFT(Berekening!AQ43,1)&gt;RIGHT(Berekening!AQ43,1),$A296,IF(LEFT(Berekening!AQ43,1)&lt;RIGHT(Berekening!AQ43,1),$C296,"gelijkspel"))</f>
        <v>gelijkspel</v>
      </c>
      <c r="AR296" s="166" t="str">
        <f>IF(LEFT(Berekening!AR43,1)&gt;RIGHT(Berekening!AR43,1),$A296,IF(LEFT(Berekening!AR43,1)&lt;RIGHT(Berekening!AR43,1),$C296,"gelijkspel"))</f>
        <v>gelijkspel</v>
      </c>
      <c r="AS296" s="166" t="str">
        <f>IF(LEFT(Berekening!AS43,1)&gt;RIGHT(Berekening!AS43,1),$A296,IF(LEFT(Berekening!AS43,1)&lt;RIGHT(Berekening!AS43,1),$C296,"gelijkspel"))</f>
        <v>gelijkspel</v>
      </c>
      <c r="AT296" s="166" t="str">
        <f>IF(LEFT(Berekening!AT43,1)&gt;RIGHT(Berekening!AT43,1),$A296,IF(LEFT(Berekening!AT43,1)&lt;RIGHT(Berekening!AT43,1),$C296,"gelijkspel"))</f>
        <v>gelijkspel</v>
      </c>
    </row>
    <row r="297" spans="1:46" s="161" customFormat="1" ht="15">
      <c r="A297" s="163" t="s">
        <v>1789</v>
      </c>
      <c r="B297" s="164" t="s">
        <v>2971</v>
      </c>
      <c r="C297" s="165" t="s">
        <v>1822</v>
      </c>
      <c r="E297" s="166" t="str">
        <f>IF(LEFT(Berekening!E44,1)&gt;RIGHT(Berekening!E44,1),$A297,IF(LEFT(Berekening!E44,1)&lt;RIGHT(Berekening!E44,1),$C297,"gelijkspel"))</f>
        <v>Frankrijk</v>
      </c>
      <c r="F297" s="166" t="str">
        <f>IF(LEFT(Berekening!F44,1)&gt;RIGHT(Berekening!F44,1),$A297,IF(LEFT(Berekening!F44,1)&lt;RIGHT(Berekening!F44,1),$C297,"gelijkspel"))</f>
        <v>Frankrijk</v>
      </c>
      <c r="G297" s="166" t="str">
        <f>IF(LEFT(Berekening!G44,1)&gt;RIGHT(Berekening!G44,1),$A297,IF(LEFT(Berekening!G44,1)&lt;RIGHT(Berekening!G44,1),$C297,"gelijkspel"))</f>
        <v>Frankrijk</v>
      </c>
      <c r="H297" s="166" t="str">
        <f>IF(LEFT(Berekening!H44,1)&gt;RIGHT(Berekening!H44,1),$A297,IF(LEFT(Berekening!H44,1)&lt;RIGHT(Berekening!H44,1),$C297,"gelijkspel"))</f>
        <v>Frankrijk</v>
      </c>
      <c r="I297" s="166" t="str">
        <f>IF(LEFT(Berekening!I44,1)&gt;RIGHT(Berekening!I44,1),$A297,IF(LEFT(Berekening!I44,1)&lt;RIGHT(Berekening!I44,1),$C297,"gelijkspel"))</f>
        <v>Frankrijk</v>
      </c>
      <c r="J297" s="166" t="str">
        <f>IF(LEFT(Berekening!J44,1)&gt;RIGHT(Berekening!J44,1),$A297,IF(LEFT(Berekening!J44,1)&lt;RIGHT(Berekening!J44,1),$C297,"gelijkspel"))</f>
        <v>Frankrijk</v>
      </c>
      <c r="K297" s="166" t="str">
        <f>IF(LEFT(Berekening!K44,1)&gt;RIGHT(Berekening!K44,1),$A297,IF(LEFT(Berekening!K44,1)&lt;RIGHT(Berekening!K44,1),$C297,"gelijkspel"))</f>
        <v>Frankrijk</v>
      </c>
      <c r="L297" s="166" t="str">
        <f>IF(LEFT(Berekening!L44,1)&gt;RIGHT(Berekening!L44,1),$A297,IF(LEFT(Berekening!L44,1)&lt;RIGHT(Berekening!L44,1),$C297,"gelijkspel"))</f>
        <v>Frankrijk</v>
      </c>
      <c r="M297" s="166" t="str">
        <f>IF(LEFT(Berekening!M44,1)&gt;RIGHT(Berekening!M44,1),$A297,IF(LEFT(Berekening!M44,1)&lt;RIGHT(Berekening!M44,1),$C297,"gelijkspel"))</f>
        <v>Frankrijk</v>
      </c>
      <c r="N297" s="166" t="str">
        <f>IF(LEFT(Berekening!N44,1)&gt;RIGHT(Berekening!N44,1),$A297,IF(LEFT(Berekening!N44,1)&lt;RIGHT(Berekening!N44,1),$C297,"gelijkspel"))</f>
        <v>Frankrijk</v>
      </c>
      <c r="O297" s="166" t="str">
        <f>IF(LEFT(Berekening!O44,1)&gt;RIGHT(Berekening!O44,1),$A297,IF(LEFT(Berekening!O44,1)&lt;RIGHT(Berekening!O44,1),$C297,"gelijkspel"))</f>
        <v>Frankrijk</v>
      </c>
      <c r="P297" s="166" t="str">
        <f>IF(LEFT(Berekening!P44,1)&gt;RIGHT(Berekening!P44,1),$A297,IF(LEFT(Berekening!P44,1)&lt;RIGHT(Berekening!P44,1),$C297,"gelijkspel"))</f>
        <v>Frankrijk</v>
      </c>
      <c r="Q297" s="166" t="str">
        <f>IF(LEFT(Berekening!Q44,1)&gt;RIGHT(Berekening!Q44,1),$A297,IF(LEFT(Berekening!Q44,1)&lt;RIGHT(Berekening!Q44,1),$C297,"gelijkspel"))</f>
        <v>Frankrijk</v>
      </c>
      <c r="R297" s="166" t="str">
        <f>IF(LEFT(Berekening!R44,1)&gt;RIGHT(Berekening!R44,1),$A297,IF(LEFT(Berekening!R44,1)&lt;RIGHT(Berekening!R44,1),$C297,"gelijkspel"))</f>
        <v>Frankrijk</v>
      </c>
      <c r="S297" s="166" t="str">
        <f>IF(LEFT(Berekening!S44,1)&gt;RIGHT(Berekening!S44,1),$A297,IF(LEFT(Berekening!S44,1)&lt;RIGHT(Berekening!S44,1),$C297,"gelijkspel"))</f>
        <v>Frankrijk</v>
      </c>
      <c r="T297" s="166" t="str">
        <f>IF(LEFT(Berekening!T44,1)&gt;RIGHT(Berekening!T44,1),$A297,IF(LEFT(Berekening!T44,1)&lt;RIGHT(Berekening!T44,1),$C297,"gelijkspel"))</f>
        <v>Frankrijk</v>
      </c>
      <c r="U297" s="166" t="str">
        <f>IF(LEFT(Berekening!U44,1)&gt;RIGHT(Berekening!U44,1),$A297,IF(LEFT(Berekening!U44,1)&lt;RIGHT(Berekening!U44,1),$C297,"gelijkspel"))</f>
        <v>gelijkspel</v>
      </c>
      <c r="V297" s="166" t="str">
        <f>IF(LEFT(Berekening!V44,1)&gt;RIGHT(Berekening!V44,1),$A297,IF(LEFT(Berekening!V44,1)&lt;RIGHT(Berekening!V44,1),$C297,"gelijkspel"))</f>
        <v>gelijkspel</v>
      </c>
      <c r="W297" s="166" t="str">
        <f>IF(LEFT(Berekening!W44,1)&gt;RIGHT(Berekening!W44,1),$A297,IF(LEFT(Berekening!W44,1)&lt;RIGHT(Berekening!W44,1),$C297,"gelijkspel"))</f>
        <v>gelijkspel</v>
      </c>
      <c r="X297" s="166" t="str">
        <f>IF(LEFT(Berekening!X44,1)&gt;RIGHT(Berekening!X44,1),$A297,IF(LEFT(Berekening!X44,1)&lt;RIGHT(Berekening!X44,1),$C297,"gelijkspel"))</f>
        <v>gelijkspel</v>
      </c>
      <c r="Y297" s="166" t="str">
        <f>IF(LEFT(Berekening!Y44,1)&gt;RIGHT(Berekening!Y44,1),$A297,IF(LEFT(Berekening!Y44,1)&lt;RIGHT(Berekening!Y44,1),$C297,"gelijkspel"))</f>
        <v>gelijkspel</v>
      </c>
      <c r="Z297" s="166" t="str">
        <f>IF(LEFT(Berekening!Z44,1)&gt;RIGHT(Berekening!Z44,1),$A297,IF(LEFT(Berekening!Z44,1)&lt;RIGHT(Berekening!Z44,1),$C297,"gelijkspel"))</f>
        <v>gelijkspel</v>
      </c>
      <c r="AA297" s="166" t="str">
        <f>IF(LEFT(Berekening!AA44,1)&gt;RIGHT(Berekening!AA44,1),$A297,IF(LEFT(Berekening!AA44,1)&lt;RIGHT(Berekening!AA44,1),$C297,"gelijkspel"))</f>
        <v>gelijkspel</v>
      </c>
      <c r="AB297" s="166" t="str">
        <f>IF(LEFT(Berekening!AB44,1)&gt;RIGHT(Berekening!AB44,1),$A297,IF(LEFT(Berekening!AB44,1)&lt;RIGHT(Berekening!AB44,1),$C297,"gelijkspel"))</f>
        <v>gelijkspel</v>
      </c>
      <c r="AC297" s="166" t="str">
        <f>IF(LEFT(Berekening!AC44,1)&gt;RIGHT(Berekening!AC44,1),$A297,IF(LEFT(Berekening!AC44,1)&lt;RIGHT(Berekening!AC44,1),$C297,"gelijkspel"))</f>
        <v>gelijkspel</v>
      </c>
      <c r="AD297" s="166" t="str">
        <f>IF(LEFT(Berekening!AD44,1)&gt;RIGHT(Berekening!AD44,1),$A297,IF(LEFT(Berekening!AD44,1)&lt;RIGHT(Berekening!AD44,1),$C297,"gelijkspel"))</f>
        <v>gelijkspel</v>
      </c>
      <c r="AE297" s="166" t="str">
        <f>IF(LEFT(Berekening!AE44,1)&gt;RIGHT(Berekening!AE44,1),$A297,IF(LEFT(Berekening!AE44,1)&lt;RIGHT(Berekening!AE44,1),$C297,"gelijkspel"))</f>
        <v>gelijkspel</v>
      </c>
      <c r="AF297" s="166" t="str">
        <f>IF(LEFT(Berekening!AF44,1)&gt;RIGHT(Berekening!AF44,1),$A297,IF(LEFT(Berekening!AF44,1)&lt;RIGHT(Berekening!AF44,1),$C297,"gelijkspel"))</f>
        <v>gelijkspel</v>
      </c>
      <c r="AG297" s="166" t="str">
        <f>IF(LEFT(Berekening!AG44,1)&gt;RIGHT(Berekening!AG44,1),$A297,IF(LEFT(Berekening!AG44,1)&lt;RIGHT(Berekening!AG44,1),$C297,"gelijkspel"))</f>
        <v>gelijkspel</v>
      </c>
      <c r="AH297" s="166" t="str">
        <f>IF(LEFT(Berekening!AH44,1)&gt;RIGHT(Berekening!AH44,1),$A297,IF(LEFT(Berekening!AH44,1)&lt;RIGHT(Berekening!AH44,1),$C297,"gelijkspel"))</f>
        <v>gelijkspel</v>
      </c>
      <c r="AI297" s="166" t="str">
        <f>IF(LEFT(Berekening!AI44,1)&gt;RIGHT(Berekening!AI44,1),$A297,IF(LEFT(Berekening!AI44,1)&lt;RIGHT(Berekening!AI44,1),$C297,"gelijkspel"))</f>
        <v>gelijkspel</v>
      </c>
      <c r="AJ297" s="166" t="str">
        <f>IF(LEFT(Berekening!AJ44,1)&gt;RIGHT(Berekening!AJ44,1),$A297,IF(LEFT(Berekening!AJ44,1)&lt;RIGHT(Berekening!AJ44,1),$C297,"gelijkspel"))</f>
        <v>gelijkspel</v>
      </c>
      <c r="AK297" s="166" t="str">
        <f>IF(LEFT(Berekening!AK44,1)&gt;RIGHT(Berekening!AK44,1),$A297,IF(LEFT(Berekening!AK44,1)&lt;RIGHT(Berekening!AK44,1),$C297,"gelijkspel"))</f>
        <v>gelijkspel</v>
      </c>
      <c r="AL297" s="166" t="str">
        <f>IF(LEFT(Berekening!AL44,1)&gt;RIGHT(Berekening!AL44,1),$A297,IF(LEFT(Berekening!AL44,1)&lt;RIGHT(Berekening!AL44,1),$C297,"gelijkspel"))</f>
        <v>gelijkspel</v>
      </c>
      <c r="AM297" s="166" t="str">
        <f>IF(LEFT(Berekening!AM44,1)&gt;RIGHT(Berekening!AM44,1),$A297,IF(LEFT(Berekening!AM44,1)&lt;RIGHT(Berekening!AM44,1),$C297,"gelijkspel"))</f>
        <v>gelijkspel</v>
      </c>
      <c r="AN297" s="166" t="str">
        <f>IF(LEFT(Berekening!AN44,1)&gt;RIGHT(Berekening!AN44,1),$A297,IF(LEFT(Berekening!AN44,1)&lt;RIGHT(Berekening!AN44,1),$C297,"gelijkspel"))</f>
        <v>gelijkspel</v>
      </c>
      <c r="AO297" s="166" t="str">
        <f>IF(LEFT(Berekening!AO44,1)&gt;RIGHT(Berekening!AO44,1),$A297,IF(LEFT(Berekening!AO44,1)&lt;RIGHT(Berekening!AO44,1),$C297,"gelijkspel"))</f>
        <v>gelijkspel</v>
      </c>
      <c r="AP297" s="166" t="str">
        <f>IF(LEFT(Berekening!AP44,1)&gt;RIGHT(Berekening!AP44,1),$A297,IF(LEFT(Berekening!AP44,1)&lt;RIGHT(Berekening!AP44,1),$C297,"gelijkspel"))</f>
        <v>gelijkspel</v>
      </c>
      <c r="AQ297" s="166" t="str">
        <f>IF(LEFT(Berekening!AQ44,1)&gt;RIGHT(Berekening!AQ44,1),$A297,IF(LEFT(Berekening!AQ44,1)&lt;RIGHT(Berekening!AQ44,1),$C297,"gelijkspel"))</f>
        <v>gelijkspel</v>
      </c>
      <c r="AR297" s="166" t="str">
        <f>IF(LEFT(Berekening!AR44,1)&gt;RIGHT(Berekening!AR44,1),$A297,IF(LEFT(Berekening!AR44,1)&lt;RIGHT(Berekening!AR44,1),$C297,"gelijkspel"))</f>
        <v>gelijkspel</v>
      </c>
      <c r="AS297" s="166" t="str">
        <f>IF(LEFT(Berekening!AS44,1)&gt;RIGHT(Berekening!AS44,1),$A297,IF(LEFT(Berekening!AS44,1)&lt;RIGHT(Berekening!AS44,1),$C297,"gelijkspel"))</f>
        <v>gelijkspel</v>
      </c>
      <c r="AT297" s="166" t="str">
        <f>IF(LEFT(Berekening!AT44,1)&gt;RIGHT(Berekening!AT44,1),$A297,IF(LEFT(Berekening!AT44,1)&lt;RIGHT(Berekening!AT44,1),$C297,"gelijkspel"))</f>
        <v>gelijkspel</v>
      </c>
    </row>
    <row r="298" spans="1:46" s="161" customFormat="1" ht="15">
      <c r="A298" s="163" t="s">
        <v>1856</v>
      </c>
      <c r="B298" s="164" t="s">
        <v>2971</v>
      </c>
      <c r="C298" s="165" t="s">
        <v>2630</v>
      </c>
      <c r="E298" s="166" t="str">
        <f>IF(LEFT(Berekening!E45,1)&gt;RIGHT(Berekening!E45,1),$A298,IF(LEFT(Berekening!E45,1)&lt;RIGHT(Berekening!E45,1),$C298,"gelijkspel"))</f>
        <v>Engeland</v>
      </c>
      <c r="F298" s="166" t="str">
        <f>IF(LEFT(Berekening!F45,1)&gt;RIGHT(Berekening!F45,1),$A298,IF(LEFT(Berekening!F45,1)&lt;RIGHT(Berekening!F45,1),$C298,"gelijkspel"))</f>
        <v>Engeland</v>
      </c>
      <c r="G298" s="166" t="str">
        <f>IF(LEFT(Berekening!G45,1)&gt;RIGHT(Berekening!G45,1),$A298,IF(LEFT(Berekening!G45,1)&lt;RIGHT(Berekening!G45,1),$C298,"gelijkspel"))</f>
        <v>Engeland</v>
      </c>
      <c r="H298" s="166" t="str">
        <f>IF(LEFT(Berekening!H45,1)&gt;RIGHT(Berekening!H45,1),$A298,IF(LEFT(Berekening!H45,1)&lt;RIGHT(Berekening!H45,1),$C298,"gelijkspel"))</f>
        <v>Engeland</v>
      </c>
      <c r="I298" s="166" t="str">
        <f>IF(LEFT(Berekening!I45,1)&gt;RIGHT(Berekening!I45,1),$A298,IF(LEFT(Berekening!I45,1)&lt;RIGHT(Berekening!I45,1),$C298,"gelijkspel"))</f>
        <v>Engeland</v>
      </c>
      <c r="J298" s="166" t="str">
        <f>IF(LEFT(Berekening!J45,1)&gt;RIGHT(Berekening!J45,1),$A298,IF(LEFT(Berekening!J45,1)&lt;RIGHT(Berekening!J45,1),$C298,"gelijkspel"))</f>
        <v>Engeland</v>
      </c>
      <c r="K298" s="166" t="str">
        <f>IF(LEFT(Berekening!K45,1)&gt;RIGHT(Berekening!K45,1),$A298,IF(LEFT(Berekening!K45,1)&lt;RIGHT(Berekening!K45,1),$C298,"gelijkspel"))</f>
        <v>Engeland</v>
      </c>
      <c r="L298" s="166" t="str">
        <f>IF(LEFT(Berekening!L45,1)&gt;RIGHT(Berekening!L45,1),$A298,IF(LEFT(Berekening!L45,1)&lt;RIGHT(Berekening!L45,1),$C298,"gelijkspel"))</f>
        <v>Engeland</v>
      </c>
      <c r="M298" s="166" t="str">
        <f>IF(LEFT(Berekening!M45,1)&gt;RIGHT(Berekening!M45,1),$A298,IF(LEFT(Berekening!M45,1)&lt;RIGHT(Berekening!M45,1),$C298,"gelijkspel"))</f>
        <v>Engeland</v>
      </c>
      <c r="N298" s="166" t="str">
        <f>IF(LEFT(Berekening!N45,1)&gt;RIGHT(Berekening!N45,1),$A298,IF(LEFT(Berekening!N45,1)&lt;RIGHT(Berekening!N45,1),$C298,"gelijkspel"))</f>
        <v>Engeland</v>
      </c>
      <c r="O298" s="166" t="str">
        <f>IF(LEFT(Berekening!O45,1)&gt;RIGHT(Berekening!O45,1),$A298,IF(LEFT(Berekening!O45,1)&lt;RIGHT(Berekening!O45,1),$C298,"gelijkspel"))</f>
        <v>Engeland</v>
      </c>
      <c r="P298" s="166" t="str">
        <f>IF(LEFT(Berekening!P45,1)&gt;RIGHT(Berekening!P45,1),$A298,IF(LEFT(Berekening!P45,1)&lt;RIGHT(Berekening!P45,1),$C298,"gelijkspel"))</f>
        <v>Engeland</v>
      </c>
      <c r="Q298" s="166" t="str">
        <f>IF(LEFT(Berekening!Q45,1)&gt;RIGHT(Berekening!Q45,1),$A298,IF(LEFT(Berekening!Q45,1)&lt;RIGHT(Berekening!Q45,1),$C298,"gelijkspel"))</f>
        <v>Engeland</v>
      </c>
      <c r="R298" s="166" t="str">
        <f>IF(LEFT(Berekening!R45,1)&gt;RIGHT(Berekening!R45,1),$A298,IF(LEFT(Berekening!R45,1)&lt;RIGHT(Berekening!R45,1),$C298,"gelijkspel"))</f>
        <v>Engeland</v>
      </c>
      <c r="S298" s="166" t="str">
        <f>IF(LEFT(Berekening!S45,1)&gt;RIGHT(Berekening!S45,1),$A298,IF(LEFT(Berekening!S45,1)&lt;RIGHT(Berekening!S45,1),$C298,"gelijkspel"))</f>
        <v>Engeland</v>
      </c>
      <c r="T298" s="166" t="str">
        <f>IF(LEFT(Berekening!T45,1)&gt;RIGHT(Berekening!T45,1),$A298,IF(LEFT(Berekening!T45,1)&lt;RIGHT(Berekening!T45,1),$C298,"gelijkspel"))</f>
        <v>Engeland</v>
      </c>
      <c r="U298" s="166" t="str">
        <f>IF(LEFT(Berekening!U45,1)&gt;RIGHT(Berekening!U45,1),$A298,IF(LEFT(Berekening!U45,1)&lt;RIGHT(Berekening!U45,1),$C298,"gelijkspel"))</f>
        <v>gelijkspel</v>
      </c>
      <c r="V298" s="166" t="str">
        <f>IF(LEFT(Berekening!V45,1)&gt;RIGHT(Berekening!V45,1),$A298,IF(LEFT(Berekening!V45,1)&lt;RIGHT(Berekening!V45,1),$C298,"gelijkspel"))</f>
        <v>gelijkspel</v>
      </c>
      <c r="W298" s="166" t="str">
        <f>IF(LEFT(Berekening!W45,1)&gt;RIGHT(Berekening!W45,1),$A298,IF(LEFT(Berekening!W45,1)&lt;RIGHT(Berekening!W45,1),$C298,"gelijkspel"))</f>
        <v>gelijkspel</v>
      </c>
      <c r="X298" s="166" t="str">
        <f>IF(LEFT(Berekening!X45,1)&gt;RIGHT(Berekening!X45,1),$A298,IF(LEFT(Berekening!X45,1)&lt;RIGHT(Berekening!X45,1),$C298,"gelijkspel"))</f>
        <v>gelijkspel</v>
      </c>
      <c r="Y298" s="166" t="str">
        <f>IF(LEFT(Berekening!Y45,1)&gt;RIGHT(Berekening!Y45,1),$A298,IF(LEFT(Berekening!Y45,1)&lt;RIGHT(Berekening!Y45,1),$C298,"gelijkspel"))</f>
        <v>gelijkspel</v>
      </c>
      <c r="Z298" s="166" t="str">
        <f>IF(LEFT(Berekening!Z45,1)&gt;RIGHT(Berekening!Z45,1),$A298,IF(LEFT(Berekening!Z45,1)&lt;RIGHT(Berekening!Z45,1),$C298,"gelijkspel"))</f>
        <v>gelijkspel</v>
      </c>
      <c r="AA298" s="166" t="str">
        <f>IF(LEFT(Berekening!AA45,1)&gt;RIGHT(Berekening!AA45,1),$A298,IF(LEFT(Berekening!AA45,1)&lt;RIGHT(Berekening!AA45,1),$C298,"gelijkspel"))</f>
        <v>gelijkspel</v>
      </c>
      <c r="AB298" s="166" t="str">
        <f>IF(LEFT(Berekening!AB45,1)&gt;RIGHT(Berekening!AB45,1),$A298,IF(LEFT(Berekening!AB45,1)&lt;RIGHT(Berekening!AB45,1),$C298,"gelijkspel"))</f>
        <v>gelijkspel</v>
      </c>
      <c r="AC298" s="166" t="str">
        <f>IF(LEFT(Berekening!AC45,1)&gt;RIGHT(Berekening!AC45,1),$A298,IF(LEFT(Berekening!AC45,1)&lt;RIGHT(Berekening!AC45,1),$C298,"gelijkspel"))</f>
        <v>gelijkspel</v>
      </c>
      <c r="AD298" s="166" t="str">
        <f>IF(LEFT(Berekening!AD45,1)&gt;RIGHT(Berekening!AD45,1),$A298,IF(LEFT(Berekening!AD45,1)&lt;RIGHT(Berekening!AD45,1),$C298,"gelijkspel"))</f>
        <v>gelijkspel</v>
      </c>
      <c r="AE298" s="166" t="str">
        <f>IF(LEFT(Berekening!AE45,1)&gt;RIGHT(Berekening!AE45,1),$A298,IF(LEFT(Berekening!AE45,1)&lt;RIGHT(Berekening!AE45,1),$C298,"gelijkspel"))</f>
        <v>gelijkspel</v>
      </c>
      <c r="AF298" s="166" t="str">
        <f>IF(LEFT(Berekening!AF45,1)&gt;RIGHT(Berekening!AF45,1),$A298,IF(LEFT(Berekening!AF45,1)&lt;RIGHT(Berekening!AF45,1),$C298,"gelijkspel"))</f>
        <v>gelijkspel</v>
      </c>
      <c r="AG298" s="166" t="str">
        <f>IF(LEFT(Berekening!AG45,1)&gt;RIGHT(Berekening!AG45,1),$A298,IF(LEFT(Berekening!AG45,1)&lt;RIGHT(Berekening!AG45,1),$C298,"gelijkspel"))</f>
        <v>gelijkspel</v>
      </c>
      <c r="AH298" s="166" t="str">
        <f>IF(LEFT(Berekening!AH45,1)&gt;RIGHT(Berekening!AH45,1),$A298,IF(LEFT(Berekening!AH45,1)&lt;RIGHT(Berekening!AH45,1),$C298,"gelijkspel"))</f>
        <v>gelijkspel</v>
      </c>
      <c r="AI298" s="166" t="str">
        <f>IF(LEFT(Berekening!AI45,1)&gt;RIGHT(Berekening!AI45,1),$A298,IF(LEFT(Berekening!AI45,1)&lt;RIGHT(Berekening!AI45,1),$C298,"gelijkspel"))</f>
        <v>gelijkspel</v>
      </c>
      <c r="AJ298" s="166" t="str">
        <f>IF(LEFT(Berekening!AJ45,1)&gt;RIGHT(Berekening!AJ45,1),$A298,IF(LEFT(Berekening!AJ45,1)&lt;RIGHT(Berekening!AJ45,1),$C298,"gelijkspel"))</f>
        <v>gelijkspel</v>
      </c>
      <c r="AK298" s="166" t="str">
        <f>IF(LEFT(Berekening!AK45,1)&gt;RIGHT(Berekening!AK45,1),$A298,IF(LEFT(Berekening!AK45,1)&lt;RIGHT(Berekening!AK45,1),$C298,"gelijkspel"))</f>
        <v>gelijkspel</v>
      </c>
      <c r="AL298" s="166" t="str">
        <f>IF(LEFT(Berekening!AL45,1)&gt;RIGHT(Berekening!AL45,1),$A298,IF(LEFT(Berekening!AL45,1)&lt;RIGHT(Berekening!AL45,1),$C298,"gelijkspel"))</f>
        <v>gelijkspel</v>
      </c>
      <c r="AM298" s="166" t="str">
        <f>IF(LEFT(Berekening!AM45,1)&gt;RIGHT(Berekening!AM45,1),$A298,IF(LEFT(Berekening!AM45,1)&lt;RIGHT(Berekening!AM45,1),$C298,"gelijkspel"))</f>
        <v>gelijkspel</v>
      </c>
      <c r="AN298" s="166" t="str">
        <f>IF(LEFT(Berekening!AN45,1)&gt;RIGHT(Berekening!AN45,1),$A298,IF(LEFT(Berekening!AN45,1)&lt;RIGHT(Berekening!AN45,1),$C298,"gelijkspel"))</f>
        <v>gelijkspel</v>
      </c>
      <c r="AO298" s="166" t="str">
        <f>IF(LEFT(Berekening!AO45,1)&gt;RIGHT(Berekening!AO45,1),$A298,IF(LEFT(Berekening!AO45,1)&lt;RIGHT(Berekening!AO45,1),$C298,"gelijkspel"))</f>
        <v>gelijkspel</v>
      </c>
      <c r="AP298" s="166" t="str">
        <f>IF(LEFT(Berekening!AP45,1)&gt;RIGHT(Berekening!AP45,1),$A298,IF(LEFT(Berekening!AP45,1)&lt;RIGHT(Berekening!AP45,1),$C298,"gelijkspel"))</f>
        <v>gelijkspel</v>
      </c>
      <c r="AQ298" s="166" t="str">
        <f>IF(LEFT(Berekening!AQ45,1)&gt;RIGHT(Berekening!AQ45,1),$A298,IF(LEFT(Berekening!AQ45,1)&lt;RIGHT(Berekening!AQ45,1),$C298,"gelijkspel"))</f>
        <v>gelijkspel</v>
      </c>
      <c r="AR298" s="166" t="str">
        <f>IF(LEFT(Berekening!AR45,1)&gt;RIGHT(Berekening!AR45,1),$A298,IF(LEFT(Berekening!AR45,1)&lt;RIGHT(Berekening!AR45,1),$C298,"gelijkspel"))</f>
        <v>gelijkspel</v>
      </c>
      <c r="AS298" s="166" t="str">
        <f>IF(LEFT(Berekening!AS45,1)&gt;RIGHT(Berekening!AS45,1),$A298,IF(LEFT(Berekening!AS45,1)&lt;RIGHT(Berekening!AS45,1),$C298,"gelijkspel"))</f>
        <v>gelijkspel</v>
      </c>
      <c r="AT298" s="166" t="str">
        <f>IF(LEFT(Berekening!AT45,1)&gt;RIGHT(Berekening!AT45,1),$A298,IF(LEFT(Berekening!AT45,1)&lt;RIGHT(Berekening!AT45,1),$C298,"gelijkspel"))</f>
        <v>gelijkspel</v>
      </c>
    </row>
    <row r="299" spans="1:46" s="161" customFormat="1" ht="15">
      <c r="A299" s="163" t="s">
        <v>1206</v>
      </c>
      <c r="B299" s="164" t="s">
        <v>2971</v>
      </c>
      <c r="C299" s="165" t="s">
        <v>2661</v>
      </c>
      <c r="E299" s="166" t="str">
        <f>IF(LEFT(Berekening!E46,1)&gt;RIGHT(Berekening!E46,1),$A299,IF(LEFT(Berekening!E46,1)&lt;RIGHT(Berekening!E46,1),$C299,"gelijkspel"))</f>
        <v>gelijkspel</v>
      </c>
      <c r="F299" s="166" t="str">
        <f>IF(LEFT(Berekening!F46,1)&gt;RIGHT(Berekening!F46,1),$A299,IF(LEFT(Berekening!F46,1)&lt;RIGHT(Berekening!F46,1),$C299,"gelijkspel"))</f>
        <v>gelijkspel</v>
      </c>
      <c r="G299" s="166" t="str">
        <f>IF(LEFT(Berekening!G46,1)&gt;RIGHT(Berekening!G46,1),$A299,IF(LEFT(Berekening!G46,1)&lt;RIGHT(Berekening!G46,1),$C299,"gelijkspel"))</f>
        <v>Denemarken</v>
      </c>
      <c r="H299" s="166" t="str">
        <f>IF(LEFT(Berekening!H46,1)&gt;RIGHT(Berekening!H46,1),$A299,IF(LEFT(Berekening!H46,1)&lt;RIGHT(Berekening!H46,1),$C299,"gelijkspel"))</f>
        <v>gelijkspel</v>
      </c>
      <c r="I299" s="166" t="str">
        <f>IF(LEFT(Berekening!I46,1)&gt;RIGHT(Berekening!I46,1),$A299,IF(LEFT(Berekening!I46,1)&lt;RIGHT(Berekening!I46,1),$C299,"gelijkspel"))</f>
        <v>Denemarken</v>
      </c>
      <c r="J299" s="166" t="str">
        <f>IF(LEFT(Berekening!J46,1)&gt;RIGHT(Berekening!J46,1),$A299,IF(LEFT(Berekening!J46,1)&lt;RIGHT(Berekening!J46,1),$C299,"gelijkspel"))</f>
        <v>gelijkspel</v>
      </c>
      <c r="K299" s="166" t="str">
        <f>IF(LEFT(Berekening!K46,1)&gt;RIGHT(Berekening!K46,1),$A299,IF(LEFT(Berekening!K46,1)&lt;RIGHT(Berekening!K46,1),$C299,"gelijkspel"))</f>
        <v>Denemarken</v>
      </c>
      <c r="L299" s="166" t="str">
        <f>IF(LEFT(Berekening!L46,1)&gt;RIGHT(Berekening!L46,1),$A299,IF(LEFT(Berekening!L46,1)&lt;RIGHT(Berekening!L46,1),$C299,"gelijkspel"))</f>
        <v>Denemarken</v>
      </c>
      <c r="M299" s="166" t="str">
        <f>IF(LEFT(Berekening!M46,1)&gt;RIGHT(Berekening!M46,1),$A299,IF(LEFT(Berekening!M46,1)&lt;RIGHT(Berekening!M46,1),$C299,"gelijkspel"))</f>
        <v>Denemarken</v>
      </c>
      <c r="N299" s="166" t="str">
        <f>IF(LEFT(Berekening!N46,1)&gt;RIGHT(Berekening!N46,1),$A299,IF(LEFT(Berekening!N46,1)&lt;RIGHT(Berekening!N46,1),$C299,"gelijkspel"))</f>
        <v>Denemarken</v>
      </c>
      <c r="O299" s="166" t="str">
        <f>IF(LEFT(Berekening!O46,1)&gt;RIGHT(Berekening!O46,1),$A299,IF(LEFT(Berekening!O46,1)&lt;RIGHT(Berekening!O46,1),$C299,"gelijkspel"))</f>
        <v>Denemarken</v>
      </c>
      <c r="P299" s="166" t="str">
        <f>IF(LEFT(Berekening!P46,1)&gt;RIGHT(Berekening!P46,1),$A299,IF(LEFT(Berekening!P46,1)&lt;RIGHT(Berekening!P46,1),$C299,"gelijkspel"))</f>
        <v>gelijkspel</v>
      </c>
      <c r="Q299" s="166" t="str">
        <f>IF(LEFT(Berekening!Q46,1)&gt;RIGHT(Berekening!Q46,1),$A299,IF(LEFT(Berekening!Q46,1)&lt;RIGHT(Berekening!Q46,1),$C299,"gelijkspel"))</f>
        <v>Denemarken</v>
      </c>
      <c r="R299" s="166" t="str">
        <f>IF(LEFT(Berekening!R46,1)&gt;RIGHT(Berekening!R46,1),$A299,IF(LEFT(Berekening!R46,1)&lt;RIGHT(Berekening!R46,1),$C299,"gelijkspel"))</f>
        <v>Denemarken</v>
      </c>
      <c r="S299" s="166" t="str">
        <f>IF(LEFT(Berekening!S46,1)&gt;RIGHT(Berekening!S46,1),$A299,IF(LEFT(Berekening!S46,1)&lt;RIGHT(Berekening!S46,1),$C299,"gelijkspel"))</f>
        <v>Servië</v>
      </c>
      <c r="T299" s="166" t="str">
        <f>IF(LEFT(Berekening!T46,1)&gt;RIGHT(Berekening!T46,1),$A299,IF(LEFT(Berekening!T46,1)&lt;RIGHT(Berekening!T46,1),$C299,"gelijkspel"))</f>
        <v>gelijkspel</v>
      </c>
      <c r="U299" s="166" t="str">
        <f>IF(LEFT(Berekening!U46,1)&gt;RIGHT(Berekening!U46,1),$A299,IF(LEFT(Berekening!U46,1)&lt;RIGHT(Berekening!U46,1),$C299,"gelijkspel"))</f>
        <v>gelijkspel</v>
      </c>
      <c r="V299" s="166" t="str">
        <f>IF(LEFT(Berekening!V46,1)&gt;RIGHT(Berekening!V46,1),$A299,IF(LEFT(Berekening!V46,1)&lt;RIGHT(Berekening!V46,1),$C299,"gelijkspel"))</f>
        <v>gelijkspel</v>
      </c>
      <c r="W299" s="166" t="str">
        <f>IF(LEFT(Berekening!W46,1)&gt;RIGHT(Berekening!W46,1),$A299,IF(LEFT(Berekening!W46,1)&lt;RIGHT(Berekening!W46,1),$C299,"gelijkspel"))</f>
        <v>gelijkspel</v>
      </c>
      <c r="X299" s="166" t="str">
        <f>IF(LEFT(Berekening!X46,1)&gt;RIGHT(Berekening!X46,1),$A299,IF(LEFT(Berekening!X46,1)&lt;RIGHT(Berekening!X46,1),$C299,"gelijkspel"))</f>
        <v>gelijkspel</v>
      </c>
      <c r="Y299" s="166" t="str">
        <f>IF(LEFT(Berekening!Y46,1)&gt;RIGHT(Berekening!Y46,1),$A299,IF(LEFT(Berekening!Y46,1)&lt;RIGHT(Berekening!Y46,1),$C299,"gelijkspel"))</f>
        <v>gelijkspel</v>
      </c>
      <c r="Z299" s="166" t="str">
        <f>IF(LEFT(Berekening!Z46,1)&gt;RIGHT(Berekening!Z46,1),$A299,IF(LEFT(Berekening!Z46,1)&lt;RIGHT(Berekening!Z46,1),$C299,"gelijkspel"))</f>
        <v>gelijkspel</v>
      </c>
      <c r="AA299" s="166" t="str">
        <f>IF(LEFT(Berekening!AA46,1)&gt;RIGHT(Berekening!AA46,1),$A299,IF(LEFT(Berekening!AA46,1)&lt;RIGHT(Berekening!AA46,1),$C299,"gelijkspel"))</f>
        <v>gelijkspel</v>
      </c>
      <c r="AB299" s="166" t="str">
        <f>IF(LEFT(Berekening!AB46,1)&gt;RIGHT(Berekening!AB46,1),$A299,IF(LEFT(Berekening!AB46,1)&lt;RIGHT(Berekening!AB46,1),$C299,"gelijkspel"))</f>
        <v>gelijkspel</v>
      </c>
      <c r="AC299" s="166" t="str">
        <f>IF(LEFT(Berekening!AC46,1)&gt;RIGHT(Berekening!AC46,1),$A299,IF(LEFT(Berekening!AC46,1)&lt;RIGHT(Berekening!AC46,1),$C299,"gelijkspel"))</f>
        <v>gelijkspel</v>
      </c>
      <c r="AD299" s="166" t="str">
        <f>IF(LEFT(Berekening!AD46,1)&gt;RIGHT(Berekening!AD46,1),$A299,IF(LEFT(Berekening!AD46,1)&lt;RIGHT(Berekening!AD46,1),$C299,"gelijkspel"))</f>
        <v>gelijkspel</v>
      </c>
      <c r="AE299" s="166" t="str">
        <f>IF(LEFT(Berekening!AE46,1)&gt;RIGHT(Berekening!AE46,1),$A299,IF(LEFT(Berekening!AE46,1)&lt;RIGHT(Berekening!AE46,1),$C299,"gelijkspel"))</f>
        <v>gelijkspel</v>
      </c>
      <c r="AF299" s="166" t="str">
        <f>IF(LEFT(Berekening!AF46,1)&gt;RIGHT(Berekening!AF46,1),$A299,IF(LEFT(Berekening!AF46,1)&lt;RIGHT(Berekening!AF46,1),$C299,"gelijkspel"))</f>
        <v>gelijkspel</v>
      </c>
      <c r="AG299" s="166" t="str">
        <f>IF(LEFT(Berekening!AG46,1)&gt;RIGHT(Berekening!AG46,1),$A299,IF(LEFT(Berekening!AG46,1)&lt;RIGHT(Berekening!AG46,1),$C299,"gelijkspel"))</f>
        <v>gelijkspel</v>
      </c>
      <c r="AH299" s="166" t="str">
        <f>IF(LEFT(Berekening!AH46,1)&gt;RIGHT(Berekening!AH46,1),$A299,IF(LEFT(Berekening!AH46,1)&lt;RIGHT(Berekening!AH46,1),$C299,"gelijkspel"))</f>
        <v>gelijkspel</v>
      </c>
      <c r="AI299" s="166" t="str">
        <f>IF(LEFT(Berekening!AI46,1)&gt;RIGHT(Berekening!AI46,1),$A299,IF(LEFT(Berekening!AI46,1)&lt;RIGHT(Berekening!AI46,1),$C299,"gelijkspel"))</f>
        <v>gelijkspel</v>
      </c>
      <c r="AJ299" s="166" t="str">
        <f>IF(LEFT(Berekening!AJ46,1)&gt;RIGHT(Berekening!AJ46,1),$A299,IF(LEFT(Berekening!AJ46,1)&lt;RIGHT(Berekening!AJ46,1),$C299,"gelijkspel"))</f>
        <v>gelijkspel</v>
      </c>
      <c r="AK299" s="166" t="str">
        <f>IF(LEFT(Berekening!AK46,1)&gt;RIGHT(Berekening!AK46,1),$A299,IF(LEFT(Berekening!AK46,1)&lt;RIGHT(Berekening!AK46,1),$C299,"gelijkspel"))</f>
        <v>gelijkspel</v>
      </c>
      <c r="AL299" s="166" t="str">
        <f>IF(LEFT(Berekening!AL46,1)&gt;RIGHT(Berekening!AL46,1),$A299,IF(LEFT(Berekening!AL46,1)&lt;RIGHT(Berekening!AL46,1),$C299,"gelijkspel"))</f>
        <v>gelijkspel</v>
      </c>
      <c r="AM299" s="166" t="str">
        <f>IF(LEFT(Berekening!AM46,1)&gt;RIGHT(Berekening!AM46,1),$A299,IF(LEFT(Berekening!AM46,1)&lt;RIGHT(Berekening!AM46,1),$C299,"gelijkspel"))</f>
        <v>gelijkspel</v>
      </c>
      <c r="AN299" s="166" t="str">
        <f>IF(LEFT(Berekening!AN46,1)&gt;RIGHT(Berekening!AN46,1),$A299,IF(LEFT(Berekening!AN46,1)&lt;RIGHT(Berekening!AN46,1),$C299,"gelijkspel"))</f>
        <v>gelijkspel</v>
      </c>
      <c r="AO299" s="166" t="str">
        <f>IF(LEFT(Berekening!AO46,1)&gt;RIGHT(Berekening!AO46,1),$A299,IF(LEFT(Berekening!AO46,1)&lt;RIGHT(Berekening!AO46,1),$C299,"gelijkspel"))</f>
        <v>gelijkspel</v>
      </c>
      <c r="AP299" s="166" t="str">
        <f>IF(LEFT(Berekening!AP46,1)&gt;RIGHT(Berekening!AP46,1),$A299,IF(LEFT(Berekening!AP46,1)&lt;RIGHT(Berekening!AP46,1),$C299,"gelijkspel"))</f>
        <v>gelijkspel</v>
      </c>
      <c r="AQ299" s="166" t="str">
        <f>IF(LEFT(Berekening!AQ46,1)&gt;RIGHT(Berekening!AQ46,1),$A299,IF(LEFT(Berekening!AQ46,1)&lt;RIGHT(Berekening!AQ46,1),$C299,"gelijkspel"))</f>
        <v>gelijkspel</v>
      </c>
      <c r="AR299" s="166" t="str">
        <f>IF(LEFT(Berekening!AR46,1)&gt;RIGHT(Berekening!AR46,1),$A299,IF(LEFT(Berekening!AR46,1)&lt;RIGHT(Berekening!AR46,1),$C299,"gelijkspel"))</f>
        <v>gelijkspel</v>
      </c>
      <c r="AS299" s="166" t="str">
        <f>IF(LEFT(Berekening!AS46,1)&gt;RIGHT(Berekening!AS46,1),$A299,IF(LEFT(Berekening!AS46,1)&lt;RIGHT(Berekening!AS46,1),$C299,"gelijkspel"))</f>
        <v>gelijkspel</v>
      </c>
      <c r="AT299" s="166" t="str">
        <f>IF(LEFT(Berekening!AT46,1)&gt;RIGHT(Berekening!AT46,1),$A299,IF(LEFT(Berekening!AT46,1)&lt;RIGHT(Berekening!AT46,1),$C299,"gelijkspel"))</f>
        <v>gelijkspel</v>
      </c>
    </row>
    <row r="300" spans="1:46" s="161" customFormat="1" ht="15">
      <c r="A300" s="163" t="s">
        <v>1433</v>
      </c>
      <c r="B300" s="164" t="s">
        <v>2971</v>
      </c>
      <c r="C300" s="165" t="s">
        <v>1043</v>
      </c>
      <c r="E300" s="166" t="str">
        <f>IF(LEFT(Berekening!E47,1)&gt;RIGHT(Berekening!E47,1),$A300,IF(LEFT(Berekening!E47,1)&lt;RIGHT(Berekening!E47,1),$C300,"gelijkspel"))</f>
        <v>gelijkspel</v>
      </c>
      <c r="F300" s="166" t="str">
        <f>IF(LEFT(Berekening!F47,1)&gt;RIGHT(Berekening!F47,1),$A300,IF(LEFT(Berekening!F47,1)&lt;RIGHT(Berekening!F47,1),$C300,"gelijkspel"))</f>
        <v>gelijkspel</v>
      </c>
      <c r="G300" s="166" t="str">
        <f>IF(LEFT(Berekening!G47,1)&gt;RIGHT(Berekening!G47,1),$A300,IF(LEFT(Berekening!G47,1)&lt;RIGHT(Berekening!G47,1),$C300,"gelijkspel"))</f>
        <v>gelijkspel</v>
      </c>
      <c r="H300" s="166" t="str">
        <f>IF(LEFT(Berekening!H47,1)&gt;RIGHT(Berekening!H47,1),$A300,IF(LEFT(Berekening!H47,1)&lt;RIGHT(Berekening!H47,1),$C300,"gelijkspel"))</f>
        <v>Roemenië</v>
      </c>
      <c r="I300" s="166" t="str">
        <f>IF(LEFT(Berekening!I47,1)&gt;RIGHT(Berekening!I47,1),$A300,IF(LEFT(Berekening!I47,1)&lt;RIGHT(Berekening!I47,1),$C300,"gelijkspel"))</f>
        <v>Slowakije</v>
      </c>
      <c r="J300" s="166" t="str">
        <f>IF(LEFT(Berekening!J47,1)&gt;RIGHT(Berekening!J47,1),$A300,IF(LEFT(Berekening!J47,1)&lt;RIGHT(Berekening!J47,1),$C300,"gelijkspel"))</f>
        <v>Roemenië</v>
      </c>
      <c r="K300" s="166" t="str">
        <f>IF(LEFT(Berekening!K47,1)&gt;RIGHT(Berekening!K47,1),$A300,IF(LEFT(Berekening!K47,1)&lt;RIGHT(Berekening!K47,1),$C300,"gelijkspel"))</f>
        <v>Slowakije</v>
      </c>
      <c r="L300" s="166" t="str">
        <f>IF(LEFT(Berekening!L47,1)&gt;RIGHT(Berekening!L47,1),$A300,IF(LEFT(Berekening!L47,1)&lt;RIGHT(Berekening!L47,1),$C300,"gelijkspel"))</f>
        <v>Slowakije</v>
      </c>
      <c r="M300" s="166" t="str">
        <f>IF(LEFT(Berekening!M47,1)&gt;RIGHT(Berekening!M47,1),$A300,IF(LEFT(Berekening!M47,1)&lt;RIGHT(Berekening!M47,1),$C300,"gelijkspel"))</f>
        <v>Slowakije</v>
      </c>
      <c r="N300" s="166" t="str">
        <f>IF(LEFT(Berekening!N47,1)&gt;RIGHT(Berekening!N47,1),$A300,IF(LEFT(Berekening!N47,1)&lt;RIGHT(Berekening!N47,1),$C300,"gelijkspel"))</f>
        <v>gelijkspel</v>
      </c>
      <c r="O300" s="166" t="str">
        <f>IF(LEFT(Berekening!O47,1)&gt;RIGHT(Berekening!O47,1),$A300,IF(LEFT(Berekening!O47,1)&lt;RIGHT(Berekening!O47,1),$C300,"gelijkspel"))</f>
        <v>gelijkspel</v>
      </c>
      <c r="P300" s="166" t="str">
        <f>IF(LEFT(Berekening!P47,1)&gt;RIGHT(Berekening!P47,1),$A300,IF(LEFT(Berekening!P47,1)&lt;RIGHT(Berekening!P47,1),$C300,"gelijkspel"))</f>
        <v>Roemenië</v>
      </c>
      <c r="Q300" s="166" t="str">
        <f>IF(LEFT(Berekening!Q47,1)&gt;RIGHT(Berekening!Q47,1),$A300,IF(LEFT(Berekening!Q47,1)&lt;RIGHT(Berekening!Q47,1),$C300,"gelijkspel"))</f>
        <v>gelijkspel</v>
      </c>
      <c r="R300" s="166" t="str">
        <f>IF(LEFT(Berekening!R47,1)&gt;RIGHT(Berekening!R47,1),$A300,IF(LEFT(Berekening!R47,1)&lt;RIGHT(Berekening!R47,1),$C300,"gelijkspel"))</f>
        <v>gelijkspel</v>
      </c>
      <c r="S300" s="166" t="str">
        <f>IF(LEFT(Berekening!S47,1)&gt;RIGHT(Berekening!S47,1),$A300,IF(LEFT(Berekening!S47,1)&lt;RIGHT(Berekening!S47,1),$C300,"gelijkspel"))</f>
        <v>Slowakije</v>
      </c>
      <c r="T300" s="166" t="str">
        <f>IF(LEFT(Berekening!T47,1)&gt;RIGHT(Berekening!T47,1),$A300,IF(LEFT(Berekening!T47,1)&lt;RIGHT(Berekening!T47,1),$C300,"gelijkspel"))</f>
        <v>gelijkspel</v>
      </c>
      <c r="U300" s="166" t="str">
        <f>IF(LEFT(Berekening!U47,1)&gt;RIGHT(Berekening!U47,1),$A300,IF(LEFT(Berekening!U47,1)&lt;RIGHT(Berekening!U47,1),$C300,"gelijkspel"))</f>
        <v>gelijkspel</v>
      </c>
      <c r="V300" s="166" t="str">
        <f>IF(LEFT(Berekening!V47,1)&gt;RIGHT(Berekening!V47,1),$A300,IF(LEFT(Berekening!V47,1)&lt;RIGHT(Berekening!V47,1),$C300,"gelijkspel"))</f>
        <v>gelijkspel</v>
      </c>
      <c r="W300" s="166" t="str">
        <f>IF(LEFT(Berekening!W47,1)&gt;RIGHT(Berekening!W47,1),$A300,IF(LEFT(Berekening!W47,1)&lt;RIGHT(Berekening!W47,1),$C300,"gelijkspel"))</f>
        <v>gelijkspel</v>
      </c>
      <c r="X300" s="166" t="str">
        <f>IF(LEFT(Berekening!X47,1)&gt;RIGHT(Berekening!X47,1),$A300,IF(LEFT(Berekening!X47,1)&lt;RIGHT(Berekening!X47,1),$C300,"gelijkspel"))</f>
        <v>gelijkspel</v>
      </c>
      <c r="Y300" s="166" t="str">
        <f>IF(LEFT(Berekening!Y47,1)&gt;RIGHT(Berekening!Y47,1),$A300,IF(LEFT(Berekening!Y47,1)&lt;RIGHT(Berekening!Y47,1),$C300,"gelijkspel"))</f>
        <v>gelijkspel</v>
      </c>
      <c r="Z300" s="166" t="str">
        <f>IF(LEFT(Berekening!Z47,1)&gt;RIGHT(Berekening!Z47,1),$A300,IF(LEFT(Berekening!Z47,1)&lt;RIGHT(Berekening!Z47,1),$C300,"gelijkspel"))</f>
        <v>gelijkspel</v>
      </c>
      <c r="AA300" s="166" t="str">
        <f>IF(LEFT(Berekening!AA47,1)&gt;RIGHT(Berekening!AA47,1),$A300,IF(LEFT(Berekening!AA47,1)&lt;RIGHT(Berekening!AA47,1),$C300,"gelijkspel"))</f>
        <v>gelijkspel</v>
      </c>
      <c r="AB300" s="166" t="str">
        <f>IF(LEFT(Berekening!AB47,1)&gt;RIGHT(Berekening!AB47,1),$A300,IF(LEFT(Berekening!AB47,1)&lt;RIGHT(Berekening!AB47,1),$C300,"gelijkspel"))</f>
        <v>gelijkspel</v>
      </c>
      <c r="AC300" s="166" t="str">
        <f>IF(LEFT(Berekening!AC47,1)&gt;RIGHT(Berekening!AC47,1),$A300,IF(LEFT(Berekening!AC47,1)&lt;RIGHT(Berekening!AC47,1),$C300,"gelijkspel"))</f>
        <v>gelijkspel</v>
      </c>
      <c r="AD300" s="166" t="str">
        <f>IF(LEFT(Berekening!AD47,1)&gt;RIGHT(Berekening!AD47,1),$A300,IF(LEFT(Berekening!AD47,1)&lt;RIGHT(Berekening!AD47,1),$C300,"gelijkspel"))</f>
        <v>gelijkspel</v>
      </c>
      <c r="AE300" s="166" t="str">
        <f>IF(LEFT(Berekening!AE47,1)&gt;RIGHT(Berekening!AE47,1),$A300,IF(LEFT(Berekening!AE47,1)&lt;RIGHT(Berekening!AE47,1),$C300,"gelijkspel"))</f>
        <v>gelijkspel</v>
      </c>
      <c r="AF300" s="166" t="str">
        <f>IF(LEFT(Berekening!AF47,1)&gt;RIGHT(Berekening!AF47,1),$A300,IF(LEFT(Berekening!AF47,1)&lt;RIGHT(Berekening!AF47,1),$C300,"gelijkspel"))</f>
        <v>gelijkspel</v>
      </c>
      <c r="AG300" s="166" t="str">
        <f>IF(LEFT(Berekening!AG47,1)&gt;RIGHT(Berekening!AG47,1),$A300,IF(LEFT(Berekening!AG47,1)&lt;RIGHT(Berekening!AG47,1),$C300,"gelijkspel"))</f>
        <v>gelijkspel</v>
      </c>
      <c r="AH300" s="166" t="str">
        <f>IF(LEFT(Berekening!AH47,1)&gt;RIGHT(Berekening!AH47,1),$A300,IF(LEFT(Berekening!AH47,1)&lt;RIGHT(Berekening!AH47,1),$C300,"gelijkspel"))</f>
        <v>gelijkspel</v>
      </c>
      <c r="AI300" s="166" t="str">
        <f>IF(LEFT(Berekening!AI47,1)&gt;RIGHT(Berekening!AI47,1),$A300,IF(LEFT(Berekening!AI47,1)&lt;RIGHT(Berekening!AI47,1),$C300,"gelijkspel"))</f>
        <v>gelijkspel</v>
      </c>
      <c r="AJ300" s="166" t="str">
        <f>IF(LEFT(Berekening!AJ47,1)&gt;RIGHT(Berekening!AJ47,1),$A300,IF(LEFT(Berekening!AJ47,1)&lt;RIGHT(Berekening!AJ47,1),$C300,"gelijkspel"))</f>
        <v>gelijkspel</v>
      </c>
      <c r="AK300" s="166" t="str">
        <f>IF(LEFT(Berekening!AK47,1)&gt;RIGHT(Berekening!AK47,1),$A300,IF(LEFT(Berekening!AK47,1)&lt;RIGHT(Berekening!AK47,1),$C300,"gelijkspel"))</f>
        <v>gelijkspel</v>
      </c>
      <c r="AL300" s="166" t="str">
        <f>IF(LEFT(Berekening!AL47,1)&gt;RIGHT(Berekening!AL47,1),$A300,IF(LEFT(Berekening!AL47,1)&lt;RIGHT(Berekening!AL47,1),$C300,"gelijkspel"))</f>
        <v>gelijkspel</v>
      </c>
      <c r="AM300" s="166" t="str">
        <f>IF(LEFT(Berekening!AM47,1)&gt;RIGHT(Berekening!AM47,1),$A300,IF(LEFT(Berekening!AM47,1)&lt;RIGHT(Berekening!AM47,1),$C300,"gelijkspel"))</f>
        <v>gelijkspel</v>
      </c>
      <c r="AN300" s="166" t="str">
        <f>IF(LEFT(Berekening!AN47,1)&gt;RIGHT(Berekening!AN47,1),$A300,IF(LEFT(Berekening!AN47,1)&lt;RIGHT(Berekening!AN47,1),$C300,"gelijkspel"))</f>
        <v>gelijkspel</v>
      </c>
      <c r="AO300" s="166" t="str">
        <f>IF(LEFT(Berekening!AO47,1)&gt;RIGHT(Berekening!AO47,1),$A300,IF(LEFT(Berekening!AO47,1)&lt;RIGHT(Berekening!AO47,1),$C300,"gelijkspel"))</f>
        <v>gelijkspel</v>
      </c>
      <c r="AP300" s="166" t="str">
        <f>IF(LEFT(Berekening!AP47,1)&gt;RIGHT(Berekening!AP47,1),$A300,IF(LEFT(Berekening!AP47,1)&lt;RIGHT(Berekening!AP47,1),$C300,"gelijkspel"))</f>
        <v>gelijkspel</v>
      </c>
      <c r="AQ300" s="166" t="str">
        <f>IF(LEFT(Berekening!AQ47,1)&gt;RIGHT(Berekening!AQ47,1),$A300,IF(LEFT(Berekening!AQ47,1)&lt;RIGHT(Berekening!AQ47,1),$C300,"gelijkspel"))</f>
        <v>gelijkspel</v>
      </c>
      <c r="AR300" s="166" t="str">
        <f>IF(LEFT(Berekening!AR47,1)&gt;RIGHT(Berekening!AR47,1),$A300,IF(LEFT(Berekening!AR47,1)&lt;RIGHT(Berekening!AR47,1),$C300,"gelijkspel"))</f>
        <v>gelijkspel</v>
      </c>
      <c r="AS300" s="166" t="str">
        <f>IF(LEFT(Berekening!AS47,1)&gt;RIGHT(Berekening!AS47,1),$A300,IF(LEFT(Berekening!AS47,1)&lt;RIGHT(Berekening!AS47,1),$C300,"gelijkspel"))</f>
        <v>gelijkspel</v>
      </c>
      <c r="AT300" s="166" t="str">
        <f>IF(LEFT(Berekening!AT47,1)&gt;RIGHT(Berekening!AT47,1),$A300,IF(LEFT(Berekening!AT47,1)&lt;RIGHT(Berekening!AT47,1),$C300,"gelijkspel"))</f>
        <v>gelijkspel</v>
      </c>
    </row>
    <row r="301" spans="1:46" s="161" customFormat="1" ht="15">
      <c r="A301" s="163" t="s">
        <v>1235</v>
      </c>
      <c r="B301" s="164" t="s">
        <v>2971</v>
      </c>
      <c r="C301" s="165" t="s">
        <v>1889</v>
      </c>
      <c r="E301" s="166" t="str">
        <f>IF(LEFT(Berekening!E48,1)&gt;RIGHT(Berekening!E48,1),$A301,IF(LEFT(Berekening!E48,1)&lt;RIGHT(Berekening!E48,1),$C301,"gelijkspel"))</f>
        <v>gelijkspel</v>
      </c>
      <c r="F301" s="166" t="str">
        <f>IF(LEFT(Berekening!F48,1)&gt;RIGHT(Berekening!F48,1),$A301,IF(LEFT(Berekening!F48,1)&lt;RIGHT(Berekening!F48,1),$C301,"gelijkspel"))</f>
        <v>België</v>
      </c>
      <c r="G301" s="166" t="str">
        <f>IF(LEFT(Berekening!G48,1)&gt;RIGHT(Berekening!G48,1),$A301,IF(LEFT(Berekening!G48,1)&lt;RIGHT(Berekening!G48,1),$C301,"gelijkspel"))</f>
        <v>België</v>
      </c>
      <c r="H301" s="166" t="str">
        <f>IF(LEFT(Berekening!H48,1)&gt;RIGHT(Berekening!H48,1),$A301,IF(LEFT(Berekening!H48,1)&lt;RIGHT(Berekening!H48,1),$C301,"gelijkspel"))</f>
        <v>België</v>
      </c>
      <c r="I301" s="166" t="str">
        <f>IF(LEFT(Berekening!I48,1)&gt;RIGHT(Berekening!I48,1),$A301,IF(LEFT(Berekening!I48,1)&lt;RIGHT(Berekening!I48,1),$C301,"gelijkspel"))</f>
        <v>België</v>
      </c>
      <c r="J301" s="166" t="str">
        <f>IF(LEFT(Berekening!J48,1)&gt;RIGHT(Berekening!J48,1),$A301,IF(LEFT(Berekening!J48,1)&lt;RIGHT(Berekening!J48,1),$C301,"gelijkspel"))</f>
        <v>België</v>
      </c>
      <c r="K301" s="166" t="str">
        <f>IF(LEFT(Berekening!K48,1)&gt;RIGHT(Berekening!K48,1),$A301,IF(LEFT(Berekening!K48,1)&lt;RIGHT(Berekening!K48,1),$C301,"gelijkspel"))</f>
        <v>België</v>
      </c>
      <c r="L301" s="166" t="str">
        <f>IF(LEFT(Berekening!L48,1)&gt;RIGHT(Berekening!L48,1),$A301,IF(LEFT(Berekening!L48,1)&lt;RIGHT(Berekening!L48,1),$C301,"gelijkspel"))</f>
        <v>België</v>
      </c>
      <c r="M301" s="166" t="str">
        <f>IF(LEFT(Berekening!M48,1)&gt;RIGHT(Berekening!M48,1),$A301,IF(LEFT(Berekening!M48,1)&lt;RIGHT(Berekening!M48,1),$C301,"gelijkspel"))</f>
        <v>België</v>
      </c>
      <c r="N301" s="166" t="str">
        <f>IF(LEFT(Berekening!N48,1)&gt;RIGHT(Berekening!N48,1),$A301,IF(LEFT(Berekening!N48,1)&lt;RIGHT(Berekening!N48,1),$C301,"gelijkspel"))</f>
        <v>België</v>
      </c>
      <c r="O301" s="166" t="str">
        <f>IF(LEFT(Berekening!O48,1)&gt;RIGHT(Berekening!O48,1),$A301,IF(LEFT(Berekening!O48,1)&lt;RIGHT(Berekening!O48,1),$C301,"gelijkspel"))</f>
        <v>België</v>
      </c>
      <c r="P301" s="166" t="str">
        <f>IF(LEFT(Berekening!P48,1)&gt;RIGHT(Berekening!P48,1),$A301,IF(LEFT(Berekening!P48,1)&lt;RIGHT(Berekening!P48,1),$C301,"gelijkspel"))</f>
        <v>België</v>
      </c>
      <c r="Q301" s="166" t="str">
        <f>IF(LEFT(Berekening!Q48,1)&gt;RIGHT(Berekening!Q48,1),$A301,IF(LEFT(Berekening!Q48,1)&lt;RIGHT(Berekening!Q48,1),$C301,"gelijkspel"))</f>
        <v>België</v>
      </c>
      <c r="R301" s="166" t="str">
        <f>IF(LEFT(Berekening!R48,1)&gt;RIGHT(Berekening!R48,1),$A301,IF(LEFT(Berekening!R48,1)&lt;RIGHT(Berekening!R48,1),$C301,"gelijkspel"))</f>
        <v>België</v>
      </c>
      <c r="S301" s="166" t="str">
        <f>IF(LEFT(Berekening!S48,1)&gt;RIGHT(Berekening!S48,1),$A301,IF(LEFT(Berekening!S48,1)&lt;RIGHT(Berekening!S48,1),$C301,"gelijkspel"))</f>
        <v>België</v>
      </c>
      <c r="T301" s="166" t="str">
        <f>IF(LEFT(Berekening!T48,1)&gt;RIGHT(Berekening!T48,1),$A301,IF(LEFT(Berekening!T48,1)&lt;RIGHT(Berekening!T48,1),$C301,"gelijkspel"))</f>
        <v>België</v>
      </c>
      <c r="U301" s="166" t="str">
        <f>IF(LEFT(Berekening!U48,1)&gt;RIGHT(Berekening!U48,1),$A301,IF(LEFT(Berekening!U48,1)&lt;RIGHT(Berekening!U48,1),$C301,"gelijkspel"))</f>
        <v>gelijkspel</v>
      </c>
      <c r="V301" s="166" t="str">
        <f>IF(LEFT(Berekening!V48,1)&gt;RIGHT(Berekening!V48,1),$A301,IF(LEFT(Berekening!V48,1)&lt;RIGHT(Berekening!V48,1),$C301,"gelijkspel"))</f>
        <v>gelijkspel</v>
      </c>
      <c r="W301" s="166" t="str">
        <f>IF(LEFT(Berekening!W48,1)&gt;RIGHT(Berekening!W48,1),$A301,IF(LEFT(Berekening!W48,1)&lt;RIGHT(Berekening!W48,1),$C301,"gelijkspel"))</f>
        <v>gelijkspel</v>
      </c>
      <c r="X301" s="166" t="str">
        <f>IF(LEFT(Berekening!X48,1)&gt;RIGHT(Berekening!X48,1),$A301,IF(LEFT(Berekening!X48,1)&lt;RIGHT(Berekening!X48,1),$C301,"gelijkspel"))</f>
        <v>gelijkspel</v>
      </c>
      <c r="Y301" s="166" t="str">
        <f>IF(LEFT(Berekening!Y48,1)&gt;RIGHT(Berekening!Y48,1),$A301,IF(LEFT(Berekening!Y48,1)&lt;RIGHT(Berekening!Y48,1),$C301,"gelijkspel"))</f>
        <v>gelijkspel</v>
      </c>
      <c r="Z301" s="166" t="str">
        <f>IF(LEFT(Berekening!Z48,1)&gt;RIGHT(Berekening!Z48,1),$A301,IF(LEFT(Berekening!Z48,1)&lt;RIGHT(Berekening!Z48,1),$C301,"gelijkspel"))</f>
        <v>gelijkspel</v>
      </c>
      <c r="AA301" s="166" t="str">
        <f>IF(LEFT(Berekening!AA48,1)&gt;RIGHT(Berekening!AA48,1),$A301,IF(LEFT(Berekening!AA48,1)&lt;RIGHT(Berekening!AA48,1),$C301,"gelijkspel"))</f>
        <v>gelijkspel</v>
      </c>
      <c r="AB301" s="166" t="str">
        <f>IF(LEFT(Berekening!AB48,1)&gt;RIGHT(Berekening!AB48,1),$A301,IF(LEFT(Berekening!AB48,1)&lt;RIGHT(Berekening!AB48,1),$C301,"gelijkspel"))</f>
        <v>gelijkspel</v>
      </c>
      <c r="AC301" s="166" t="str">
        <f>IF(LEFT(Berekening!AC48,1)&gt;RIGHT(Berekening!AC48,1),$A301,IF(LEFT(Berekening!AC48,1)&lt;RIGHT(Berekening!AC48,1),$C301,"gelijkspel"))</f>
        <v>gelijkspel</v>
      </c>
      <c r="AD301" s="166" t="str">
        <f>IF(LEFT(Berekening!AD48,1)&gt;RIGHT(Berekening!AD48,1),$A301,IF(LEFT(Berekening!AD48,1)&lt;RIGHT(Berekening!AD48,1),$C301,"gelijkspel"))</f>
        <v>gelijkspel</v>
      </c>
      <c r="AE301" s="166" t="str">
        <f>IF(LEFT(Berekening!AE48,1)&gt;RIGHT(Berekening!AE48,1),$A301,IF(LEFT(Berekening!AE48,1)&lt;RIGHT(Berekening!AE48,1),$C301,"gelijkspel"))</f>
        <v>gelijkspel</v>
      </c>
      <c r="AF301" s="166" t="str">
        <f>IF(LEFT(Berekening!AF48,1)&gt;RIGHT(Berekening!AF48,1),$A301,IF(LEFT(Berekening!AF48,1)&lt;RIGHT(Berekening!AF48,1),$C301,"gelijkspel"))</f>
        <v>gelijkspel</v>
      </c>
      <c r="AG301" s="166" t="str">
        <f>IF(LEFT(Berekening!AG48,1)&gt;RIGHT(Berekening!AG48,1),$A301,IF(LEFT(Berekening!AG48,1)&lt;RIGHT(Berekening!AG48,1),$C301,"gelijkspel"))</f>
        <v>gelijkspel</v>
      </c>
      <c r="AH301" s="166" t="str">
        <f>IF(LEFT(Berekening!AH48,1)&gt;RIGHT(Berekening!AH48,1),$A301,IF(LEFT(Berekening!AH48,1)&lt;RIGHT(Berekening!AH48,1),$C301,"gelijkspel"))</f>
        <v>gelijkspel</v>
      </c>
      <c r="AI301" s="166" t="str">
        <f>IF(LEFT(Berekening!AI48,1)&gt;RIGHT(Berekening!AI48,1),$A301,IF(LEFT(Berekening!AI48,1)&lt;RIGHT(Berekening!AI48,1),$C301,"gelijkspel"))</f>
        <v>gelijkspel</v>
      </c>
      <c r="AJ301" s="166" t="str">
        <f>IF(LEFT(Berekening!AJ48,1)&gt;RIGHT(Berekening!AJ48,1),$A301,IF(LEFT(Berekening!AJ48,1)&lt;RIGHT(Berekening!AJ48,1),$C301,"gelijkspel"))</f>
        <v>gelijkspel</v>
      </c>
      <c r="AK301" s="166" t="str">
        <f>IF(LEFT(Berekening!AK48,1)&gt;RIGHT(Berekening!AK48,1),$A301,IF(LEFT(Berekening!AK48,1)&lt;RIGHT(Berekening!AK48,1),$C301,"gelijkspel"))</f>
        <v>gelijkspel</v>
      </c>
      <c r="AL301" s="166" t="str">
        <f>IF(LEFT(Berekening!AL48,1)&gt;RIGHT(Berekening!AL48,1),$A301,IF(LEFT(Berekening!AL48,1)&lt;RIGHT(Berekening!AL48,1),$C301,"gelijkspel"))</f>
        <v>gelijkspel</v>
      </c>
      <c r="AM301" s="166" t="str">
        <f>IF(LEFT(Berekening!AM48,1)&gt;RIGHT(Berekening!AM48,1),$A301,IF(LEFT(Berekening!AM48,1)&lt;RIGHT(Berekening!AM48,1),$C301,"gelijkspel"))</f>
        <v>gelijkspel</v>
      </c>
      <c r="AN301" s="166" t="str">
        <f>IF(LEFT(Berekening!AN48,1)&gt;RIGHT(Berekening!AN48,1),$A301,IF(LEFT(Berekening!AN48,1)&lt;RIGHT(Berekening!AN48,1),$C301,"gelijkspel"))</f>
        <v>gelijkspel</v>
      </c>
      <c r="AO301" s="166" t="str">
        <f>IF(LEFT(Berekening!AO48,1)&gt;RIGHT(Berekening!AO48,1),$A301,IF(LEFT(Berekening!AO48,1)&lt;RIGHT(Berekening!AO48,1),$C301,"gelijkspel"))</f>
        <v>gelijkspel</v>
      </c>
      <c r="AP301" s="166" t="str">
        <f>IF(LEFT(Berekening!AP48,1)&gt;RIGHT(Berekening!AP48,1),$A301,IF(LEFT(Berekening!AP48,1)&lt;RIGHT(Berekening!AP48,1),$C301,"gelijkspel"))</f>
        <v>gelijkspel</v>
      </c>
      <c r="AQ301" s="166" t="str">
        <f>IF(LEFT(Berekening!AQ48,1)&gt;RIGHT(Berekening!AQ48,1),$A301,IF(LEFT(Berekening!AQ48,1)&lt;RIGHT(Berekening!AQ48,1),$C301,"gelijkspel"))</f>
        <v>gelijkspel</v>
      </c>
      <c r="AR301" s="166" t="str">
        <f>IF(LEFT(Berekening!AR48,1)&gt;RIGHT(Berekening!AR48,1),$A301,IF(LEFT(Berekening!AR48,1)&lt;RIGHT(Berekening!AR48,1),$C301,"gelijkspel"))</f>
        <v>gelijkspel</v>
      </c>
      <c r="AS301" s="166" t="str">
        <f>IF(LEFT(Berekening!AS48,1)&gt;RIGHT(Berekening!AS48,1),$A301,IF(LEFT(Berekening!AS48,1)&lt;RIGHT(Berekening!AS48,1),$C301,"gelijkspel"))</f>
        <v>gelijkspel</v>
      </c>
      <c r="AT301" s="166" t="str">
        <f>IF(LEFT(Berekening!AT48,1)&gt;RIGHT(Berekening!AT48,1),$A301,IF(LEFT(Berekening!AT48,1)&lt;RIGHT(Berekening!AT48,1),$C301,"gelijkspel"))</f>
        <v>gelijkspel</v>
      </c>
    </row>
    <row r="302" spans="1:46" s="161" customFormat="1" ht="15">
      <c r="A302" s="163" t="s">
        <v>2689</v>
      </c>
      <c r="B302" s="164" t="s">
        <v>2971</v>
      </c>
      <c r="C302" s="165" t="s">
        <v>1132</v>
      </c>
      <c r="E302" s="166" t="str">
        <f>IF(LEFT(Berekening!E49,1)&gt;RIGHT(Berekening!E49,1),$A302,IF(LEFT(Berekening!E49,1)&lt;RIGHT(Berekening!E49,1),$C302,"gelijkspel"))</f>
        <v>Portugal</v>
      </c>
      <c r="F302" s="166" t="str">
        <f>IF(LEFT(Berekening!F49,1)&gt;RIGHT(Berekening!F49,1),$A302,IF(LEFT(Berekening!F49,1)&lt;RIGHT(Berekening!F49,1),$C302,"gelijkspel"))</f>
        <v>Portugal</v>
      </c>
      <c r="G302" s="166" t="str">
        <f>IF(LEFT(Berekening!G49,1)&gt;RIGHT(Berekening!G49,1),$A302,IF(LEFT(Berekening!G49,1)&lt;RIGHT(Berekening!G49,1),$C302,"gelijkspel"))</f>
        <v>Portugal</v>
      </c>
      <c r="H302" s="166" t="str">
        <f>IF(LEFT(Berekening!H49,1)&gt;RIGHT(Berekening!H49,1),$A302,IF(LEFT(Berekening!H49,1)&lt;RIGHT(Berekening!H49,1),$C302,"gelijkspel"))</f>
        <v>Portugal</v>
      </c>
      <c r="I302" s="166" t="str">
        <f>IF(LEFT(Berekening!I49,1)&gt;RIGHT(Berekening!I49,1),$A302,IF(LEFT(Berekening!I49,1)&lt;RIGHT(Berekening!I49,1),$C302,"gelijkspel"))</f>
        <v>Portugal</v>
      </c>
      <c r="J302" s="166" t="str">
        <f>IF(LEFT(Berekening!J49,1)&gt;RIGHT(Berekening!J49,1),$A302,IF(LEFT(Berekening!J49,1)&lt;RIGHT(Berekening!J49,1),$C302,"gelijkspel"))</f>
        <v>Portugal</v>
      </c>
      <c r="K302" s="166" t="str">
        <f>IF(LEFT(Berekening!K49,1)&gt;RIGHT(Berekening!K49,1),$A302,IF(LEFT(Berekening!K49,1)&lt;RIGHT(Berekening!K49,1),$C302,"gelijkspel"))</f>
        <v>Portugal</v>
      </c>
      <c r="L302" s="166" t="str">
        <f>IF(LEFT(Berekening!L49,1)&gt;RIGHT(Berekening!L49,1),$A302,IF(LEFT(Berekening!L49,1)&lt;RIGHT(Berekening!L49,1),$C302,"gelijkspel"))</f>
        <v>Portugal</v>
      </c>
      <c r="M302" s="166" t="str">
        <f>IF(LEFT(Berekening!M49,1)&gt;RIGHT(Berekening!M49,1),$A302,IF(LEFT(Berekening!M49,1)&lt;RIGHT(Berekening!M49,1),$C302,"gelijkspel"))</f>
        <v>Portugal</v>
      </c>
      <c r="N302" s="166" t="str">
        <f>IF(LEFT(Berekening!N49,1)&gt;RIGHT(Berekening!N49,1),$A302,IF(LEFT(Berekening!N49,1)&lt;RIGHT(Berekening!N49,1),$C302,"gelijkspel"))</f>
        <v>Portugal</v>
      </c>
      <c r="O302" s="166" t="str">
        <f>IF(LEFT(Berekening!O49,1)&gt;RIGHT(Berekening!O49,1),$A302,IF(LEFT(Berekening!O49,1)&lt;RIGHT(Berekening!O49,1),$C302,"gelijkspel"))</f>
        <v>Portugal</v>
      </c>
      <c r="P302" s="166" t="str">
        <f>IF(LEFT(Berekening!P49,1)&gt;RIGHT(Berekening!P49,1),$A302,IF(LEFT(Berekening!P49,1)&lt;RIGHT(Berekening!P49,1),$C302,"gelijkspel"))</f>
        <v>Portugal</v>
      </c>
      <c r="Q302" s="166" t="str">
        <f>IF(LEFT(Berekening!Q49,1)&gt;RIGHT(Berekening!Q49,1),$A302,IF(LEFT(Berekening!Q49,1)&lt;RIGHT(Berekening!Q49,1),$C302,"gelijkspel"))</f>
        <v>Portugal</v>
      </c>
      <c r="R302" s="166" t="str">
        <f>IF(LEFT(Berekening!R49,1)&gt;RIGHT(Berekening!R49,1),$A302,IF(LEFT(Berekening!R49,1)&lt;RIGHT(Berekening!R49,1),$C302,"gelijkspel"))</f>
        <v>Portugal</v>
      </c>
      <c r="S302" s="166" t="str">
        <f>IF(LEFT(Berekening!S49,1)&gt;RIGHT(Berekening!S49,1),$A302,IF(LEFT(Berekening!S49,1)&lt;RIGHT(Berekening!S49,1),$C302,"gelijkspel"))</f>
        <v>Portugal</v>
      </c>
      <c r="T302" s="166" t="str">
        <f>IF(LEFT(Berekening!T49,1)&gt;RIGHT(Berekening!T49,1),$A302,IF(LEFT(Berekening!T49,1)&lt;RIGHT(Berekening!T49,1),$C302,"gelijkspel"))</f>
        <v>Portugal</v>
      </c>
      <c r="U302" s="166" t="str">
        <f>IF(LEFT(Berekening!U49,1)&gt;RIGHT(Berekening!U49,1),$A302,IF(LEFT(Berekening!U49,1)&lt;RIGHT(Berekening!U49,1),$C302,"gelijkspel"))</f>
        <v>gelijkspel</v>
      </c>
      <c r="V302" s="166" t="str">
        <f>IF(LEFT(Berekening!V49,1)&gt;RIGHT(Berekening!V49,1),$A302,IF(LEFT(Berekening!V49,1)&lt;RIGHT(Berekening!V49,1),$C302,"gelijkspel"))</f>
        <v>gelijkspel</v>
      </c>
      <c r="W302" s="166" t="str">
        <f>IF(LEFT(Berekening!W49,1)&gt;RIGHT(Berekening!W49,1),$A302,IF(LEFT(Berekening!W49,1)&lt;RIGHT(Berekening!W49,1),$C302,"gelijkspel"))</f>
        <v>gelijkspel</v>
      </c>
      <c r="X302" s="166" t="str">
        <f>IF(LEFT(Berekening!X49,1)&gt;RIGHT(Berekening!X49,1),$A302,IF(LEFT(Berekening!X49,1)&lt;RIGHT(Berekening!X49,1),$C302,"gelijkspel"))</f>
        <v>gelijkspel</v>
      </c>
      <c r="Y302" s="166" t="str">
        <f>IF(LEFT(Berekening!Y49,1)&gt;RIGHT(Berekening!Y49,1),$A302,IF(LEFT(Berekening!Y49,1)&lt;RIGHT(Berekening!Y49,1),$C302,"gelijkspel"))</f>
        <v>gelijkspel</v>
      </c>
      <c r="Z302" s="166" t="str">
        <f>IF(LEFT(Berekening!Z49,1)&gt;RIGHT(Berekening!Z49,1),$A302,IF(LEFT(Berekening!Z49,1)&lt;RIGHT(Berekening!Z49,1),$C302,"gelijkspel"))</f>
        <v>gelijkspel</v>
      </c>
      <c r="AA302" s="166" t="str">
        <f>IF(LEFT(Berekening!AA49,1)&gt;RIGHT(Berekening!AA49,1),$A302,IF(LEFT(Berekening!AA49,1)&lt;RIGHT(Berekening!AA49,1),$C302,"gelijkspel"))</f>
        <v>gelijkspel</v>
      </c>
      <c r="AB302" s="166" t="str">
        <f>IF(LEFT(Berekening!AB49,1)&gt;RIGHT(Berekening!AB49,1),$A302,IF(LEFT(Berekening!AB49,1)&lt;RIGHT(Berekening!AB49,1),$C302,"gelijkspel"))</f>
        <v>gelijkspel</v>
      </c>
      <c r="AC302" s="166" t="str">
        <f>IF(LEFT(Berekening!AC49,1)&gt;RIGHT(Berekening!AC49,1),$A302,IF(LEFT(Berekening!AC49,1)&lt;RIGHT(Berekening!AC49,1),$C302,"gelijkspel"))</f>
        <v>gelijkspel</v>
      </c>
      <c r="AD302" s="166" t="str">
        <f>IF(LEFT(Berekening!AD49,1)&gt;RIGHT(Berekening!AD49,1),$A302,IF(LEFT(Berekening!AD49,1)&lt;RIGHT(Berekening!AD49,1),$C302,"gelijkspel"))</f>
        <v>gelijkspel</v>
      </c>
      <c r="AE302" s="166" t="str">
        <f>IF(LEFT(Berekening!AE49,1)&gt;RIGHT(Berekening!AE49,1),$A302,IF(LEFT(Berekening!AE49,1)&lt;RIGHT(Berekening!AE49,1),$C302,"gelijkspel"))</f>
        <v>gelijkspel</v>
      </c>
      <c r="AF302" s="166" t="str">
        <f>IF(LEFT(Berekening!AF49,1)&gt;RIGHT(Berekening!AF49,1),$A302,IF(LEFT(Berekening!AF49,1)&lt;RIGHT(Berekening!AF49,1),$C302,"gelijkspel"))</f>
        <v>gelijkspel</v>
      </c>
      <c r="AG302" s="166" t="str">
        <f>IF(LEFT(Berekening!AG49,1)&gt;RIGHT(Berekening!AG49,1),$A302,IF(LEFT(Berekening!AG49,1)&lt;RIGHT(Berekening!AG49,1),$C302,"gelijkspel"))</f>
        <v>gelijkspel</v>
      </c>
      <c r="AH302" s="166" t="str">
        <f>IF(LEFT(Berekening!AH49,1)&gt;RIGHT(Berekening!AH49,1),$A302,IF(LEFT(Berekening!AH49,1)&lt;RIGHT(Berekening!AH49,1),$C302,"gelijkspel"))</f>
        <v>gelijkspel</v>
      </c>
      <c r="AI302" s="166" t="str">
        <f>IF(LEFT(Berekening!AI49,1)&gt;RIGHT(Berekening!AI49,1),$A302,IF(LEFT(Berekening!AI49,1)&lt;RIGHT(Berekening!AI49,1),$C302,"gelijkspel"))</f>
        <v>gelijkspel</v>
      </c>
      <c r="AJ302" s="166" t="str">
        <f>IF(LEFT(Berekening!AJ49,1)&gt;RIGHT(Berekening!AJ49,1),$A302,IF(LEFT(Berekening!AJ49,1)&lt;RIGHT(Berekening!AJ49,1),$C302,"gelijkspel"))</f>
        <v>gelijkspel</v>
      </c>
      <c r="AK302" s="166" t="str">
        <f>IF(LEFT(Berekening!AK49,1)&gt;RIGHT(Berekening!AK49,1),$A302,IF(LEFT(Berekening!AK49,1)&lt;RIGHT(Berekening!AK49,1),$C302,"gelijkspel"))</f>
        <v>gelijkspel</v>
      </c>
      <c r="AL302" s="166" t="str">
        <f>IF(LEFT(Berekening!AL49,1)&gt;RIGHT(Berekening!AL49,1),$A302,IF(LEFT(Berekening!AL49,1)&lt;RIGHT(Berekening!AL49,1),$C302,"gelijkspel"))</f>
        <v>gelijkspel</v>
      </c>
      <c r="AM302" s="166" t="str">
        <f>IF(LEFT(Berekening!AM49,1)&gt;RIGHT(Berekening!AM49,1),$A302,IF(LEFT(Berekening!AM49,1)&lt;RIGHT(Berekening!AM49,1),$C302,"gelijkspel"))</f>
        <v>gelijkspel</v>
      </c>
      <c r="AN302" s="166" t="str">
        <f>IF(LEFT(Berekening!AN49,1)&gt;RIGHT(Berekening!AN49,1),$A302,IF(LEFT(Berekening!AN49,1)&lt;RIGHT(Berekening!AN49,1),$C302,"gelijkspel"))</f>
        <v>gelijkspel</v>
      </c>
      <c r="AO302" s="166" t="str">
        <f>IF(LEFT(Berekening!AO49,1)&gt;RIGHT(Berekening!AO49,1),$A302,IF(LEFT(Berekening!AO49,1)&lt;RIGHT(Berekening!AO49,1),$C302,"gelijkspel"))</f>
        <v>gelijkspel</v>
      </c>
      <c r="AP302" s="166" t="str">
        <f>IF(LEFT(Berekening!AP49,1)&gt;RIGHT(Berekening!AP49,1),$A302,IF(LEFT(Berekening!AP49,1)&lt;RIGHT(Berekening!AP49,1),$C302,"gelijkspel"))</f>
        <v>gelijkspel</v>
      </c>
      <c r="AQ302" s="166" t="str">
        <f>IF(LEFT(Berekening!AQ49,1)&gt;RIGHT(Berekening!AQ49,1),$A302,IF(LEFT(Berekening!AQ49,1)&lt;RIGHT(Berekening!AQ49,1),$C302,"gelijkspel"))</f>
        <v>gelijkspel</v>
      </c>
      <c r="AR302" s="166" t="str">
        <f>IF(LEFT(Berekening!AR49,1)&gt;RIGHT(Berekening!AR49,1),$A302,IF(LEFT(Berekening!AR49,1)&lt;RIGHT(Berekening!AR49,1),$C302,"gelijkspel"))</f>
        <v>gelijkspel</v>
      </c>
      <c r="AS302" s="166" t="str">
        <f>IF(LEFT(Berekening!AS49,1)&gt;RIGHT(Berekening!AS49,1),$A302,IF(LEFT(Berekening!AS49,1)&lt;RIGHT(Berekening!AS49,1),$C302,"gelijkspel"))</f>
        <v>gelijkspel</v>
      </c>
      <c r="AT302" s="166" t="str">
        <f>IF(LEFT(Berekening!AT49,1)&gt;RIGHT(Berekening!AT49,1),$A302,IF(LEFT(Berekening!AT49,1)&lt;RIGHT(Berekening!AT49,1),$C302,"gelijkspel"))</f>
        <v>gelijkspel</v>
      </c>
    </row>
    <row r="303" spans="1:46" s="161" customFormat="1" ht="15">
      <c r="A303" s="163" t="s">
        <v>1647</v>
      </c>
      <c r="B303" s="164" t="s">
        <v>2971</v>
      </c>
      <c r="C303" s="165" t="s">
        <v>1262</v>
      </c>
      <c r="E303" s="166" t="str">
        <f>IF(LEFT(Berekening!E50,1)&gt;RIGHT(Berekening!E50,1),$A303,IF(LEFT(Berekening!E50,1)&lt;RIGHT(Berekening!E50,1),$C303,"gelijkspel"))</f>
        <v>Turkije</v>
      </c>
      <c r="F303" s="166" t="str">
        <f>IF(LEFT(Berekening!F50,1)&gt;RIGHT(Berekening!F50,1),$A303,IF(LEFT(Berekening!F50,1)&lt;RIGHT(Berekening!F50,1),$C303,"gelijkspel"))</f>
        <v>Turkije</v>
      </c>
      <c r="G303" s="166" t="str">
        <f>IF(LEFT(Berekening!G50,1)&gt;RIGHT(Berekening!G50,1),$A303,IF(LEFT(Berekening!G50,1)&lt;RIGHT(Berekening!G50,1),$C303,"gelijkspel"))</f>
        <v>Turkije</v>
      </c>
      <c r="H303" s="166" t="str">
        <f>IF(LEFT(Berekening!H50,1)&gt;RIGHT(Berekening!H50,1),$A303,IF(LEFT(Berekening!H50,1)&lt;RIGHT(Berekening!H50,1),$C303,"gelijkspel"))</f>
        <v>gelijkspel</v>
      </c>
      <c r="I303" s="166" t="str">
        <f>IF(LEFT(Berekening!I50,1)&gt;RIGHT(Berekening!I50,1),$A303,IF(LEFT(Berekening!I50,1)&lt;RIGHT(Berekening!I50,1),$C303,"gelijkspel"))</f>
        <v>gelijkspel</v>
      </c>
      <c r="J303" s="166" t="str">
        <f>IF(LEFT(Berekening!J50,1)&gt;RIGHT(Berekening!J50,1),$A303,IF(LEFT(Berekening!J50,1)&lt;RIGHT(Berekening!J50,1),$C303,"gelijkspel"))</f>
        <v>Turkije</v>
      </c>
      <c r="K303" s="166" t="str">
        <f>IF(LEFT(Berekening!K50,1)&gt;RIGHT(Berekening!K50,1),$A303,IF(LEFT(Berekening!K50,1)&lt;RIGHT(Berekening!K50,1),$C303,"gelijkspel"))</f>
        <v>Turkije</v>
      </c>
      <c r="L303" s="166" t="str">
        <f>IF(LEFT(Berekening!L50,1)&gt;RIGHT(Berekening!L50,1),$A303,IF(LEFT(Berekening!L50,1)&lt;RIGHT(Berekening!L50,1),$C303,"gelijkspel"))</f>
        <v>Turkije</v>
      </c>
      <c r="M303" s="166" t="str">
        <f>IF(LEFT(Berekening!M50,1)&gt;RIGHT(Berekening!M50,1),$A303,IF(LEFT(Berekening!M50,1)&lt;RIGHT(Berekening!M50,1),$C303,"gelijkspel"))</f>
        <v>Tsjechische Republiek</v>
      </c>
      <c r="N303" s="166" t="str">
        <f>IF(LEFT(Berekening!N50,1)&gt;RIGHT(Berekening!N50,1),$A303,IF(LEFT(Berekening!N50,1)&lt;RIGHT(Berekening!N50,1),$C303,"gelijkspel"))</f>
        <v>Turkije</v>
      </c>
      <c r="O303" s="166" t="str">
        <f>IF(LEFT(Berekening!O50,1)&gt;RIGHT(Berekening!O50,1),$A303,IF(LEFT(Berekening!O50,1)&lt;RIGHT(Berekening!O50,1),$C303,"gelijkspel"))</f>
        <v>Turkije</v>
      </c>
      <c r="P303" s="166" t="str">
        <f>IF(LEFT(Berekening!P50,1)&gt;RIGHT(Berekening!P50,1),$A303,IF(LEFT(Berekening!P50,1)&lt;RIGHT(Berekening!P50,1),$C303,"gelijkspel"))</f>
        <v>Tsjechische Republiek</v>
      </c>
      <c r="Q303" s="166" t="str">
        <f>IF(LEFT(Berekening!Q50,1)&gt;RIGHT(Berekening!Q50,1),$A303,IF(LEFT(Berekening!Q50,1)&lt;RIGHT(Berekening!Q50,1),$C303,"gelijkspel"))</f>
        <v>gelijkspel</v>
      </c>
      <c r="R303" s="166" t="str">
        <f>IF(LEFT(Berekening!R50,1)&gt;RIGHT(Berekening!R50,1),$A303,IF(LEFT(Berekening!R50,1)&lt;RIGHT(Berekening!R50,1),$C303,"gelijkspel"))</f>
        <v>Turkije</v>
      </c>
      <c r="S303" s="166" t="str">
        <f>IF(LEFT(Berekening!S50,1)&gt;RIGHT(Berekening!S50,1),$A303,IF(LEFT(Berekening!S50,1)&lt;RIGHT(Berekening!S50,1),$C303,"gelijkspel"))</f>
        <v>gelijkspel</v>
      </c>
      <c r="T303" s="166" t="str">
        <f>IF(LEFT(Berekening!T50,1)&gt;RIGHT(Berekening!T50,1),$A303,IF(LEFT(Berekening!T50,1)&lt;RIGHT(Berekening!T50,1),$C303,"gelijkspel"))</f>
        <v>gelijkspel</v>
      </c>
      <c r="U303" s="166" t="str">
        <f>IF(LEFT(Berekening!U50,1)&gt;RIGHT(Berekening!U50,1),$A303,IF(LEFT(Berekening!U50,1)&lt;RIGHT(Berekening!U50,1),$C303,"gelijkspel"))</f>
        <v>gelijkspel</v>
      </c>
      <c r="V303" s="166" t="str">
        <f>IF(LEFT(Berekening!V50,1)&gt;RIGHT(Berekening!V50,1),$A303,IF(LEFT(Berekening!V50,1)&lt;RIGHT(Berekening!V50,1),$C303,"gelijkspel"))</f>
        <v>gelijkspel</v>
      </c>
      <c r="W303" s="166" t="str">
        <f>IF(LEFT(Berekening!W50,1)&gt;RIGHT(Berekening!W50,1),$A303,IF(LEFT(Berekening!W50,1)&lt;RIGHT(Berekening!W50,1),$C303,"gelijkspel"))</f>
        <v>gelijkspel</v>
      </c>
      <c r="X303" s="166" t="str">
        <f>IF(LEFT(Berekening!X50,1)&gt;RIGHT(Berekening!X50,1),$A303,IF(LEFT(Berekening!X50,1)&lt;RIGHT(Berekening!X50,1),$C303,"gelijkspel"))</f>
        <v>gelijkspel</v>
      </c>
      <c r="Y303" s="166" t="str">
        <f>IF(LEFT(Berekening!Y50,1)&gt;RIGHT(Berekening!Y50,1),$A303,IF(LEFT(Berekening!Y50,1)&lt;RIGHT(Berekening!Y50,1),$C303,"gelijkspel"))</f>
        <v>gelijkspel</v>
      </c>
      <c r="Z303" s="166" t="str">
        <f>IF(LEFT(Berekening!Z50,1)&gt;RIGHT(Berekening!Z50,1),$A303,IF(LEFT(Berekening!Z50,1)&lt;RIGHT(Berekening!Z50,1),$C303,"gelijkspel"))</f>
        <v>gelijkspel</v>
      </c>
      <c r="AA303" s="166" t="str">
        <f>IF(LEFT(Berekening!AA50,1)&gt;RIGHT(Berekening!AA50,1),$A303,IF(LEFT(Berekening!AA50,1)&lt;RIGHT(Berekening!AA50,1),$C303,"gelijkspel"))</f>
        <v>gelijkspel</v>
      </c>
      <c r="AB303" s="166" t="str">
        <f>IF(LEFT(Berekening!AB50,1)&gt;RIGHT(Berekening!AB50,1),$A303,IF(LEFT(Berekening!AB50,1)&lt;RIGHT(Berekening!AB50,1),$C303,"gelijkspel"))</f>
        <v>gelijkspel</v>
      </c>
      <c r="AC303" s="166" t="str">
        <f>IF(LEFT(Berekening!AC50,1)&gt;RIGHT(Berekening!AC50,1),$A303,IF(LEFT(Berekening!AC50,1)&lt;RIGHT(Berekening!AC50,1),$C303,"gelijkspel"))</f>
        <v>gelijkspel</v>
      </c>
      <c r="AD303" s="166" t="str">
        <f>IF(LEFT(Berekening!AD50,1)&gt;RIGHT(Berekening!AD50,1),$A303,IF(LEFT(Berekening!AD50,1)&lt;RIGHT(Berekening!AD50,1),$C303,"gelijkspel"))</f>
        <v>gelijkspel</v>
      </c>
      <c r="AE303" s="166" t="str">
        <f>IF(LEFT(Berekening!AE50,1)&gt;RIGHT(Berekening!AE50,1),$A303,IF(LEFT(Berekening!AE50,1)&lt;RIGHT(Berekening!AE50,1),$C303,"gelijkspel"))</f>
        <v>gelijkspel</v>
      </c>
      <c r="AF303" s="166" t="str">
        <f>IF(LEFT(Berekening!AF50,1)&gt;RIGHT(Berekening!AF50,1),$A303,IF(LEFT(Berekening!AF50,1)&lt;RIGHT(Berekening!AF50,1),$C303,"gelijkspel"))</f>
        <v>gelijkspel</v>
      </c>
      <c r="AG303" s="166" t="str">
        <f>IF(LEFT(Berekening!AG50,1)&gt;RIGHT(Berekening!AG50,1),$A303,IF(LEFT(Berekening!AG50,1)&lt;RIGHT(Berekening!AG50,1),$C303,"gelijkspel"))</f>
        <v>gelijkspel</v>
      </c>
      <c r="AH303" s="166" t="str">
        <f>IF(LEFT(Berekening!AH50,1)&gt;RIGHT(Berekening!AH50,1),$A303,IF(LEFT(Berekening!AH50,1)&lt;RIGHT(Berekening!AH50,1),$C303,"gelijkspel"))</f>
        <v>gelijkspel</v>
      </c>
      <c r="AI303" s="166" t="str">
        <f>IF(LEFT(Berekening!AI50,1)&gt;RIGHT(Berekening!AI50,1),$A303,IF(LEFT(Berekening!AI50,1)&lt;RIGHT(Berekening!AI50,1),$C303,"gelijkspel"))</f>
        <v>gelijkspel</v>
      </c>
      <c r="AJ303" s="166" t="str">
        <f>IF(LEFT(Berekening!AJ50,1)&gt;RIGHT(Berekening!AJ50,1),$A303,IF(LEFT(Berekening!AJ50,1)&lt;RIGHT(Berekening!AJ50,1),$C303,"gelijkspel"))</f>
        <v>gelijkspel</v>
      </c>
      <c r="AK303" s="166" t="str">
        <f>IF(LEFT(Berekening!AK50,1)&gt;RIGHT(Berekening!AK50,1),$A303,IF(LEFT(Berekening!AK50,1)&lt;RIGHT(Berekening!AK50,1),$C303,"gelijkspel"))</f>
        <v>gelijkspel</v>
      </c>
      <c r="AL303" s="166" t="str">
        <f>IF(LEFT(Berekening!AL50,1)&gt;RIGHT(Berekening!AL50,1),$A303,IF(LEFT(Berekening!AL50,1)&lt;RIGHT(Berekening!AL50,1),$C303,"gelijkspel"))</f>
        <v>gelijkspel</v>
      </c>
      <c r="AM303" s="166" t="str">
        <f>IF(LEFT(Berekening!AM50,1)&gt;RIGHT(Berekening!AM50,1),$A303,IF(LEFT(Berekening!AM50,1)&lt;RIGHT(Berekening!AM50,1),$C303,"gelijkspel"))</f>
        <v>gelijkspel</v>
      </c>
      <c r="AN303" s="166" t="str">
        <f>IF(LEFT(Berekening!AN50,1)&gt;RIGHT(Berekening!AN50,1),$A303,IF(LEFT(Berekening!AN50,1)&lt;RIGHT(Berekening!AN50,1),$C303,"gelijkspel"))</f>
        <v>gelijkspel</v>
      </c>
      <c r="AO303" s="166" t="str">
        <f>IF(LEFT(Berekening!AO50,1)&gt;RIGHT(Berekening!AO50,1),$A303,IF(LEFT(Berekening!AO50,1)&lt;RIGHT(Berekening!AO50,1),$C303,"gelijkspel"))</f>
        <v>gelijkspel</v>
      </c>
      <c r="AP303" s="166" t="str">
        <f>IF(LEFT(Berekening!AP50,1)&gt;RIGHT(Berekening!AP50,1),$A303,IF(LEFT(Berekening!AP50,1)&lt;RIGHT(Berekening!AP50,1),$C303,"gelijkspel"))</f>
        <v>gelijkspel</v>
      </c>
      <c r="AQ303" s="166" t="str">
        <f>IF(LEFT(Berekening!AQ50,1)&gt;RIGHT(Berekening!AQ50,1),$A303,IF(LEFT(Berekening!AQ50,1)&lt;RIGHT(Berekening!AQ50,1),$C303,"gelijkspel"))</f>
        <v>gelijkspel</v>
      </c>
      <c r="AR303" s="166" t="str">
        <f>IF(LEFT(Berekening!AR50,1)&gt;RIGHT(Berekening!AR50,1),$A303,IF(LEFT(Berekening!AR50,1)&lt;RIGHT(Berekening!AR50,1),$C303,"gelijkspel"))</f>
        <v>gelijkspel</v>
      </c>
      <c r="AS303" s="166" t="str">
        <f>IF(LEFT(Berekening!AS50,1)&gt;RIGHT(Berekening!AS50,1),$A303,IF(LEFT(Berekening!AS50,1)&lt;RIGHT(Berekening!AS50,1),$C303,"gelijkspel"))</f>
        <v>gelijkspel</v>
      </c>
      <c r="AT303" s="166" t="str">
        <f>IF(LEFT(Berekening!AT50,1)&gt;RIGHT(Berekening!AT50,1),$A303,IF(LEFT(Berekening!AT50,1)&lt;RIGHT(Berekening!AT50,1),$C303,"gelijkspel"))</f>
        <v>gelijkspel</v>
      </c>
    </row>
  </sheetData>
  <phoneticPr fontId="33" type="noConversion"/>
  <conditionalFormatting sqref="E268:AT303">
    <cfRule type="cellIs" dxfId="7" priority="1" stopIfTrue="1" operator="equal">
      <formula>"T"</formula>
    </cfRule>
    <cfRule type="cellIs" dxfId="6" priority="2" stopIfTrue="1" operator="equal">
      <formula>"G"</formula>
    </cfRule>
    <cfRule type="cellIs" dxfId="5" priority="3" stopIfTrue="1" operator="equal">
      <formula>"U"</formula>
    </cfRule>
  </conditionalFormatting>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EAC6-C117-9142-821C-B0FF73D890FE}">
  <dimension ref="A1:U39"/>
  <sheetViews>
    <sheetView tabSelected="1" workbookViewId="0">
      <selection activeCell="D8" sqref="D8"/>
    </sheetView>
  </sheetViews>
  <sheetFormatPr baseColWidth="10" defaultRowHeight="14"/>
  <sheetData>
    <row r="1" spans="1:21">
      <c r="A1" t="s">
        <v>652</v>
      </c>
      <c r="B1" t="s">
        <v>3111</v>
      </c>
      <c r="C1" t="s">
        <v>3112</v>
      </c>
      <c r="D1" t="s">
        <v>3113</v>
      </c>
      <c r="E1" t="s">
        <v>3114</v>
      </c>
      <c r="F1" t="s">
        <v>3115</v>
      </c>
      <c r="G1" t="s">
        <v>3116</v>
      </c>
      <c r="H1" t="s">
        <v>3117</v>
      </c>
      <c r="I1" t="s">
        <v>3118</v>
      </c>
      <c r="J1" t="s">
        <v>3110</v>
      </c>
      <c r="K1" t="s">
        <v>3119</v>
      </c>
      <c r="L1" t="s">
        <v>3120</v>
      </c>
      <c r="M1" t="s">
        <v>3121</v>
      </c>
      <c r="N1" t="s">
        <v>3122</v>
      </c>
      <c r="O1" t="s">
        <v>3123</v>
      </c>
      <c r="P1" t="s">
        <v>3124</v>
      </c>
    </row>
    <row r="2" spans="1:21">
      <c r="A2">
        <v>3</v>
      </c>
      <c r="B2">
        <v>3</v>
      </c>
      <c r="C2">
        <v>4</v>
      </c>
      <c r="D2">
        <v>4</v>
      </c>
      <c r="E2">
        <v>3</v>
      </c>
      <c r="F2">
        <v>3</v>
      </c>
      <c r="G2">
        <v>3</v>
      </c>
      <c r="H2">
        <v>4</v>
      </c>
      <c r="I2">
        <v>3</v>
      </c>
      <c r="J2">
        <v>4</v>
      </c>
      <c r="K2">
        <v>3</v>
      </c>
      <c r="L2">
        <v>3</v>
      </c>
      <c r="M2">
        <v>3</v>
      </c>
      <c r="N2">
        <v>4</v>
      </c>
      <c r="O2">
        <v>4</v>
      </c>
      <c r="P2">
        <v>3</v>
      </c>
    </row>
    <row r="3" spans="1:21">
      <c r="A3">
        <v>12</v>
      </c>
      <c r="B3">
        <v>7</v>
      </c>
      <c r="C3">
        <v>15</v>
      </c>
      <c r="D3">
        <v>15</v>
      </c>
      <c r="E3">
        <v>7</v>
      </c>
      <c r="F3">
        <v>8</v>
      </c>
      <c r="G3">
        <v>11</v>
      </c>
      <c r="H3">
        <v>11</v>
      </c>
      <c r="I3">
        <v>14</v>
      </c>
      <c r="J3">
        <v>8</v>
      </c>
      <c r="K3">
        <v>15</v>
      </c>
      <c r="L3">
        <v>12</v>
      </c>
      <c r="M3">
        <v>9</v>
      </c>
      <c r="N3">
        <v>15</v>
      </c>
      <c r="O3">
        <v>12</v>
      </c>
      <c r="P3">
        <v>11</v>
      </c>
    </row>
    <row r="4" spans="1:21">
      <c r="A4">
        <f>A3</f>
        <v>12</v>
      </c>
      <c r="B4">
        <f t="shared" ref="B4:P4" si="0">B3</f>
        <v>7</v>
      </c>
      <c r="C4">
        <f t="shared" si="0"/>
        <v>15</v>
      </c>
      <c r="D4">
        <f t="shared" si="0"/>
        <v>15</v>
      </c>
      <c r="E4">
        <f t="shared" si="0"/>
        <v>7</v>
      </c>
      <c r="F4">
        <f t="shared" si="0"/>
        <v>8</v>
      </c>
      <c r="G4">
        <f t="shared" si="0"/>
        <v>11</v>
      </c>
      <c r="H4">
        <f t="shared" si="0"/>
        <v>11</v>
      </c>
      <c r="I4">
        <f t="shared" si="0"/>
        <v>14</v>
      </c>
      <c r="J4">
        <f t="shared" si="0"/>
        <v>8</v>
      </c>
      <c r="K4">
        <f t="shared" si="0"/>
        <v>15</v>
      </c>
      <c r="L4">
        <f t="shared" si="0"/>
        <v>12</v>
      </c>
      <c r="M4">
        <f t="shared" si="0"/>
        <v>9</v>
      </c>
      <c r="N4">
        <f t="shared" si="0"/>
        <v>15</v>
      </c>
      <c r="O4">
        <f t="shared" si="0"/>
        <v>12</v>
      </c>
      <c r="P4">
        <f t="shared" si="0"/>
        <v>11</v>
      </c>
    </row>
    <row r="8" spans="1:21">
      <c r="U8" s="125"/>
    </row>
    <row r="9" spans="1:21">
      <c r="U9" s="125"/>
    </row>
    <row r="10" spans="1:21">
      <c r="U10" s="125"/>
    </row>
    <row r="11" spans="1:21">
      <c r="U11" s="125"/>
    </row>
    <row r="12" spans="1:21">
      <c r="U12" s="125"/>
    </row>
    <row r="13" spans="1:21">
      <c r="U13" s="125"/>
    </row>
    <row r="14" spans="1:21">
      <c r="U14" s="125"/>
    </row>
    <row r="15" spans="1:21">
      <c r="U15" s="125"/>
    </row>
    <row r="16" spans="1:21">
      <c r="U16" s="125"/>
    </row>
    <row r="17" spans="21:21">
      <c r="U17" s="125"/>
    </row>
    <row r="18" spans="21:21">
      <c r="U18" s="125"/>
    </row>
    <row r="19" spans="21:21">
      <c r="U19" s="125"/>
    </row>
    <row r="20" spans="21:21">
      <c r="U20" s="125"/>
    </row>
    <row r="21" spans="21:21">
      <c r="U21" s="125"/>
    </row>
    <row r="22" spans="21:21">
      <c r="U22" s="125"/>
    </row>
    <row r="23" spans="21:21">
      <c r="U23" s="125"/>
    </row>
    <row r="24" spans="21:21">
      <c r="U24" s="125"/>
    </row>
    <row r="25" spans="21:21">
      <c r="U25" s="125"/>
    </row>
    <row r="26" spans="21:21">
      <c r="U26" s="125"/>
    </row>
    <row r="27" spans="21:21">
      <c r="U27" s="125"/>
    </row>
    <row r="28" spans="21:21">
      <c r="U28" s="125"/>
    </row>
    <row r="29" spans="21:21">
      <c r="U29" s="125"/>
    </row>
    <row r="30" spans="21:21">
      <c r="U30" s="125"/>
    </row>
    <row r="31" spans="21:21">
      <c r="U31" s="125"/>
    </row>
    <row r="32" spans="21:21">
      <c r="U32" s="125"/>
    </row>
    <row r="33" spans="21:21">
      <c r="U33" s="125"/>
    </row>
    <row r="34" spans="21:21">
      <c r="U34" s="125"/>
    </row>
    <row r="35" spans="21:21">
      <c r="U35" s="125"/>
    </row>
    <row r="36" spans="21:21">
      <c r="U36" s="125"/>
    </row>
    <row r="37" spans="21:21">
      <c r="U37" s="125"/>
    </row>
    <row r="38" spans="21:21">
      <c r="U38" s="125"/>
    </row>
    <row r="39" spans="21:21">
      <c r="U39"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2C81-EC81-4847-88AC-4EF4D1A9A6A7}">
  <sheetPr>
    <pageSetUpPr fitToPage="1"/>
  </sheetPr>
  <dimension ref="C2:AV175"/>
  <sheetViews>
    <sheetView zoomScale="85" zoomScaleNormal="85" workbookViewId="0">
      <selection activeCell="I101" sqref="I101"/>
    </sheetView>
  </sheetViews>
  <sheetFormatPr baseColWidth="10" defaultColWidth="8.59765625" defaultRowHeight="15"/>
  <cols>
    <col min="1" max="2" width="4.796875" style="161" customWidth="1"/>
    <col min="3" max="3" width="16.3984375" style="161" customWidth="1"/>
    <col min="4" max="4" width="5.796875" style="161" customWidth="1"/>
    <col min="5" max="5" width="14.59765625" style="161" customWidth="1"/>
    <col min="6" max="6" width="11.59765625" style="161" customWidth="1"/>
    <col min="7" max="16384" width="8.59765625" style="161"/>
  </cols>
  <sheetData>
    <row r="2" spans="3:48" ht="32">
      <c r="G2" s="162" t="str">
        <f>Berekening!E14</f>
        <v>Sam</v>
      </c>
      <c r="H2" s="162" t="str">
        <f>Berekening!F14</f>
        <v>Matthias</v>
      </c>
      <c r="I2" s="162" t="str">
        <f>Berekening!G14</f>
        <v>Billy</v>
      </c>
      <c r="J2" s="162" t="str">
        <f>Berekening!H14</f>
        <v>Timon</v>
      </c>
      <c r="K2" s="162" t="str">
        <f>Berekening!I14</f>
        <v>Bavo</v>
      </c>
      <c r="L2" s="162" t="str">
        <f>Berekening!J14</f>
        <v>Lowie</v>
      </c>
      <c r="M2" s="162" t="str">
        <f>Berekening!K14</f>
        <v>Stijn</v>
      </c>
      <c r="N2" s="162" t="str">
        <f>Berekening!L14</f>
        <v>Tom</v>
      </c>
      <c r="O2" s="162" t="str">
        <f>Berekening!M14</f>
        <v>Cas</v>
      </c>
      <c r="P2" s="162" t="str">
        <f>Berekening!N14</f>
        <v>Dean</v>
      </c>
      <c r="Q2" s="162" t="str">
        <f>Berekening!O14</f>
        <v>Jannes</v>
      </c>
      <c r="R2" s="162" t="str">
        <f>Berekening!P14</f>
        <v>Jens</v>
      </c>
      <c r="S2" s="162" t="str">
        <f>Berekening!Q14</f>
        <v>Louis</v>
      </c>
      <c r="T2" s="162" t="str">
        <f>Berekening!R14</f>
        <v>Ruben</v>
      </c>
      <c r="U2" s="162" t="str">
        <f>Berekening!S14</f>
        <v>Karl</v>
      </c>
      <c r="V2" s="162" t="str">
        <f>Berekening!T14</f>
        <v>Seppe</v>
      </c>
      <c r="W2" s="162" t="str">
        <f>Berekening!U14</f>
        <v>deelnemer 17</v>
      </c>
      <c r="X2" s="162" t="str">
        <f>Berekening!V14</f>
        <v>deelnemer 18</v>
      </c>
      <c r="Y2" s="162" t="str">
        <f>Berekening!W14</f>
        <v>deelnemer 19</v>
      </c>
      <c r="Z2" s="162" t="str">
        <f>Berekening!X14</f>
        <v>deelnemer 20</v>
      </c>
      <c r="AA2" s="162" t="str">
        <f>Berekening!Y14</f>
        <v>deelnemer 21</v>
      </c>
      <c r="AB2" s="162" t="str">
        <f>Berekening!Z14</f>
        <v>deelnemer 22</v>
      </c>
      <c r="AC2" s="162" t="str">
        <f>Berekening!AA14</f>
        <v>deelnemer 23</v>
      </c>
      <c r="AD2" s="162" t="str">
        <f>Berekening!AB14</f>
        <v>deelnemer 24</v>
      </c>
      <c r="AE2" s="162" t="str">
        <f>Berekening!AC14</f>
        <v>deelnemer 25</v>
      </c>
      <c r="AF2" s="162" t="str">
        <f>Berekening!AD14</f>
        <v>deelnemer 26</v>
      </c>
      <c r="AG2" s="162" t="str">
        <f>Berekening!AE14</f>
        <v>deelnemer 27</v>
      </c>
      <c r="AH2" s="162" t="str">
        <f>Berekening!AF14</f>
        <v>deelnemer 28</v>
      </c>
      <c r="AI2" s="162" t="str">
        <f>Berekening!AG14</f>
        <v>deelnemer 29</v>
      </c>
      <c r="AJ2" s="162" t="str">
        <f>Berekening!AH14</f>
        <v>deelnemer 30</v>
      </c>
      <c r="AK2" s="162" t="str">
        <f>Berekening!AI14</f>
        <v>deelnemer 31</v>
      </c>
      <c r="AL2" s="162" t="str">
        <f>Berekening!AJ14</f>
        <v>deelnemer 32</v>
      </c>
      <c r="AM2" s="162" t="str">
        <f>Berekening!AK14</f>
        <v>deelnemer 33</v>
      </c>
      <c r="AN2" s="162" t="str">
        <f>Berekening!AL14</f>
        <v>deelnemer 34</v>
      </c>
      <c r="AO2" s="162" t="str">
        <f>Berekening!AM14</f>
        <v>deelnemer 35</v>
      </c>
      <c r="AP2" s="162" t="str">
        <f>Berekening!AN14</f>
        <v>deelnemer 36</v>
      </c>
      <c r="AQ2" s="162" t="str">
        <f>Berekening!AO14</f>
        <v>deelnemer 37</v>
      </c>
      <c r="AR2" s="162" t="str">
        <f>Berekening!AP14</f>
        <v>deelnemer 38</v>
      </c>
      <c r="AS2" s="162" t="str">
        <f>Berekening!AQ14</f>
        <v>deelnemer 39</v>
      </c>
      <c r="AT2" s="162" t="str">
        <f>Berekening!AR14</f>
        <v>deelnemer 40</v>
      </c>
      <c r="AU2" s="162" t="str">
        <f>Berekening!AS14</f>
        <v>deelnemer 41</v>
      </c>
      <c r="AV2" s="162" t="str">
        <f>Berekening!AT14</f>
        <v>deelnemer 42</v>
      </c>
    </row>
    <row r="3" spans="3:48">
      <c r="C3" s="163" t="s">
        <v>1468</v>
      </c>
      <c r="D3" s="164" t="s">
        <v>2971</v>
      </c>
      <c r="E3" s="165" t="s">
        <v>1399</v>
      </c>
      <c r="G3" s="166" t="str">
        <f>IF(LEFT(Berekening!E15,1)&gt;RIGHT(Berekening!E15,1),"T",IF(LEFT(Berekening!E15,1)&lt;RIGHT(Berekening!E15,1),"U","G"))</f>
        <v>T</v>
      </c>
      <c r="H3" s="166" t="str">
        <f>IF(LEFT(Berekening!F15,1)&gt;RIGHT(Berekening!F15,1),"T",IF(LEFT(Berekening!F15,1)&lt;RIGHT(Berekening!F15,1),"U","G"))</f>
        <v>T</v>
      </c>
      <c r="I3" s="166" t="str">
        <f>IF(LEFT(Berekening!G15,1)&gt;RIGHT(Berekening!G15,1),"T",IF(LEFT(Berekening!G15,1)&lt;RIGHT(Berekening!G15,1),"U","G"))</f>
        <v>T</v>
      </c>
      <c r="J3" s="166" t="str">
        <f>IF(LEFT(Berekening!H15,1)&gt;RIGHT(Berekening!H15,1),"T",IF(LEFT(Berekening!H15,1)&lt;RIGHT(Berekening!H15,1),"U","G"))</f>
        <v>T</v>
      </c>
      <c r="K3" s="166" t="str">
        <f>IF(LEFT(Berekening!I15,1)&gt;RIGHT(Berekening!I15,1),"T",IF(LEFT(Berekening!I15,1)&lt;RIGHT(Berekening!I15,1),"U","G"))</f>
        <v>T</v>
      </c>
      <c r="L3" s="166" t="str">
        <f>IF(LEFT(Berekening!J15,1)&gt;RIGHT(Berekening!J15,1),"T",IF(LEFT(Berekening!J15,1)&lt;RIGHT(Berekening!J15,1),"U","G"))</f>
        <v>T</v>
      </c>
      <c r="M3" s="166" t="str">
        <f>IF(LEFT(Berekening!K15,1)&gt;RIGHT(Berekening!K15,1),"T",IF(LEFT(Berekening!K15,1)&lt;RIGHT(Berekening!K15,1),"U","G"))</f>
        <v>T</v>
      </c>
      <c r="N3" s="166" t="str">
        <f>IF(LEFT(Berekening!L15,1)&gt;RIGHT(Berekening!L15,1),"T",IF(LEFT(Berekening!L15,1)&lt;RIGHT(Berekening!L15,1),"U","G"))</f>
        <v>T</v>
      </c>
      <c r="O3" s="166" t="str">
        <f>IF(LEFT(Berekening!M15,1)&gt;RIGHT(Berekening!M15,1),"T",IF(LEFT(Berekening!M15,1)&lt;RIGHT(Berekening!M15,1),"U","G"))</f>
        <v>T</v>
      </c>
      <c r="P3" s="166" t="str">
        <f>IF(LEFT(Berekening!N15,1)&gt;RIGHT(Berekening!N15,1),"T",IF(LEFT(Berekening!N15,1)&lt;RIGHT(Berekening!N15,1),"U","G"))</f>
        <v>T</v>
      </c>
      <c r="Q3" s="166" t="str">
        <f>IF(LEFT(Berekening!O15,1)&gt;RIGHT(Berekening!O15,1),"T",IF(LEFT(Berekening!O15,1)&lt;RIGHT(Berekening!O15,1),"U","G"))</f>
        <v>T</v>
      </c>
      <c r="R3" s="166" t="str">
        <f>IF(LEFT(Berekening!P15,1)&gt;RIGHT(Berekening!P15,1),"T",IF(LEFT(Berekening!P15,1)&lt;RIGHT(Berekening!P15,1),"U","G"))</f>
        <v>T</v>
      </c>
      <c r="S3" s="166" t="str">
        <f>IF(LEFT(Berekening!Q15,1)&gt;RIGHT(Berekening!Q15,1),"T",IF(LEFT(Berekening!Q15,1)&lt;RIGHT(Berekening!Q15,1),"U","G"))</f>
        <v>T</v>
      </c>
      <c r="T3" s="166" t="str">
        <f>IF(LEFT(Berekening!R15,1)&gt;RIGHT(Berekening!R15,1),"T",IF(LEFT(Berekening!R15,1)&lt;RIGHT(Berekening!R15,1),"U","G"))</f>
        <v>T</v>
      </c>
      <c r="U3" s="166" t="str">
        <f>IF(LEFT(Berekening!S15,1)&gt;RIGHT(Berekening!S15,1),"T",IF(LEFT(Berekening!S15,1)&lt;RIGHT(Berekening!S15,1),"U","G"))</f>
        <v>T</v>
      </c>
      <c r="V3" s="166" t="str">
        <f>IF(LEFT(Berekening!T15,1)&gt;RIGHT(Berekening!T15,1),"T",IF(LEFT(Berekening!T15,1)&lt;RIGHT(Berekening!T15,1),"U","G"))</f>
        <v>T</v>
      </c>
      <c r="W3" s="166" t="str">
        <f>IF(LEFT(Berekening!U15,1)&gt;RIGHT(Berekening!U15,1),"T",IF(LEFT(Berekening!U15,1)&lt;RIGHT(Berekening!U15,1),"U","G"))</f>
        <v>G</v>
      </c>
      <c r="X3" s="166" t="str">
        <f>IF(LEFT(Berekening!V15,1)&gt;RIGHT(Berekening!V15,1),"T",IF(LEFT(Berekening!V15,1)&lt;RIGHT(Berekening!V15,1),"U","G"))</f>
        <v>G</v>
      </c>
      <c r="Y3" s="166" t="str">
        <f>IF(LEFT(Berekening!W15,1)&gt;RIGHT(Berekening!W15,1),"T",IF(LEFT(Berekening!W15,1)&lt;RIGHT(Berekening!W15,1),"U","G"))</f>
        <v>G</v>
      </c>
      <c r="Z3" s="166" t="str">
        <f>IF(LEFT(Berekening!X15,1)&gt;RIGHT(Berekening!X15,1),"T",IF(LEFT(Berekening!X15,1)&lt;RIGHT(Berekening!X15,1),"U","G"))</f>
        <v>G</v>
      </c>
      <c r="AA3" s="166" t="str">
        <f>IF(LEFT(Berekening!Y15,1)&gt;RIGHT(Berekening!Y15,1),"T",IF(LEFT(Berekening!Y15,1)&lt;RIGHT(Berekening!Y15,1),"U","G"))</f>
        <v>G</v>
      </c>
      <c r="AB3" s="166" t="str">
        <f>IF(LEFT(Berekening!Z15,1)&gt;RIGHT(Berekening!Z15,1),"T",IF(LEFT(Berekening!Z15,1)&lt;RIGHT(Berekening!Z15,1),"U","G"))</f>
        <v>G</v>
      </c>
      <c r="AC3" s="166" t="str">
        <f>IF(LEFT(Berekening!AA15,1)&gt;RIGHT(Berekening!AA15,1),"T",IF(LEFT(Berekening!AA15,1)&lt;RIGHT(Berekening!AA15,1),"U","G"))</f>
        <v>G</v>
      </c>
      <c r="AD3" s="166" t="str">
        <f>IF(LEFT(Berekening!AB15,1)&gt;RIGHT(Berekening!AB15,1),"T",IF(LEFT(Berekening!AB15,1)&lt;RIGHT(Berekening!AB15,1),"U","G"))</f>
        <v>G</v>
      </c>
      <c r="AE3" s="166" t="str">
        <f>IF(LEFT(Berekening!AC15,1)&gt;RIGHT(Berekening!AC15,1),"T",IF(LEFT(Berekening!AC15,1)&lt;RIGHT(Berekening!AC15,1),"U","G"))</f>
        <v>G</v>
      </c>
      <c r="AF3" s="166" t="str">
        <f>IF(LEFT(Berekening!AD15,1)&gt;RIGHT(Berekening!AD15,1),"T",IF(LEFT(Berekening!AD15,1)&lt;RIGHT(Berekening!AD15,1),"U","G"))</f>
        <v>G</v>
      </c>
      <c r="AG3" s="166" t="str">
        <f>IF(LEFT(Berekening!AE15,1)&gt;RIGHT(Berekening!AE15,1),"T",IF(LEFT(Berekening!AE15,1)&lt;RIGHT(Berekening!AE15,1),"U","G"))</f>
        <v>G</v>
      </c>
      <c r="AH3" s="166" t="str">
        <f>IF(LEFT(Berekening!AF15,1)&gt;RIGHT(Berekening!AF15,1),"T",IF(LEFT(Berekening!AF15,1)&lt;RIGHT(Berekening!AF15,1),"U","G"))</f>
        <v>G</v>
      </c>
      <c r="AI3" s="166" t="str">
        <f>IF(LEFT(Berekening!AG15,1)&gt;RIGHT(Berekening!AG15,1),"T",IF(LEFT(Berekening!AG15,1)&lt;RIGHT(Berekening!AG15,1),"U","G"))</f>
        <v>G</v>
      </c>
      <c r="AJ3" s="166" t="str">
        <f>IF(LEFT(Berekening!AH15,1)&gt;RIGHT(Berekening!AH15,1),"T",IF(LEFT(Berekening!AH15,1)&lt;RIGHT(Berekening!AH15,1),"U","G"))</f>
        <v>G</v>
      </c>
      <c r="AK3" s="166" t="str">
        <f>IF(LEFT(Berekening!AI15,1)&gt;RIGHT(Berekening!AI15,1),"T",IF(LEFT(Berekening!AI15,1)&lt;RIGHT(Berekening!AI15,1),"U","G"))</f>
        <v>G</v>
      </c>
      <c r="AL3" s="166" t="str">
        <f>IF(LEFT(Berekening!AJ15,1)&gt;RIGHT(Berekening!AJ15,1),"T",IF(LEFT(Berekening!AJ15,1)&lt;RIGHT(Berekening!AJ15,1),"U","G"))</f>
        <v>G</v>
      </c>
      <c r="AM3" s="166" t="str">
        <f>IF(LEFT(Berekening!AK15,1)&gt;RIGHT(Berekening!AK15,1),"T",IF(LEFT(Berekening!AK15,1)&lt;RIGHT(Berekening!AK15,1),"U","G"))</f>
        <v>G</v>
      </c>
      <c r="AN3" s="166" t="str">
        <f>IF(LEFT(Berekening!AL15,1)&gt;RIGHT(Berekening!AL15,1),"T",IF(LEFT(Berekening!AL15,1)&lt;RIGHT(Berekening!AL15,1),"U","G"))</f>
        <v>G</v>
      </c>
      <c r="AO3" s="166" t="str">
        <f>IF(LEFT(Berekening!AM15,1)&gt;RIGHT(Berekening!AM15,1),"T",IF(LEFT(Berekening!AM15,1)&lt;RIGHT(Berekening!AM15,1),"U","G"))</f>
        <v>G</v>
      </c>
      <c r="AP3" s="166" t="str">
        <f>IF(LEFT(Berekening!AN15,1)&gt;RIGHT(Berekening!AN15,1),"T",IF(LEFT(Berekening!AN15,1)&lt;RIGHT(Berekening!AN15,1),"U","G"))</f>
        <v>G</v>
      </c>
      <c r="AQ3" s="166" t="str">
        <f>IF(LEFT(Berekening!AO15,1)&gt;RIGHT(Berekening!AO15,1),"T",IF(LEFT(Berekening!AO15,1)&lt;RIGHT(Berekening!AO15,1),"U","G"))</f>
        <v>G</v>
      </c>
      <c r="AR3" s="166" t="str">
        <f>IF(LEFT(Berekening!AP15,1)&gt;RIGHT(Berekening!AP15,1),"T",IF(LEFT(Berekening!AP15,1)&lt;RIGHT(Berekening!AP15,1),"U","G"))</f>
        <v>G</v>
      </c>
      <c r="AS3" s="166" t="str">
        <f>IF(LEFT(Berekening!AQ15,1)&gt;RIGHT(Berekening!AQ15,1),"T",IF(LEFT(Berekening!AQ15,1)&lt;RIGHT(Berekening!AQ15,1),"U","G"))</f>
        <v>G</v>
      </c>
      <c r="AT3" s="166" t="str">
        <f>IF(LEFT(Berekening!AR15,1)&gt;RIGHT(Berekening!AR15,1),"T",IF(LEFT(Berekening!AR15,1)&lt;RIGHT(Berekening!AR15,1),"U","G"))</f>
        <v>G</v>
      </c>
      <c r="AU3" s="166" t="str">
        <f>IF(LEFT(Berekening!AS15,1)&gt;RIGHT(Berekening!AS15,1),"T",IF(LEFT(Berekening!AS15,1)&lt;RIGHT(Berekening!AS15,1),"U","G"))</f>
        <v>G</v>
      </c>
      <c r="AV3" s="166" t="str">
        <f>IF(LEFT(Berekening!AT15,1)&gt;RIGHT(Berekening!AT15,1),"T",IF(LEFT(Berekening!AT15,1)&lt;RIGHT(Berekening!AT15,1),"U","G"))</f>
        <v>G</v>
      </c>
    </row>
    <row r="4" spans="3:48">
      <c r="C4" s="163" t="s">
        <v>1168</v>
      </c>
      <c r="D4" s="164" t="s">
        <v>2971</v>
      </c>
      <c r="E4" s="165" t="s">
        <v>1608</v>
      </c>
      <c r="G4" s="166" t="str">
        <f>IF(LEFT(Berekening!E16,1)&gt;RIGHT(Berekening!E16,1),"T",IF(LEFT(Berekening!E16,1)&lt;RIGHT(Berekening!E16,1),"U","G"))</f>
        <v>U</v>
      </c>
      <c r="H4" s="166" t="str">
        <f>IF(LEFT(Berekening!F16,1)&gt;RIGHT(Berekening!F16,1),"T",IF(LEFT(Berekening!F16,1)&lt;RIGHT(Berekening!F16,1),"U","G"))</f>
        <v>G</v>
      </c>
      <c r="I4" s="166" t="str">
        <f>IF(LEFT(Berekening!G16,1)&gt;RIGHT(Berekening!G16,1),"T",IF(LEFT(Berekening!G16,1)&lt;RIGHT(Berekening!G16,1),"U","G"))</f>
        <v>U</v>
      </c>
      <c r="J4" s="166" t="str">
        <f>IF(LEFT(Berekening!H16,1)&gt;RIGHT(Berekening!H16,1),"T",IF(LEFT(Berekening!H16,1)&lt;RIGHT(Berekening!H16,1),"U","G"))</f>
        <v>U</v>
      </c>
      <c r="K4" s="166" t="str">
        <f>IF(LEFT(Berekening!I16,1)&gt;RIGHT(Berekening!I16,1),"T",IF(LEFT(Berekening!I16,1)&lt;RIGHT(Berekening!I16,1),"U","G"))</f>
        <v>T</v>
      </c>
      <c r="L4" s="166" t="str">
        <f>IF(LEFT(Berekening!J16,1)&gt;RIGHT(Berekening!J16,1),"T",IF(LEFT(Berekening!J16,1)&lt;RIGHT(Berekening!J16,1),"U","G"))</f>
        <v>T</v>
      </c>
      <c r="M4" s="166" t="str">
        <f>IF(LEFT(Berekening!K16,1)&gt;RIGHT(Berekening!K16,1),"T",IF(LEFT(Berekening!K16,1)&lt;RIGHT(Berekening!K16,1),"U","G"))</f>
        <v>T</v>
      </c>
      <c r="N4" s="166" t="str">
        <f>IF(LEFT(Berekening!L16,1)&gt;RIGHT(Berekening!L16,1),"T",IF(LEFT(Berekening!L16,1)&lt;RIGHT(Berekening!L16,1),"U","G"))</f>
        <v>U</v>
      </c>
      <c r="O4" s="166" t="str">
        <f>IF(LEFT(Berekening!M16,1)&gt;RIGHT(Berekening!M16,1),"T",IF(LEFT(Berekening!M16,1)&lt;RIGHT(Berekening!M16,1),"U","G"))</f>
        <v>U</v>
      </c>
      <c r="P4" s="166" t="str">
        <f>IF(LEFT(Berekening!N16,1)&gt;RIGHT(Berekening!N16,1),"T",IF(LEFT(Berekening!N16,1)&lt;RIGHT(Berekening!N16,1),"U","G"))</f>
        <v>T</v>
      </c>
      <c r="Q4" s="166" t="str">
        <f>IF(LEFT(Berekening!O16,1)&gt;RIGHT(Berekening!O16,1),"T",IF(LEFT(Berekening!O16,1)&lt;RIGHT(Berekening!O16,1),"U","G"))</f>
        <v>U</v>
      </c>
      <c r="R4" s="166" t="str">
        <f>IF(LEFT(Berekening!P16,1)&gt;RIGHT(Berekening!P16,1),"T",IF(LEFT(Berekening!P16,1)&lt;RIGHT(Berekening!P16,1),"U","G"))</f>
        <v>U</v>
      </c>
      <c r="S4" s="166" t="str">
        <f>IF(LEFT(Berekening!Q16,1)&gt;RIGHT(Berekening!Q16,1),"T",IF(LEFT(Berekening!Q16,1)&lt;RIGHT(Berekening!Q16,1),"U","G"))</f>
        <v>U</v>
      </c>
      <c r="T4" s="166" t="str">
        <f>IF(LEFT(Berekening!R16,1)&gt;RIGHT(Berekening!R16,1),"T",IF(LEFT(Berekening!R16,1)&lt;RIGHT(Berekening!R16,1),"U","G"))</f>
        <v>U</v>
      </c>
      <c r="U4" s="166" t="str">
        <f>IF(LEFT(Berekening!S16,1)&gt;RIGHT(Berekening!S16,1),"T",IF(LEFT(Berekening!S16,1)&lt;RIGHT(Berekening!S16,1),"U","G"))</f>
        <v>G</v>
      </c>
      <c r="V4" s="166" t="str">
        <f>IF(LEFT(Berekening!T16,1)&gt;RIGHT(Berekening!T16,1),"T",IF(LEFT(Berekening!T16,1)&lt;RIGHT(Berekening!T16,1),"U","G"))</f>
        <v>G</v>
      </c>
      <c r="W4" s="166" t="str">
        <f>IF(LEFT(Berekening!U16,1)&gt;RIGHT(Berekening!U16,1),"T",IF(LEFT(Berekening!U16,1)&lt;RIGHT(Berekening!U16,1),"U","G"))</f>
        <v>G</v>
      </c>
      <c r="X4" s="166" t="str">
        <f>IF(LEFT(Berekening!V16,1)&gt;RIGHT(Berekening!V16,1),"T",IF(LEFT(Berekening!V16,1)&lt;RIGHT(Berekening!V16,1),"U","G"))</f>
        <v>G</v>
      </c>
      <c r="Y4" s="166" t="str">
        <f>IF(LEFT(Berekening!W16,1)&gt;RIGHT(Berekening!W16,1),"T",IF(LEFT(Berekening!W16,1)&lt;RIGHT(Berekening!W16,1),"U","G"))</f>
        <v>G</v>
      </c>
      <c r="Z4" s="166" t="str">
        <f>IF(LEFT(Berekening!X16,1)&gt;RIGHT(Berekening!X16,1),"T",IF(LEFT(Berekening!X16,1)&lt;RIGHT(Berekening!X16,1),"U","G"))</f>
        <v>G</v>
      </c>
      <c r="AA4" s="166" t="str">
        <f>IF(LEFT(Berekening!Y16,1)&gt;RIGHT(Berekening!Y16,1),"T",IF(LEFT(Berekening!Y16,1)&lt;RIGHT(Berekening!Y16,1),"U","G"))</f>
        <v>G</v>
      </c>
      <c r="AB4" s="166" t="str">
        <f>IF(LEFT(Berekening!Z16,1)&gt;RIGHT(Berekening!Z16,1),"T",IF(LEFT(Berekening!Z16,1)&lt;RIGHT(Berekening!Z16,1),"U","G"))</f>
        <v>G</v>
      </c>
      <c r="AC4" s="166" t="str">
        <f>IF(LEFT(Berekening!AA16,1)&gt;RIGHT(Berekening!AA16,1),"T",IF(LEFT(Berekening!AA16,1)&lt;RIGHT(Berekening!AA16,1),"U","G"))</f>
        <v>G</v>
      </c>
      <c r="AD4" s="166" t="str">
        <f>IF(LEFT(Berekening!AB16,1)&gt;RIGHT(Berekening!AB16,1),"T",IF(LEFT(Berekening!AB16,1)&lt;RIGHT(Berekening!AB16,1),"U","G"))</f>
        <v>G</v>
      </c>
      <c r="AE4" s="166" t="str">
        <f>IF(LEFT(Berekening!AC16,1)&gt;RIGHT(Berekening!AC16,1),"T",IF(LEFT(Berekening!AC16,1)&lt;RIGHT(Berekening!AC16,1),"U","G"))</f>
        <v>G</v>
      </c>
      <c r="AF4" s="166" t="str">
        <f>IF(LEFT(Berekening!AD16,1)&gt;RIGHT(Berekening!AD16,1),"T",IF(LEFT(Berekening!AD16,1)&lt;RIGHT(Berekening!AD16,1),"U","G"))</f>
        <v>G</v>
      </c>
      <c r="AG4" s="166" t="str">
        <f>IF(LEFT(Berekening!AE16,1)&gt;RIGHT(Berekening!AE16,1),"T",IF(LEFT(Berekening!AE16,1)&lt;RIGHT(Berekening!AE16,1),"U","G"))</f>
        <v>G</v>
      </c>
      <c r="AH4" s="166" t="str">
        <f>IF(LEFT(Berekening!AF16,1)&gt;RIGHT(Berekening!AF16,1),"T",IF(LEFT(Berekening!AF16,1)&lt;RIGHT(Berekening!AF16,1),"U","G"))</f>
        <v>G</v>
      </c>
      <c r="AI4" s="166" t="str">
        <f>IF(LEFT(Berekening!AG16,1)&gt;RIGHT(Berekening!AG16,1),"T",IF(LEFT(Berekening!AG16,1)&lt;RIGHT(Berekening!AG16,1),"U","G"))</f>
        <v>G</v>
      </c>
      <c r="AJ4" s="166" t="str">
        <f>IF(LEFT(Berekening!AH16,1)&gt;RIGHT(Berekening!AH16,1),"T",IF(LEFT(Berekening!AH16,1)&lt;RIGHT(Berekening!AH16,1),"U","G"))</f>
        <v>G</v>
      </c>
      <c r="AK4" s="166" t="str">
        <f>IF(LEFT(Berekening!AI16,1)&gt;RIGHT(Berekening!AI16,1),"T",IF(LEFT(Berekening!AI16,1)&lt;RIGHT(Berekening!AI16,1),"U","G"))</f>
        <v>G</v>
      </c>
      <c r="AL4" s="166" t="str">
        <f>IF(LEFT(Berekening!AJ16,1)&gt;RIGHT(Berekening!AJ16,1),"T",IF(LEFT(Berekening!AJ16,1)&lt;RIGHT(Berekening!AJ16,1),"U","G"))</f>
        <v>G</v>
      </c>
      <c r="AM4" s="166" t="str">
        <f>IF(LEFT(Berekening!AK16,1)&gt;RIGHT(Berekening!AK16,1),"T",IF(LEFT(Berekening!AK16,1)&lt;RIGHT(Berekening!AK16,1),"U","G"))</f>
        <v>G</v>
      </c>
      <c r="AN4" s="166" t="str">
        <f>IF(LEFT(Berekening!AL16,1)&gt;RIGHT(Berekening!AL16,1),"T",IF(LEFT(Berekening!AL16,1)&lt;RIGHT(Berekening!AL16,1),"U","G"))</f>
        <v>G</v>
      </c>
      <c r="AO4" s="166" t="str">
        <f>IF(LEFT(Berekening!AM16,1)&gt;RIGHT(Berekening!AM16,1),"T",IF(LEFT(Berekening!AM16,1)&lt;RIGHT(Berekening!AM16,1),"U","G"))</f>
        <v>G</v>
      </c>
      <c r="AP4" s="166" t="str">
        <f>IF(LEFT(Berekening!AN16,1)&gt;RIGHT(Berekening!AN16,1),"T",IF(LEFT(Berekening!AN16,1)&lt;RIGHT(Berekening!AN16,1),"U","G"))</f>
        <v>G</v>
      </c>
      <c r="AQ4" s="166" t="str">
        <f>IF(LEFT(Berekening!AO16,1)&gt;RIGHT(Berekening!AO16,1),"T",IF(LEFT(Berekening!AO16,1)&lt;RIGHT(Berekening!AO16,1),"U","G"))</f>
        <v>G</v>
      </c>
      <c r="AR4" s="166" t="str">
        <f>IF(LEFT(Berekening!AP16,1)&gt;RIGHT(Berekening!AP16,1),"T",IF(LEFT(Berekening!AP16,1)&lt;RIGHT(Berekening!AP16,1),"U","G"))</f>
        <v>G</v>
      </c>
      <c r="AS4" s="166" t="str">
        <f>IF(LEFT(Berekening!AQ16,1)&gt;RIGHT(Berekening!AQ16,1),"T",IF(LEFT(Berekening!AQ16,1)&lt;RIGHT(Berekening!AQ16,1),"U","G"))</f>
        <v>G</v>
      </c>
      <c r="AT4" s="166" t="str">
        <f>IF(LEFT(Berekening!AR16,1)&gt;RIGHT(Berekening!AR16,1),"T",IF(LEFT(Berekening!AR16,1)&lt;RIGHT(Berekening!AR16,1),"U","G"))</f>
        <v>G</v>
      </c>
      <c r="AU4" s="166" t="str">
        <f>IF(LEFT(Berekening!AS16,1)&gt;RIGHT(Berekening!AS16,1),"T",IF(LEFT(Berekening!AS16,1)&lt;RIGHT(Berekening!AS16,1),"U","G"))</f>
        <v>G</v>
      </c>
      <c r="AV4" s="166" t="str">
        <f>IF(LEFT(Berekening!AT16,1)&gt;RIGHT(Berekening!AT16,1),"T",IF(LEFT(Berekening!AT16,1)&lt;RIGHT(Berekening!AT16,1),"U","G"))</f>
        <v>G</v>
      </c>
    </row>
    <row r="5" spans="3:48">
      <c r="C5" s="163" t="s">
        <v>1077</v>
      </c>
      <c r="D5" s="164" t="s">
        <v>2971</v>
      </c>
      <c r="E5" s="165" t="s">
        <v>1533</v>
      </c>
      <c r="G5" s="166" t="str">
        <f>IF(LEFT(Berekening!E17,1)&gt;RIGHT(Berekening!E17,1),"T",IF(LEFT(Berekening!E17,1)&lt;RIGHT(Berekening!E17,1),"U","G"))</f>
        <v>T</v>
      </c>
      <c r="H5" s="166" t="str">
        <f>IF(LEFT(Berekening!F17,1)&gt;RIGHT(Berekening!F17,1),"T",IF(LEFT(Berekening!F17,1)&lt;RIGHT(Berekening!F17,1),"U","G"))</f>
        <v>G</v>
      </c>
      <c r="I5" s="166" t="str">
        <f>IF(LEFT(Berekening!G17,1)&gt;RIGHT(Berekening!G17,1),"T",IF(LEFT(Berekening!G17,1)&lt;RIGHT(Berekening!G17,1),"U","G"))</f>
        <v>T</v>
      </c>
      <c r="J5" s="166" t="str">
        <f>IF(LEFT(Berekening!H17,1)&gt;RIGHT(Berekening!H17,1),"T",IF(LEFT(Berekening!H17,1)&lt;RIGHT(Berekening!H17,1),"U","G"))</f>
        <v>T</v>
      </c>
      <c r="K5" s="166" t="str">
        <f>IF(LEFT(Berekening!I17,1)&gt;RIGHT(Berekening!I17,1),"T",IF(LEFT(Berekening!I17,1)&lt;RIGHT(Berekening!I17,1),"U","G"))</f>
        <v>G</v>
      </c>
      <c r="L5" s="166" t="str">
        <f>IF(LEFT(Berekening!J17,1)&gt;RIGHT(Berekening!J17,1),"T",IF(LEFT(Berekening!J17,1)&lt;RIGHT(Berekening!J17,1),"U","G"))</f>
        <v>T</v>
      </c>
      <c r="M5" s="166" t="str">
        <f>IF(LEFT(Berekening!K17,1)&gt;RIGHT(Berekening!K17,1),"T",IF(LEFT(Berekening!K17,1)&lt;RIGHT(Berekening!K17,1),"U","G"))</f>
        <v>T</v>
      </c>
      <c r="N5" s="166" t="str">
        <f>IF(LEFT(Berekening!L17,1)&gt;RIGHT(Berekening!L17,1),"T",IF(LEFT(Berekening!L17,1)&lt;RIGHT(Berekening!L17,1),"U","G"))</f>
        <v>G</v>
      </c>
      <c r="O5" s="166" t="str">
        <f>IF(LEFT(Berekening!M17,1)&gt;RIGHT(Berekening!M17,1),"T",IF(LEFT(Berekening!M17,1)&lt;RIGHT(Berekening!M17,1),"U","G"))</f>
        <v>T</v>
      </c>
      <c r="P5" s="166" t="str">
        <f>IF(LEFT(Berekening!N17,1)&gt;RIGHT(Berekening!N17,1),"T",IF(LEFT(Berekening!N17,1)&lt;RIGHT(Berekening!N17,1),"U","G"))</f>
        <v>G</v>
      </c>
      <c r="Q5" s="166" t="str">
        <f>IF(LEFT(Berekening!O17,1)&gt;RIGHT(Berekening!O17,1),"T",IF(LEFT(Berekening!O17,1)&lt;RIGHT(Berekening!O17,1),"U","G"))</f>
        <v>T</v>
      </c>
      <c r="R5" s="166" t="str">
        <f>IF(LEFT(Berekening!P17,1)&gt;RIGHT(Berekening!P17,1),"T",IF(LEFT(Berekening!P17,1)&lt;RIGHT(Berekening!P17,1),"U","G"))</f>
        <v>T</v>
      </c>
      <c r="S5" s="166" t="str">
        <f>IF(LEFT(Berekening!Q17,1)&gt;RIGHT(Berekening!Q17,1),"T",IF(LEFT(Berekening!Q17,1)&lt;RIGHT(Berekening!Q17,1),"U","G"))</f>
        <v>G</v>
      </c>
      <c r="T5" s="166" t="str">
        <f>IF(LEFT(Berekening!R17,1)&gt;RIGHT(Berekening!R17,1),"T",IF(LEFT(Berekening!R17,1)&lt;RIGHT(Berekening!R17,1),"U","G"))</f>
        <v>T</v>
      </c>
      <c r="U5" s="166" t="str">
        <f>IF(LEFT(Berekening!S17,1)&gt;RIGHT(Berekening!S17,1),"T",IF(LEFT(Berekening!S17,1)&lt;RIGHT(Berekening!S17,1),"U","G"))</f>
        <v>T</v>
      </c>
      <c r="V5" s="166" t="str">
        <f>IF(LEFT(Berekening!T17,1)&gt;RIGHT(Berekening!T17,1),"T",IF(LEFT(Berekening!T17,1)&lt;RIGHT(Berekening!T17,1),"U","G"))</f>
        <v>T</v>
      </c>
      <c r="W5" s="166" t="str">
        <f>IF(LEFT(Berekening!U17,1)&gt;RIGHT(Berekening!U17,1),"T",IF(LEFT(Berekening!U17,1)&lt;RIGHT(Berekening!U17,1),"U","G"))</f>
        <v>G</v>
      </c>
      <c r="X5" s="166" t="str">
        <f>IF(LEFT(Berekening!V17,1)&gt;RIGHT(Berekening!V17,1),"T",IF(LEFT(Berekening!V17,1)&lt;RIGHT(Berekening!V17,1),"U","G"))</f>
        <v>G</v>
      </c>
      <c r="Y5" s="166" t="str">
        <f>IF(LEFT(Berekening!W17,1)&gt;RIGHT(Berekening!W17,1),"T",IF(LEFT(Berekening!W17,1)&lt;RIGHT(Berekening!W17,1),"U","G"))</f>
        <v>G</v>
      </c>
      <c r="Z5" s="166" t="str">
        <f>IF(LEFT(Berekening!X17,1)&gt;RIGHT(Berekening!X17,1),"T",IF(LEFT(Berekening!X17,1)&lt;RIGHT(Berekening!X17,1),"U","G"))</f>
        <v>G</v>
      </c>
      <c r="AA5" s="166" t="str">
        <f>IF(LEFT(Berekening!Y17,1)&gt;RIGHT(Berekening!Y17,1),"T",IF(LEFT(Berekening!Y17,1)&lt;RIGHT(Berekening!Y17,1),"U","G"))</f>
        <v>G</v>
      </c>
      <c r="AB5" s="166" t="str">
        <f>IF(LEFT(Berekening!Z17,1)&gt;RIGHT(Berekening!Z17,1),"T",IF(LEFT(Berekening!Z17,1)&lt;RIGHT(Berekening!Z17,1),"U","G"))</f>
        <v>G</v>
      </c>
      <c r="AC5" s="166" t="str">
        <f>IF(LEFT(Berekening!AA17,1)&gt;RIGHT(Berekening!AA17,1),"T",IF(LEFT(Berekening!AA17,1)&lt;RIGHT(Berekening!AA17,1),"U","G"))</f>
        <v>G</v>
      </c>
      <c r="AD5" s="166" t="str">
        <f>IF(LEFT(Berekening!AB17,1)&gt;RIGHT(Berekening!AB17,1),"T",IF(LEFT(Berekening!AB17,1)&lt;RIGHT(Berekening!AB17,1),"U","G"))</f>
        <v>G</v>
      </c>
      <c r="AE5" s="166" t="str">
        <f>IF(LEFT(Berekening!AC17,1)&gt;RIGHT(Berekening!AC17,1),"T",IF(LEFT(Berekening!AC17,1)&lt;RIGHT(Berekening!AC17,1),"U","G"))</f>
        <v>G</v>
      </c>
      <c r="AF5" s="166" t="str">
        <f>IF(LEFT(Berekening!AD17,1)&gt;RIGHT(Berekening!AD17,1),"T",IF(LEFT(Berekening!AD17,1)&lt;RIGHT(Berekening!AD17,1),"U","G"))</f>
        <v>G</v>
      </c>
      <c r="AG5" s="166" t="str">
        <f>IF(LEFT(Berekening!AE17,1)&gt;RIGHT(Berekening!AE17,1),"T",IF(LEFT(Berekening!AE17,1)&lt;RIGHT(Berekening!AE17,1),"U","G"))</f>
        <v>G</v>
      </c>
      <c r="AH5" s="166" t="str">
        <f>IF(LEFT(Berekening!AF17,1)&gt;RIGHT(Berekening!AF17,1),"T",IF(LEFT(Berekening!AF17,1)&lt;RIGHT(Berekening!AF17,1),"U","G"))</f>
        <v>G</v>
      </c>
      <c r="AI5" s="166" t="str">
        <f>IF(LEFT(Berekening!AG17,1)&gt;RIGHT(Berekening!AG17,1),"T",IF(LEFT(Berekening!AG17,1)&lt;RIGHT(Berekening!AG17,1),"U","G"))</f>
        <v>G</v>
      </c>
      <c r="AJ5" s="166" t="str">
        <f>IF(LEFT(Berekening!AH17,1)&gt;RIGHT(Berekening!AH17,1),"T",IF(LEFT(Berekening!AH17,1)&lt;RIGHT(Berekening!AH17,1),"U","G"))</f>
        <v>G</v>
      </c>
      <c r="AK5" s="166" t="str">
        <f>IF(LEFT(Berekening!AI17,1)&gt;RIGHT(Berekening!AI17,1),"T",IF(LEFT(Berekening!AI17,1)&lt;RIGHT(Berekening!AI17,1),"U","G"))</f>
        <v>G</v>
      </c>
      <c r="AL5" s="166" t="str">
        <f>IF(LEFT(Berekening!AJ17,1)&gt;RIGHT(Berekening!AJ17,1),"T",IF(LEFT(Berekening!AJ17,1)&lt;RIGHT(Berekening!AJ17,1),"U","G"))</f>
        <v>G</v>
      </c>
      <c r="AM5" s="166" t="str">
        <f>IF(LEFT(Berekening!AK17,1)&gt;RIGHT(Berekening!AK17,1),"T",IF(LEFT(Berekening!AK17,1)&lt;RIGHT(Berekening!AK17,1),"U","G"))</f>
        <v>G</v>
      </c>
      <c r="AN5" s="166" t="str">
        <f>IF(LEFT(Berekening!AL17,1)&gt;RIGHT(Berekening!AL17,1),"T",IF(LEFT(Berekening!AL17,1)&lt;RIGHT(Berekening!AL17,1),"U","G"))</f>
        <v>G</v>
      </c>
      <c r="AO5" s="166" t="str">
        <f>IF(LEFT(Berekening!AM17,1)&gt;RIGHT(Berekening!AM17,1),"T",IF(LEFT(Berekening!AM17,1)&lt;RIGHT(Berekening!AM17,1),"U","G"))</f>
        <v>G</v>
      </c>
      <c r="AP5" s="166" t="str">
        <f>IF(LEFT(Berekening!AN17,1)&gt;RIGHT(Berekening!AN17,1),"T",IF(LEFT(Berekening!AN17,1)&lt;RIGHT(Berekening!AN17,1),"U","G"))</f>
        <v>G</v>
      </c>
      <c r="AQ5" s="166" t="str">
        <f>IF(LEFT(Berekening!AO17,1)&gt;RIGHT(Berekening!AO17,1),"T",IF(LEFT(Berekening!AO17,1)&lt;RIGHT(Berekening!AO17,1),"U","G"))</f>
        <v>G</v>
      </c>
      <c r="AR5" s="166" t="str">
        <f>IF(LEFT(Berekening!AP17,1)&gt;RIGHT(Berekening!AP17,1),"T",IF(LEFT(Berekening!AP17,1)&lt;RIGHT(Berekening!AP17,1),"U","G"))</f>
        <v>G</v>
      </c>
      <c r="AS5" s="166" t="str">
        <f>IF(LEFT(Berekening!AQ17,1)&gt;RIGHT(Berekening!AQ17,1),"T",IF(LEFT(Berekening!AQ17,1)&lt;RIGHT(Berekening!AQ17,1),"U","G"))</f>
        <v>G</v>
      </c>
      <c r="AT5" s="166" t="str">
        <f>IF(LEFT(Berekening!AR17,1)&gt;RIGHT(Berekening!AR17,1),"T",IF(LEFT(Berekening!AR17,1)&lt;RIGHT(Berekening!AR17,1),"U","G"))</f>
        <v>G</v>
      </c>
      <c r="AU5" s="166" t="str">
        <f>IF(LEFT(Berekening!AS17,1)&gt;RIGHT(Berekening!AS17,1),"T",IF(LEFT(Berekening!AS17,1)&lt;RIGHT(Berekening!AS17,1),"U","G"))</f>
        <v>G</v>
      </c>
      <c r="AV5" s="166" t="str">
        <f>IF(LEFT(Berekening!AT17,1)&gt;RIGHT(Berekening!AT17,1),"T",IF(LEFT(Berekening!AT17,1)&lt;RIGHT(Berekening!AT17,1),"U","G"))</f>
        <v>G</v>
      </c>
    </row>
    <row r="6" spans="3:48">
      <c r="C6" s="163" t="s">
        <v>1113</v>
      </c>
      <c r="D6" s="164" t="s">
        <v>2971</v>
      </c>
      <c r="E6" s="165" t="s">
        <v>1016</v>
      </c>
      <c r="G6" s="166" t="str">
        <f>IF(LEFT(Berekening!E18,1)&gt;RIGHT(Berekening!E18,1),"T",IF(LEFT(Berekening!E18,1)&lt;RIGHT(Berekening!E18,1),"U","G"))</f>
        <v>T</v>
      </c>
      <c r="H6" s="166" t="str">
        <f>IF(LEFT(Berekening!F18,1)&gt;RIGHT(Berekening!F18,1),"T",IF(LEFT(Berekening!F18,1)&lt;RIGHT(Berekening!F18,1),"U","G"))</f>
        <v>T</v>
      </c>
      <c r="I6" s="166" t="str">
        <f>IF(LEFT(Berekening!G18,1)&gt;RIGHT(Berekening!G18,1),"T",IF(LEFT(Berekening!G18,1)&lt;RIGHT(Berekening!G18,1),"U","G"))</f>
        <v>T</v>
      </c>
      <c r="J6" s="166" t="str">
        <f>IF(LEFT(Berekening!H18,1)&gt;RIGHT(Berekening!H18,1),"T",IF(LEFT(Berekening!H18,1)&lt;RIGHT(Berekening!H18,1),"U","G"))</f>
        <v>T</v>
      </c>
      <c r="K6" s="166" t="str">
        <f>IF(LEFT(Berekening!I18,1)&gt;RIGHT(Berekening!I18,1),"T",IF(LEFT(Berekening!I18,1)&lt;RIGHT(Berekening!I18,1),"U","G"))</f>
        <v>T</v>
      </c>
      <c r="L6" s="166" t="str">
        <f>IF(LEFT(Berekening!J18,1)&gt;RIGHT(Berekening!J18,1),"T",IF(LEFT(Berekening!J18,1)&lt;RIGHT(Berekening!J18,1),"U","G"))</f>
        <v>G</v>
      </c>
      <c r="M6" s="166" t="str">
        <f>IF(LEFT(Berekening!K18,1)&gt;RIGHT(Berekening!K18,1),"T",IF(LEFT(Berekening!K18,1)&lt;RIGHT(Berekening!K18,1),"U","G"))</f>
        <v>T</v>
      </c>
      <c r="N6" s="166" t="str">
        <f>IF(LEFT(Berekening!L18,1)&gt;RIGHT(Berekening!L18,1),"T",IF(LEFT(Berekening!L18,1)&lt;RIGHT(Berekening!L18,1),"U","G"))</f>
        <v>T</v>
      </c>
      <c r="O6" s="166" t="str">
        <f>IF(LEFT(Berekening!M18,1)&gt;RIGHT(Berekening!M18,1),"T",IF(LEFT(Berekening!M18,1)&lt;RIGHT(Berekening!M18,1),"U","G"))</f>
        <v>T</v>
      </c>
      <c r="P6" s="166" t="str">
        <f>IF(LEFT(Berekening!N18,1)&gt;RIGHT(Berekening!N18,1),"T",IF(LEFT(Berekening!N18,1)&lt;RIGHT(Berekening!N18,1),"U","G"))</f>
        <v>T</v>
      </c>
      <c r="Q6" s="166" t="str">
        <f>IF(LEFT(Berekening!O18,1)&gt;RIGHT(Berekening!O18,1),"T",IF(LEFT(Berekening!O18,1)&lt;RIGHT(Berekening!O18,1),"U","G"))</f>
        <v>T</v>
      </c>
      <c r="R6" s="166" t="str">
        <f>IF(LEFT(Berekening!P18,1)&gt;RIGHT(Berekening!P18,1),"T",IF(LEFT(Berekening!P18,1)&lt;RIGHT(Berekening!P18,1),"U","G"))</f>
        <v>T</v>
      </c>
      <c r="S6" s="166" t="str">
        <f>IF(LEFT(Berekening!Q18,1)&gt;RIGHT(Berekening!Q18,1),"T",IF(LEFT(Berekening!Q18,1)&lt;RIGHT(Berekening!Q18,1),"U","G"))</f>
        <v>T</v>
      </c>
      <c r="T6" s="166" t="str">
        <f>IF(LEFT(Berekening!R18,1)&gt;RIGHT(Berekening!R18,1),"T",IF(LEFT(Berekening!R18,1)&lt;RIGHT(Berekening!R18,1),"U","G"))</f>
        <v>T</v>
      </c>
      <c r="U6" s="166" t="str">
        <f>IF(LEFT(Berekening!S18,1)&gt;RIGHT(Berekening!S18,1),"T",IF(LEFT(Berekening!S18,1)&lt;RIGHT(Berekening!S18,1),"U","G"))</f>
        <v>T</v>
      </c>
      <c r="V6" s="166" t="str">
        <f>IF(LEFT(Berekening!T18,1)&gt;RIGHT(Berekening!T18,1),"T",IF(LEFT(Berekening!T18,1)&lt;RIGHT(Berekening!T18,1),"U","G"))</f>
        <v>T</v>
      </c>
      <c r="W6" s="166" t="str">
        <f>IF(LEFT(Berekening!U18,1)&gt;RIGHT(Berekening!U18,1),"T",IF(LEFT(Berekening!U18,1)&lt;RIGHT(Berekening!U18,1),"U","G"))</f>
        <v>G</v>
      </c>
      <c r="X6" s="166" t="str">
        <f>IF(LEFT(Berekening!V18,1)&gt;RIGHT(Berekening!V18,1),"T",IF(LEFT(Berekening!V18,1)&lt;RIGHT(Berekening!V18,1),"U","G"))</f>
        <v>G</v>
      </c>
      <c r="Y6" s="166" t="str">
        <f>IF(LEFT(Berekening!W18,1)&gt;RIGHT(Berekening!W18,1),"T",IF(LEFT(Berekening!W18,1)&lt;RIGHT(Berekening!W18,1),"U","G"))</f>
        <v>G</v>
      </c>
      <c r="Z6" s="166" t="str">
        <f>IF(LEFT(Berekening!X18,1)&gt;RIGHT(Berekening!X18,1),"T",IF(LEFT(Berekening!X18,1)&lt;RIGHT(Berekening!X18,1),"U","G"))</f>
        <v>G</v>
      </c>
      <c r="AA6" s="166" t="str">
        <f>IF(LEFT(Berekening!Y18,1)&gt;RIGHT(Berekening!Y18,1),"T",IF(LEFT(Berekening!Y18,1)&lt;RIGHT(Berekening!Y18,1),"U","G"))</f>
        <v>G</v>
      </c>
      <c r="AB6" s="166" t="str">
        <f>IF(LEFT(Berekening!Z18,1)&gt;RIGHT(Berekening!Z18,1),"T",IF(LEFT(Berekening!Z18,1)&lt;RIGHT(Berekening!Z18,1),"U","G"))</f>
        <v>G</v>
      </c>
      <c r="AC6" s="166" t="str">
        <f>IF(LEFT(Berekening!AA18,1)&gt;RIGHT(Berekening!AA18,1),"T",IF(LEFT(Berekening!AA18,1)&lt;RIGHT(Berekening!AA18,1),"U","G"))</f>
        <v>G</v>
      </c>
      <c r="AD6" s="166" t="str">
        <f>IF(LEFT(Berekening!AB18,1)&gt;RIGHT(Berekening!AB18,1),"T",IF(LEFT(Berekening!AB18,1)&lt;RIGHT(Berekening!AB18,1),"U","G"))</f>
        <v>G</v>
      </c>
      <c r="AE6" s="166" t="str">
        <f>IF(LEFT(Berekening!AC18,1)&gt;RIGHT(Berekening!AC18,1),"T",IF(LEFT(Berekening!AC18,1)&lt;RIGHT(Berekening!AC18,1),"U","G"))</f>
        <v>G</v>
      </c>
      <c r="AF6" s="166" t="str">
        <f>IF(LEFT(Berekening!AD18,1)&gt;RIGHT(Berekening!AD18,1),"T",IF(LEFT(Berekening!AD18,1)&lt;RIGHT(Berekening!AD18,1),"U","G"))</f>
        <v>G</v>
      </c>
      <c r="AG6" s="166" t="str">
        <f>IF(LEFT(Berekening!AE18,1)&gt;RIGHT(Berekening!AE18,1),"T",IF(LEFT(Berekening!AE18,1)&lt;RIGHT(Berekening!AE18,1),"U","G"))</f>
        <v>G</v>
      </c>
      <c r="AH6" s="166" t="str">
        <f>IF(LEFT(Berekening!AF18,1)&gt;RIGHT(Berekening!AF18,1),"T",IF(LEFT(Berekening!AF18,1)&lt;RIGHT(Berekening!AF18,1),"U","G"))</f>
        <v>G</v>
      </c>
      <c r="AI6" s="166" t="str">
        <f>IF(LEFT(Berekening!AG18,1)&gt;RIGHT(Berekening!AG18,1),"T",IF(LEFT(Berekening!AG18,1)&lt;RIGHT(Berekening!AG18,1),"U","G"))</f>
        <v>G</v>
      </c>
      <c r="AJ6" s="166" t="str">
        <f>IF(LEFT(Berekening!AH18,1)&gt;RIGHT(Berekening!AH18,1),"T",IF(LEFT(Berekening!AH18,1)&lt;RIGHT(Berekening!AH18,1),"U","G"))</f>
        <v>G</v>
      </c>
      <c r="AK6" s="166" t="str">
        <f>IF(LEFT(Berekening!AI18,1)&gt;RIGHT(Berekening!AI18,1),"T",IF(LEFT(Berekening!AI18,1)&lt;RIGHT(Berekening!AI18,1),"U","G"))</f>
        <v>G</v>
      </c>
      <c r="AL6" s="166" t="str">
        <f>IF(LEFT(Berekening!AJ18,1)&gt;RIGHT(Berekening!AJ18,1),"T",IF(LEFT(Berekening!AJ18,1)&lt;RIGHT(Berekening!AJ18,1),"U","G"))</f>
        <v>G</v>
      </c>
      <c r="AM6" s="166" t="str">
        <f>IF(LEFT(Berekening!AK18,1)&gt;RIGHT(Berekening!AK18,1),"T",IF(LEFT(Berekening!AK18,1)&lt;RIGHT(Berekening!AK18,1),"U","G"))</f>
        <v>G</v>
      </c>
      <c r="AN6" s="166" t="str">
        <f>IF(LEFT(Berekening!AL18,1)&gt;RIGHT(Berekening!AL18,1),"T",IF(LEFT(Berekening!AL18,1)&lt;RIGHT(Berekening!AL18,1),"U","G"))</f>
        <v>G</v>
      </c>
      <c r="AO6" s="166" t="str">
        <f>IF(LEFT(Berekening!AM18,1)&gt;RIGHT(Berekening!AM18,1),"T",IF(LEFT(Berekening!AM18,1)&lt;RIGHT(Berekening!AM18,1),"U","G"))</f>
        <v>G</v>
      </c>
      <c r="AP6" s="166" t="str">
        <f>IF(LEFT(Berekening!AN18,1)&gt;RIGHT(Berekening!AN18,1),"T",IF(LEFT(Berekening!AN18,1)&lt;RIGHT(Berekening!AN18,1),"U","G"))</f>
        <v>G</v>
      </c>
      <c r="AQ6" s="166" t="str">
        <f>IF(LEFT(Berekening!AO18,1)&gt;RIGHT(Berekening!AO18,1),"T",IF(LEFT(Berekening!AO18,1)&lt;RIGHT(Berekening!AO18,1),"U","G"))</f>
        <v>G</v>
      </c>
      <c r="AR6" s="166" t="str">
        <f>IF(LEFT(Berekening!AP18,1)&gt;RIGHT(Berekening!AP18,1),"T",IF(LEFT(Berekening!AP18,1)&lt;RIGHT(Berekening!AP18,1),"U","G"))</f>
        <v>G</v>
      </c>
      <c r="AS6" s="166" t="str">
        <f>IF(LEFT(Berekening!AQ18,1)&gt;RIGHT(Berekening!AQ18,1),"T",IF(LEFT(Berekening!AQ18,1)&lt;RIGHT(Berekening!AQ18,1),"U","G"))</f>
        <v>G</v>
      </c>
      <c r="AT6" s="166" t="str">
        <f>IF(LEFT(Berekening!AR18,1)&gt;RIGHT(Berekening!AR18,1),"T",IF(LEFT(Berekening!AR18,1)&lt;RIGHT(Berekening!AR18,1),"U","G"))</f>
        <v>G</v>
      </c>
      <c r="AU6" s="166" t="str">
        <f>IF(LEFT(Berekening!AS18,1)&gt;RIGHT(Berekening!AS18,1),"T",IF(LEFT(Berekening!AS18,1)&lt;RIGHT(Berekening!AS18,1),"U","G"))</f>
        <v>G</v>
      </c>
      <c r="AV6" s="166" t="str">
        <f>IF(LEFT(Berekening!AT18,1)&gt;RIGHT(Berekening!AT18,1),"T",IF(LEFT(Berekening!AT18,1)&lt;RIGHT(Berekening!AT18,1),"U","G"))</f>
        <v>G</v>
      </c>
    </row>
    <row r="7" spans="3:48">
      <c r="C7" s="163" t="s">
        <v>1822</v>
      </c>
      <c r="D7" s="164" t="s">
        <v>2971</v>
      </c>
      <c r="E7" s="165" t="s">
        <v>1324</v>
      </c>
      <c r="G7" s="166" t="str">
        <f>IF(LEFT(Berekening!E19,1)&gt;RIGHT(Berekening!E19,1),"T",IF(LEFT(Berekening!E19,1)&lt;RIGHT(Berekening!E19,1),"U","G"))</f>
        <v>U</v>
      </c>
      <c r="H7" s="166" t="str">
        <f>IF(LEFT(Berekening!F19,1)&gt;RIGHT(Berekening!F19,1),"T",IF(LEFT(Berekening!F19,1)&lt;RIGHT(Berekening!F19,1),"U","G"))</f>
        <v>U</v>
      </c>
      <c r="I7" s="166" t="str">
        <f>IF(LEFT(Berekening!G19,1)&gt;RIGHT(Berekening!G19,1),"T",IF(LEFT(Berekening!G19,1)&lt;RIGHT(Berekening!G19,1),"U","G"))</f>
        <v>U</v>
      </c>
      <c r="J7" s="166" t="str">
        <f>IF(LEFT(Berekening!H19,1)&gt;RIGHT(Berekening!H19,1),"T",IF(LEFT(Berekening!H19,1)&lt;RIGHT(Berekening!H19,1),"U","G"))</f>
        <v>U</v>
      </c>
      <c r="K7" s="166" t="str">
        <f>IF(LEFT(Berekening!I19,1)&gt;RIGHT(Berekening!I19,1),"T",IF(LEFT(Berekening!I19,1)&lt;RIGHT(Berekening!I19,1),"U","G"))</f>
        <v>U</v>
      </c>
      <c r="L7" s="166" t="str">
        <f>IF(LEFT(Berekening!J19,1)&gt;RIGHT(Berekening!J19,1),"T",IF(LEFT(Berekening!J19,1)&lt;RIGHT(Berekening!J19,1),"U","G"))</f>
        <v>U</v>
      </c>
      <c r="M7" s="166" t="str">
        <f>IF(LEFT(Berekening!K19,1)&gt;RIGHT(Berekening!K19,1),"T",IF(LEFT(Berekening!K19,1)&lt;RIGHT(Berekening!K19,1),"U","G"))</f>
        <v>U</v>
      </c>
      <c r="N7" s="166" t="str">
        <f>IF(LEFT(Berekening!L19,1)&gt;RIGHT(Berekening!L19,1),"T",IF(LEFT(Berekening!L19,1)&lt;RIGHT(Berekening!L19,1),"U","G"))</f>
        <v>U</v>
      </c>
      <c r="O7" s="166" t="str">
        <f>IF(LEFT(Berekening!M19,1)&gt;RIGHT(Berekening!M19,1),"T",IF(LEFT(Berekening!M19,1)&lt;RIGHT(Berekening!M19,1),"U","G"))</f>
        <v>U</v>
      </c>
      <c r="P7" s="166" t="str">
        <f>IF(LEFT(Berekening!N19,1)&gt;RIGHT(Berekening!N19,1),"T",IF(LEFT(Berekening!N19,1)&lt;RIGHT(Berekening!N19,1),"U","G"))</f>
        <v>U</v>
      </c>
      <c r="Q7" s="166" t="str">
        <f>IF(LEFT(Berekening!O19,1)&gt;RIGHT(Berekening!O19,1),"T",IF(LEFT(Berekening!O19,1)&lt;RIGHT(Berekening!O19,1),"U","G"))</f>
        <v>U</v>
      </c>
      <c r="R7" s="166" t="str">
        <f>IF(LEFT(Berekening!P19,1)&gt;RIGHT(Berekening!P19,1),"T",IF(LEFT(Berekening!P19,1)&lt;RIGHT(Berekening!P19,1),"U","G"))</f>
        <v>U</v>
      </c>
      <c r="S7" s="166" t="str">
        <f>IF(LEFT(Berekening!Q19,1)&gt;RIGHT(Berekening!Q19,1),"T",IF(LEFT(Berekening!Q19,1)&lt;RIGHT(Berekening!Q19,1),"U","G"))</f>
        <v>U</v>
      </c>
      <c r="T7" s="166" t="str">
        <f>IF(LEFT(Berekening!R19,1)&gt;RIGHT(Berekening!R19,1),"T",IF(LEFT(Berekening!R19,1)&lt;RIGHT(Berekening!R19,1),"U","G"))</f>
        <v>U</v>
      </c>
      <c r="U7" s="166" t="str">
        <f>IF(LEFT(Berekening!S19,1)&gt;RIGHT(Berekening!S19,1),"T",IF(LEFT(Berekening!S19,1)&lt;RIGHT(Berekening!S19,1),"U","G"))</f>
        <v>U</v>
      </c>
      <c r="V7" s="166" t="str">
        <f>IF(LEFT(Berekening!T19,1)&gt;RIGHT(Berekening!T19,1),"T",IF(LEFT(Berekening!T19,1)&lt;RIGHT(Berekening!T19,1),"U","G"))</f>
        <v>U</v>
      </c>
      <c r="W7" s="166" t="str">
        <f>IF(LEFT(Berekening!U19,1)&gt;RIGHT(Berekening!U19,1),"T",IF(LEFT(Berekening!U19,1)&lt;RIGHT(Berekening!U19,1),"U","G"))</f>
        <v>G</v>
      </c>
      <c r="X7" s="166" t="str">
        <f>IF(LEFT(Berekening!V19,1)&gt;RIGHT(Berekening!V19,1),"T",IF(LEFT(Berekening!V19,1)&lt;RIGHT(Berekening!V19,1),"U","G"))</f>
        <v>G</v>
      </c>
      <c r="Y7" s="166" t="str">
        <f>IF(LEFT(Berekening!W19,1)&gt;RIGHT(Berekening!W19,1),"T",IF(LEFT(Berekening!W19,1)&lt;RIGHT(Berekening!W19,1),"U","G"))</f>
        <v>G</v>
      </c>
      <c r="Z7" s="166" t="str">
        <f>IF(LEFT(Berekening!X19,1)&gt;RIGHT(Berekening!X19,1),"T",IF(LEFT(Berekening!X19,1)&lt;RIGHT(Berekening!X19,1),"U","G"))</f>
        <v>G</v>
      </c>
      <c r="AA7" s="166" t="str">
        <f>IF(LEFT(Berekening!Y19,1)&gt;RIGHT(Berekening!Y19,1),"T",IF(LEFT(Berekening!Y19,1)&lt;RIGHT(Berekening!Y19,1),"U","G"))</f>
        <v>G</v>
      </c>
      <c r="AB7" s="166" t="str">
        <f>IF(LEFT(Berekening!Z19,1)&gt;RIGHT(Berekening!Z19,1),"T",IF(LEFT(Berekening!Z19,1)&lt;RIGHT(Berekening!Z19,1),"U","G"))</f>
        <v>G</v>
      </c>
      <c r="AC7" s="166" t="str">
        <f>IF(LEFT(Berekening!AA19,1)&gt;RIGHT(Berekening!AA19,1),"T",IF(LEFT(Berekening!AA19,1)&lt;RIGHT(Berekening!AA19,1),"U","G"))</f>
        <v>G</v>
      </c>
      <c r="AD7" s="166" t="str">
        <f>IF(LEFT(Berekening!AB19,1)&gt;RIGHT(Berekening!AB19,1),"T",IF(LEFT(Berekening!AB19,1)&lt;RIGHT(Berekening!AB19,1),"U","G"))</f>
        <v>G</v>
      </c>
      <c r="AE7" s="166" t="str">
        <f>IF(LEFT(Berekening!AC19,1)&gt;RIGHT(Berekening!AC19,1),"T",IF(LEFT(Berekening!AC19,1)&lt;RIGHT(Berekening!AC19,1),"U","G"))</f>
        <v>G</v>
      </c>
      <c r="AF7" s="166" t="str">
        <f>IF(LEFT(Berekening!AD19,1)&gt;RIGHT(Berekening!AD19,1),"T",IF(LEFT(Berekening!AD19,1)&lt;RIGHT(Berekening!AD19,1),"U","G"))</f>
        <v>G</v>
      </c>
      <c r="AG7" s="166" t="str">
        <f>IF(LEFT(Berekening!AE19,1)&gt;RIGHT(Berekening!AE19,1),"T",IF(LEFT(Berekening!AE19,1)&lt;RIGHT(Berekening!AE19,1),"U","G"))</f>
        <v>G</v>
      </c>
      <c r="AH7" s="166" t="str">
        <f>IF(LEFT(Berekening!AF19,1)&gt;RIGHT(Berekening!AF19,1),"T",IF(LEFT(Berekening!AF19,1)&lt;RIGHT(Berekening!AF19,1),"U","G"))</f>
        <v>G</v>
      </c>
      <c r="AI7" s="166" t="str">
        <f>IF(LEFT(Berekening!AG19,1)&gt;RIGHT(Berekening!AG19,1),"T",IF(LEFT(Berekening!AG19,1)&lt;RIGHT(Berekening!AG19,1),"U","G"))</f>
        <v>G</v>
      </c>
      <c r="AJ7" s="166" t="str">
        <f>IF(LEFT(Berekening!AH19,1)&gt;RIGHT(Berekening!AH19,1),"T",IF(LEFT(Berekening!AH19,1)&lt;RIGHT(Berekening!AH19,1),"U","G"))</f>
        <v>G</v>
      </c>
      <c r="AK7" s="166" t="str">
        <f>IF(LEFT(Berekening!AI19,1)&gt;RIGHT(Berekening!AI19,1),"T",IF(LEFT(Berekening!AI19,1)&lt;RIGHT(Berekening!AI19,1),"U","G"))</f>
        <v>G</v>
      </c>
      <c r="AL7" s="166" t="str">
        <f>IF(LEFT(Berekening!AJ19,1)&gt;RIGHT(Berekening!AJ19,1),"T",IF(LEFT(Berekening!AJ19,1)&lt;RIGHT(Berekening!AJ19,1),"U","G"))</f>
        <v>G</v>
      </c>
      <c r="AM7" s="166" t="str">
        <f>IF(LEFT(Berekening!AK19,1)&gt;RIGHT(Berekening!AK19,1),"T",IF(LEFT(Berekening!AK19,1)&lt;RIGHT(Berekening!AK19,1),"U","G"))</f>
        <v>G</v>
      </c>
      <c r="AN7" s="166" t="str">
        <f>IF(LEFT(Berekening!AL19,1)&gt;RIGHT(Berekening!AL19,1),"T",IF(LEFT(Berekening!AL19,1)&lt;RIGHT(Berekening!AL19,1),"U","G"))</f>
        <v>G</v>
      </c>
      <c r="AO7" s="166" t="str">
        <f>IF(LEFT(Berekening!AM19,1)&gt;RIGHT(Berekening!AM19,1),"T",IF(LEFT(Berekening!AM19,1)&lt;RIGHT(Berekening!AM19,1),"U","G"))</f>
        <v>G</v>
      </c>
      <c r="AP7" s="166" t="str">
        <f>IF(LEFT(Berekening!AN19,1)&gt;RIGHT(Berekening!AN19,1),"T",IF(LEFT(Berekening!AN19,1)&lt;RIGHT(Berekening!AN19,1),"U","G"))</f>
        <v>G</v>
      </c>
      <c r="AQ7" s="166" t="str">
        <f>IF(LEFT(Berekening!AO19,1)&gt;RIGHT(Berekening!AO19,1),"T",IF(LEFT(Berekening!AO19,1)&lt;RIGHT(Berekening!AO19,1),"U","G"))</f>
        <v>G</v>
      </c>
      <c r="AR7" s="166" t="str">
        <f>IF(LEFT(Berekening!AP19,1)&gt;RIGHT(Berekening!AP19,1),"T",IF(LEFT(Berekening!AP19,1)&lt;RIGHT(Berekening!AP19,1),"U","G"))</f>
        <v>G</v>
      </c>
      <c r="AS7" s="166" t="str">
        <f>IF(LEFT(Berekening!AQ19,1)&gt;RIGHT(Berekening!AQ19,1),"T",IF(LEFT(Berekening!AQ19,1)&lt;RIGHT(Berekening!AQ19,1),"U","G"))</f>
        <v>G</v>
      </c>
      <c r="AT7" s="166" t="str">
        <f>IF(LEFT(Berekening!AR19,1)&gt;RIGHT(Berekening!AR19,1),"T",IF(LEFT(Berekening!AR19,1)&lt;RIGHT(Berekening!AR19,1),"U","G"))</f>
        <v>G</v>
      </c>
      <c r="AU7" s="166" t="str">
        <f>IF(LEFT(Berekening!AS19,1)&gt;RIGHT(Berekening!AS19,1),"T",IF(LEFT(Berekening!AS19,1)&lt;RIGHT(Berekening!AS19,1),"U","G"))</f>
        <v>G</v>
      </c>
      <c r="AV7" s="166" t="str">
        <f>IF(LEFT(Berekening!AT19,1)&gt;RIGHT(Berekening!AT19,1),"T",IF(LEFT(Berekening!AT19,1)&lt;RIGHT(Berekening!AT19,1),"U","G"))</f>
        <v>G</v>
      </c>
    </row>
    <row r="8" spans="3:48">
      <c r="C8" s="163" t="s">
        <v>2630</v>
      </c>
      <c r="D8" s="164" t="s">
        <v>2971</v>
      </c>
      <c r="E8" s="165" t="s">
        <v>1206</v>
      </c>
      <c r="G8" s="166" t="str">
        <f>IF(LEFT(Berekening!E20,1)&gt;RIGHT(Berekening!E20,1),"T",IF(LEFT(Berekening!E20,1)&lt;RIGHT(Berekening!E20,1),"U","G"))</f>
        <v>U</v>
      </c>
      <c r="H8" s="166" t="str">
        <f>IF(LEFT(Berekening!F20,1)&gt;RIGHT(Berekening!F20,1),"T",IF(LEFT(Berekening!F20,1)&lt;RIGHT(Berekening!F20,1),"U","G"))</f>
        <v>U</v>
      </c>
      <c r="I8" s="166" t="str">
        <f>IF(LEFT(Berekening!G20,1)&gt;RIGHT(Berekening!G20,1),"T",IF(LEFT(Berekening!G20,1)&lt;RIGHT(Berekening!G20,1),"U","G"))</f>
        <v>U</v>
      </c>
      <c r="J8" s="166" t="str">
        <f>IF(LEFT(Berekening!H20,1)&gt;RIGHT(Berekening!H20,1),"T",IF(LEFT(Berekening!H20,1)&lt;RIGHT(Berekening!H20,1),"U","G"))</f>
        <v>U</v>
      </c>
      <c r="K8" s="166" t="str">
        <f>IF(LEFT(Berekening!I20,1)&gt;RIGHT(Berekening!I20,1),"T",IF(LEFT(Berekening!I20,1)&lt;RIGHT(Berekening!I20,1),"U","G"))</f>
        <v>U</v>
      </c>
      <c r="L8" s="166" t="str">
        <f>IF(LEFT(Berekening!J20,1)&gt;RIGHT(Berekening!J20,1),"T",IF(LEFT(Berekening!J20,1)&lt;RIGHT(Berekening!J20,1),"U","G"))</f>
        <v>U</v>
      </c>
      <c r="M8" s="166" t="str">
        <f>IF(LEFT(Berekening!K20,1)&gt;RIGHT(Berekening!K20,1),"T",IF(LEFT(Berekening!K20,1)&lt;RIGHT(Berekening!K20,1),"U","G"))</f>
        <v>U</v>
      </c>
      <c r="N8" s="166" t="str">
        <f>IF(LEFT(Berekening!L20,1)&gt;RIGHT(Berekening!L20,1),"T",IF(LEFT(Berekening!L20,1)&lt;RIGHT(Berekening!L20,1),"U","G"))</f>
        <v>U</v>
      </c>
      <c r="O8" s="166" t="str">
        <f>IF(LEFT(Berekening!M20,1)&gt;RIGHT(Berekening!M20,1),"T",IF(LEFT(Berekening!M20,1)&lt;RIGHT(Berekening!M20,1),"U","G"))</f>
        <v>G</v>
      </c>
      <c r="P8" s="166" t="str">
        <f>IF(LEFT(Berekening!N20,1)&gt;RIGHT(Berekening!N20,1),"T",IF(LEFT(Berekening!N20,1)&lt;RIGHT(Berekening!N20,1),"U","G"))</f>
        <v>U</v>
      </c>
      <c r="Q8" s="166" t="str">
        <f>IF(LEFT(Berekening!O20,1)&gt;RIGHT(Berekening!O20,1),"T",IF(LEFT(Berekening!O20,1)&lt;RIGHT(Berekening!O20,1),"U","G"))</f>
        <v>U</v>
      </c>
      <c r="R8" s="166" t="str">
        <f>IF(LEFT(Berekening!P20,1)&gt;RIGHT(Berekening!P20,1),"T",IF(LEFT(Berekening!P20,1)&lt;RIGHT(Berekening!P20,1),"U","G"))</f>
        <v>U</v>
      </c>
      <c r="S8" s="166" t="str">
        <f>IF(LEFT(Berekening!Q20,1)&gt;RIGHT(Berekening!Q20,1),"T",IF(LEFT(Berekening!Q20,1)&lt;RIGHT(Berekening!Q20,1),"U","G"))</f>
        <v>U</v>
      </c>
      <c r="T8" s="166" t="str">
        <f>IF(LEFT(Berekening!R20,1)&gt;RIGHT(Berekening!R20,1),"T",IF(LEFT(Berekening!R20,1)&lt;RIGHT(Berekening!R20,1),"U","G"))</f>
        <v>U</v>
      </c>
      <c r="U8" s="166" t="str">
        <f>IF(LEFT(Berekening!S20,1)&gt;RIGHT(Berekening!S20,1),"T",IF(LEFT(Berekening!S20,1)&lt;RIGHT(Berekening!S20,1),"U","G"))</f>
        <v>U</v>
      </c>
      <c r="V8" s="166" t="str">
        <f>IF(LEFT(Berekening!T20,1)&gt;RIGHT(Berekening!T20,1),"T",IF(LEFT(Berekening!T20,1)&lt;RIGHT(Berekening!T20,1),"U","G"))</f>
        <v>U</v>
      </c>
      <c r="W8" s="166" t="str">
        <f>IF(LEFT(Berekening!U20,1)&gt;RIGHT(Berekening!U20,1),"T",IF(LEFT(Berekening!U20,1)&lt;RIGHT(Berekening!U20,1),"U","G"))</f>
        <v>G</v>
      </c>
      <c r="X8" s="166" t="str">
        <f>IF(LEFT(Berekening!V20,1)&gt;RIGHT(Berekening!V20,1),"T",IF(LEFT(Berekening!V20,1)&lt;RIGHT(Berekening!V20,1),"U","G"))</f>
        <v>G</v>
      </c>
      <c r="Y8" s="166" t="str">
        <f>IF(LEFT(Berekening!W20,1)&gt;RIGHT(Berekening!W20,1),"T",IF(LEFT(Berekening!W20,1)&lt;RIGHT(Berekening!W20,1),"U","G"))</f>
        <v>G</v>
      </c>
      <c r="Z8" s="166" t="str">
        <f>IF(LEFT(Berekening!X20,1)&gt;RIGHT(Berekening!X20,1),"T",IF(LEFT(Berekening!X20,1)&lt;RIGHT(Berekening!X20,1),"U","G"))</f>
        <v>G</v>
      </c>
      <c r="AA8" s="166" t="str">
        <f>IF(LEFT(Berekening!Y20,1)&gt;RIGHT(Berekening!Y20,1),"T",IF(LEFT(Berekening!Y20,1)&lt;RIGHT(Berekening!Y20,1),"U","G"))</f>
        <v>G</v>
      </c>
      <c r="AB8" s="166" t="str">
        <f>IF(LEFT(Berekening!Z20,1)&gt;RIGHT(Berekening!Z20,1),"T",IF(LEFT(Berekening!Z20,1)&lt;RIGHT(Berekening!Z20,1),"U","G"))</f>
        <v>G</v>
      </c>
      <c r="AC8" s="166" t="str">
        <f>IF(LEFT(Berekening!AA20,1)&gt;RIGHT(Berekening!AA20,1),"T",IF(LEFT(Berekening!AA20,1)&lt;RIGHT(Berekening!AA20,1),"U","G"))</f>
        <v>G</v>
      </c>
      <c r="AD8" s="166" t="str">
        <f>IF(LEFT(Berekening!AB20,1)&gt;RIGHT(Berekening!AB20,1),"T",IF(LEFT(Berekening!AB20,1)&lt;RIGHT(Berekening!AB20,1),"U","G"))</f>
        <v>G</v>
      </c>
      <c r="AE8" s="166" t="str">
        <f>IF(LEFT(Berekening!AC20,1)&gt;RIGHT(Berekening!AC20,1),"T",IF(LEFT(Berekening!AC20,1)&lt;RIGHT(Berekening!AC20,1),"U","G"))</f>
        <v>G</v>
      </c>
      <c r="AF8" s="166" t="str">
        <f>IF(LEFT(Berekening!AD20,1)&gt;RIGHT(Berekening!AD20,1),"T",IF(LEFT(Berekening!AD20,1)&lt;RIGHT(Berekening!AD20,1),"U","G"))</f>
        <v>G</v>
      </c>
      <c r="AG8" s="166" t="str">
        <f>IF(LEFT(Berekening!AE20,1)&gt;RIGHT(Berekening!AE20,1),"T",IF(LEFT(Berekening!AE20,1)&lt;RIGHT(Berekening!AE20,1),"U","G"))</f>
        <v>G</v>
      </c>
      <c r="AH8" s="166" t="str">
        <f>IF(LEFT(Berekening!AF20,1)&gt;RIGHT(Berekening!AF20,1),"T",IF(LEFT(Berekening!AF20,1)&lt;RIGHT(Berekening!AF20,1),"U","G"))</f>
        <v>G</v>
      </c>
      <c r="AI8" s="166" t="str">
        <f>IF(LEFT(Berekening!AG20,1)&gt;RIGHT(Berekening!AG20,1),"T",IF(LEFT(Berekening!AG20,1)&lt;RIGHT(Berekening!AG20,1),"U","G"))</f>
        <v>G</v>
      </c>
      <c r="AJ8" s="166" t="str">
        <f>IF(LEFT(Berekening!AH20,1)&gt;RIGHT(Berekening!AH20,1),"T",IF(LEFT(Berekening!AH20,1)&lt;RIGHT(Berekening!AH20,1),"U","G"))</f>
        <v>G</v>
      </c>
      <c r="AK8" s="166" t="str">
        <f>IF(LEFT(Berekening!AI20,1)&gt;RIGHT(Berekening!AI20,1),"T",IF(LEFT(Berekening!AI20,1)&lt;RIGHT(Berekening!AI20,1),"U","G"))</f>
        <v>G</v>
      </c>
      <c r="AL8" s="166" t="str">
        <f>IF(LEFT(Berekening!AJ20,1)&gt;RIGHT(Berekening!AJ20,1),"T",IF(LEFT(Berekening!AJ20,1)&lt;RIGHT(Berekening!AJ20,1),"U","G"))</f>
        <v>G</v>
      </c>
      <c r="AM8" s="166" t="str">
        <f>IF(LEFT(Berekening!AK20,1)&gt;RIGHT(Berekening!AK20,1),"T",IF(LEFT(Berekening!AK20,1)&lt;RIGHT(Berekening!AK20,1),"U","G"))</f>
        <v>G</v>
      </c>
      <c r="AN8" s="166" t="str">
        <f>IF(LEFT(Berekening!AL20,1)&gt;RIGHT(Berekening!AL20,1),"T",IF(LEFT(Berekening!AL20,1)&lt;RIGHT(Berekening!AL20,1),"U","G"))</f>
        <v>G</v>
      </c>
      <c r="AO8" s="166" t="str">
        <f>IF(LEFT(Berekening!AM20,1)&gt;RIGHT(Berekening!AM20,1),"T",IF(LEFT(Berekening!AM20,1)&lt;RIGHT(Berekening!AM20,1),"U","G"))</f>
        <v>G</v>
      </c>
      <c r="AP8" s="166" t="str">
        <f>IF(LEFT(Berekening!AN20,1)&gt;RIGHT(Berekening!AN20,1),"T",IF(LEFT(Berekening!AN20,1)&lt;RIGHT(Berekening!AN20,1),"U","G"))</f>
        <v>G</v>
      </c>
      <c r="AQ8" s="166" t="str">
        <f>IF(LEFT(Berekening!AO20,1)&gt;RIGHT(Berekening!AO20,1),"T",IF(LEFT(Berekening!AO20,1)&lt;RIGHT(Berekening!AO20,1),"U","G"))</f>
        <v>G</v>
      </c>
      <c r="AR8" s="166" t="str">
        <f>IF(LEFT(Berekening!AP20,1)&gt;RIGHT(Berekening!AP20,1),"T",IF(LEFT(Berekening!AP20,1)&lt;RIGHT(Berekening!AP20,1),"U","G"))</f>
        <v>G</v>
      </c>
      <c r="AS8" s="166" t="str">
        <f>IF(LEFT(Berekening!AQ20,1)&gt;RIGHT(Berekening!AQ20,1),"T",IF(LEFT(Berekening!AQ20,1)&lt;RIGHT(Berekening!AQ20,1),"U","G"))</f>
        <v>G</v>
      </c>
      <c r="AT8" s="166" t="str">
        <f>IF(LEFT(Berekening!AR20,1)&gt;RIGHT(Berekening!AR20,1),"T",IF(LEFT(Berekening!AR20,1)&lt;RIGHT(Berekening!AR20,1),"U","G"))</f>
        <v>G</v>
      </c>
      <c r="AU8" s="166" t="str">
        <f>IF(LEFT(Berekening!AS20,1)&gt;RIGHT(Berekening!AS20,1),"T",IF(LEFT(Berekening!AS20,1)&lt;RIGHT(Berekening!AS20,1),"U","G"))</f>
        <v>G</v>
      </c>
      <c r="AV8" s="166" t="str">
        <f>IF(LEFT(Berekening!AT20,1)&gt;RIGHT(Berekening!AT20,1),"T",IF(LEFT(Berekening!AT20,1)&lt;RIGHT(Berekening!AT20,1),"U","G"))</f>
        <v>G</v>
      </c>
    </row>
    <row r="9" spans="3:48">
      <c r="C9" s="163" t="s">
        <v>2661</v>
      </c>
      <c r="D9" s="164" t="s">
        <v>2971</v>
      </c>
      <c r="E9" s="165" t="s">
        <v>1856</v>
      </c>
      <c r="G9" s="166" t="str">
        <f>IF(LEFT(Berekening!E21,1)&gt;RIGHT(Berekening!E21,1),"T",IF(LEFT(Berekening!E21,1)&lt;RIGHT(Berekening!E21,1),"U","G"))</f>
        <v>U</v>
      </c>
      <c r="H9" s="166" t="str">
        <f>IF(LEFT(Berekening!F21,1)&gt;RIGHT(Berekening!F21,1),"T",IF(LEFT(Berekening!F21,1)&lt;RIGHT(Berekening!F21,1),"U","G"))</f>
        <v>U</v>
      </c>
      <c r="I9" s="166" t="str">
        <f>IF(LEFT(Berekening!G21,1)&gt;RIGHT(Berekening!G21,1),"T",IF(LEFT(Berekening!G21,1)&lt;RIGHT(Berekening!G21,1),"U","G"))</f>
        <v>U</v>
      </c>
      <c r="J9" s="166" t="str">
        <f>IF(LEFT(Berekening!H21,1)&gt;RIGHT(Berekening!H21,1),"T",IF(LEFT(Berekening!H21,1)&lt;RIGHT(Berekening!H21,1),"U","G"))</f>
        <v>U</v>
      </c>
      <c r="K9" s="166" t="str">
        <f>IF(LEFT(Berekening!I21,1)&gt;RIGHT(Berekening!I21,1),"T",IF(LEFT(Berekening!I21,1)&lt;RIGHT(Berekening!I21,1),"U","G"))</f>
        <v>U</v>
      </c>
      <c r="L9" s="166" t="str">
        <f>IF(LEFT(Berekening!J21,1)&gt;RIGHT(Berekening!J21,1),"T",IF(LEFT(Berekening!J21,1)&lt;RIGHT(Berekening!J21,1),"U","G"))</f>
        <v>U</v>
      </c>
      <c r="M9" s="166" t="str">
        <f>IF(LEFT(Berekening!K21,1)&gt;RIGHT(Berekening!K21,1),"T",IF(LEFT(Berekening!K21,1)&lt;RIGHT(Berekening!K21,1),"U","G"))</f>
        <v>U</v>
      </c>
      <c r="N9" s="166" t="str">
        <f>IF(LEFT(Berekening!L21,1)&gt;RIGHT(Berekening!L21,1),"T",IF(LEFT(Berekening!L21,1)&lt;RIGHT(Berekening!L21,1),"U","G"))</f>
        <v>U</v>
      </c>
      <c r="O9" s="166" t="str">
        <f>IF(LEFT(Berekening!M21,1)&gt;RIGHT(Berekening!M21,1),"T",IF(LEFT(Berekening!M21,1)&lt;RIGHT(Berekening!M21,1),"U","G"))</f>
        <v>U</v>
      </c>
      <c r="P9" s="166" t="str">
        <f>IF(LEFT(Berekening!N21,1)&gt;RIGHT(Berekening!N21,1),"T",IF(LEFT(Berekening!N21,1)&lt;RIGHT(Berekening!N21,1),"U","G"))</f>
        <v>U</v>
      </c>
      <c r="Q9" s="166" t="str">
        <f>IF(LEFT(Berekening!O21,1)&gt;RIGHT(Berekening!O21,1),"T",IF(LEFT(Berekening!O21,1)&lt;RIGHT(Berekening!O21,1),"U","G"))</f>
        <v>U</v>
      </c>
      <c r="R9" s="166" t="str">
        <f>IF(LEFT(Berekening!P21,1)&gt;RIGHT(Berekening!P21,1),"T",IF(LEFT(Berekening!P21,1)&lt;RIGHT(Berekening!P21,1),"U","G"))</f>
        <v>U</v>
      </c>
      <c r="S9" s="166" t="str">
        <f>IF(LEFT(Berekening!Q21,1)&gt;RIGHT(Berekening!Q21,1),"T",IF(LEFT(Berekening!Q21,1)&lt;RIGHT(Berekening!Q21,1),"U","G"))</f>
        <v>U</v>
      </c>
      <c r="T9" s="166" t="str">
        <f>IF(LEFT(Berekening!R21,1)&gt;RIGHT(Berekening!R21,1),"T",IF(LEFT(Berekening!R21,1)&lt;RIGHT(Berekening!R21,1),"U","G"))</f>
        <v>U</v>
      </c>
      <c r="U9" s="166" t="str">
        <f>IF(LEFT(Berekening!S21,1)&gt;RIGHT(Berekening!S21,1),"T",IF(LEFT(Berekening!S21,1)&lt;RIGHT(Berekening!S21,1),"U","G"))</f>
        <v>U</v>
      </c>
      <c r="V9" s="166" t="str">
        <f>IF(LEFT(Berekening!T21,1)&gt;RIGHT(Berekening!T21,1),"T",IF(LEFT(Berekening!T21,1)&lt;RIGHT(Berekening!T21,1),"U","G"))</f>
        <v>U</v>
      </c>
      <c r="W9" s="166" t="str">
        <f>IF(LEFT(Berekening!U21,1)&gt;RIGHT(Berekening!U21,1),"T",IF(LEFT(Berekening!U21,1)&lt;RIGHT(Berekening!U21,1),"U","G"))</f>
        <v>G</v>
      </c>
      <c r="X9" s="166" t="str">
        <f>IF(LEFT(Berekening!V21,1)&gt;RIGHT(Berekening!V21,1),"T",IF(LEFT(Berekening!V21,1)&lt;RIGHT(Berekening!V21,1),"U","G"))</f>
        <v>G</v>
      </c>
      <c r="Y9" s="166" t="str">
        <f>IF(LEFT(Berekening!W21,1)&gt;RIGHT(Berekening!W21,1),"T",IF(LEFT(Berekening!W21,1)&lt;RIGHT(Berekening!W21,1),"U","G"))</f>
        <v>G</v>
      </c>
      <c r="Z9" s="166" t="str">
        <f>IF(LEFT(Berekening!X21,1)&gt;RIGHT(Berekening!X21,1),"T",IF(LEFT(Berekening!X21,1)&lt;RIGHT(Berekening!X21,1),"U","G"))</f>
        <v>G</v>
      </c>
      <c r="AA9" s="166" t="str">
        <f>IF(LEFT(Berekening!Y21,1)&gt;RIGHT(Berekening!Y21,1),"T",IF(LEFT(Berekening!Y21,1)&lt;RIGHT(Berekening!Y21,1),"U","G"))</f>
        <v>G</v>
      </c>
      <c r="AB9" s="166" t="str">
        <f>IF(LEFT(Berekening!Z21,1)&gt;RIGHT(Berekening!Z21,1),"T",IF(LEFT(Berekening!Z21,1)&lt;RIGHT(Berekening!Z21,1),"U","G"))</f>
        <v>G</v>
      </c>
      <c r="AC9" s="166" t="str">
        <f>IF(LEFT(Berekening!AA21,1)&gt;RIGHT(Berekening!AA21,1),"T",IF(LEFT(Berekening!AA21,1)&lt;RIGHT(Berekening!AA21,1),"U","G"))</f>
        <v>G</v>
      </c>
      <c r="AD9" s="166" t="str">
        <f>IF(LEFT(Berekening!AB21,1)&gt;RIGHT(Berekening!AB21,1),"T",IF(LEFT(Berekening!AB21,1)&lt;RIGHT(Berekening!AB21,1),"U","G"))</f>
        <v>G</v>
      </c>
      <c r="AE9" s="166" t="str">
        <f>IF(LEFT(Berekening!AC21,1)&gt;RIGHT(Berekening!AC21,1),"T",IF(LEFT(Berekening!AC21,1)&lt;RIGHT(Berekening!AC21,1),"U","G"))</f>
        <v>G</v>
      </c>
      <c r="AF9" s="166" t="str">
        <f>IF(LEFT(Berekening!AD21,1)&gt;RIGHT(Berekening!AD21,1),"T",IF(LEFT(Berekening!AD21,1)&lt;RIGHT(Berekening!AD21,1),"U","G"))</f>
        <v>G</v>
      </c>
      <c r="AG9" s="166" t="str">
        <f>IF(LEFT(Berekening!AE21,1)&gt;RIGHT(Berekening!AE21,1),"T",IF(LEFT(Berekening!AE21,1)&lt;RIGHT(Berekening!AE21,1),"U","G"))</f>
        <v>G</v>
      </c>
      <c r="AH9" s="166" t="str">
        <f>IF(LEFT(Berekening!AF21,1)&gt;RIGHT(Berekening!AF21,1),"T",IF(LEFT(Berekening!AF21,1)&lt;RIGHT(Berekening!AF21,1),"U","G"))</f>
        <v>G</v>
      </c>
      <c r="AI9" s="166" t="str">
        <f>IF(LEFT(Berekening!AG21,1)&gt;RIGHT(Berekening!AG21,1),"T",IF(LEFT(Berekening!AG21,1)&lt;RIGHT(Berekening!AG21,1),"U","G"))</f>
        <v>G</v>
      </c>
      <c r="AJ9" s="166" t="str">
        <f>IF(LEFT(Berekening!AH21,1)&gt;RIGHT(Berekening!AH21,1),"T",IF(LEFT(Berekening!AH21,1)&lt;RIGHT(Berekening!AH21,1),"U","G"))</f>
        <v>G</v>
      </c>
      <c r="AK9" s="166" t="str">
        <f>IF(LEFT(Berekening!AI21,1)&gt;RIGHT(Berekening!AI21,1),"T",IF(LEFT(Berekening!AI21,1)&lt;RIGHT(Berekening!AI21,1),"U","G"))</f>
        <v>G</v>
      </c>
      <c r="AL9" s="166" t="str">
        <f>IF(LEFT(Berekening!AJ21,1)&gt;RIGHT(Berekening!AJ21,1),"T",IF(LEFT(Berekening!AJ21,1)&lt;RIGHT(Berekening!AJ21,1),"U","G"))</f>
        <v>G</v>
      </c>
      <c r="AM9" s="166" t="str">
        <f>IF(LEFT(Berekening!AK21,1)&gt;RIGHT(Berekening!AK21,1),"T",IF(LEFT(Berekening!AK21,1)&lt;RIGHT(Berekening!AK21,1),"U","G"))</f>
        <v>G</v>
      </c>
      <c r="AN9" s="166" t="str">
        <f>IF(LEFT(Berekening!AL21,1)&gt;RIGHT(Berekening!AL21,1),"T",IF(LEFT(Berekening!AL21,1)&lt;RIGHT(Berekening!AL21,1),"U","G"))</f>
        <v>G</v>
      </c>
      <c r="AO9" s="166" t="str">
        <f>IF(LEFT(Berekening!AM21,1)&gt;RIGHT(Berekening!AM21,1),"T",IF(LEFT(Berekening!AM21,1)&lt;RIGHT(Berekening!AM21,1),"U","G"))</f>
        <v>G</v>
      </c>
      <c r="AP9" s="166" t="str">
        <f>IF(LEFT(Berekening!AN21,1)&gt;RIGHT(Berekening!AN21,1),"T",IF(LEFT(Berekening!AN21,1)&lt;RIGHT(Berekening!AN21,1),"U","G"))</f>
        <v>G</v>
      </c>
      <c r="AQ9" s="166" t="str">
        <f>IF(LEFT(Berekening!AO21,1)&gt;RIGHT(Berekening!AO21,1),"T",IF(LEFT(Berekening!AO21,1)&lt;RIGHT(Berekening!AO21,1),"U","G"))</f>
        <v>G</v>
      </c>
      <c r="AR9" s="166" t="str">
        <f>IF(LEFT(Berekening!AP21,1)&gt;RIGHT(Berekening!AP21,1),"T",IF(LEFT(Berekening!AP21,1)&lt;RIGHT(Berekening!AP21,1),"U","G"))</f>
        <v>G</v>
      </c>
      <c r="AS9" s="166" t="str">
        <f>IF(LEFT(Berekening!AQ21,1)&gt;RIGHT(Berekening!AQ21,1),"T",IF(LEFT(Berekening!AQ21,1)&lt;RIGHT(Berekening!AQ21,1),"U","G"))</f>
        <v>G</v>
      </c>
      <c r="AT9" s="166" t="str">
        <f>IF(LEFT(Berekening!AR21,1)&gt;RIGHT(Berekening!AR21,1),"T",IF(LEFT(Berekening!AR21,1)&lt;RIGHT(Berekening!AR21,1),"U","G"))</f>
        <v>G</v>
      </c>
      <c r="AU9" s="166" t="str">
        <f>IF(LEFT(Berekening!AS21,1)&gt;RIGHT(Berekening!AS21,1),"T",IF(LEFT(Berekening!AS21,1)&lt;RIGHT(Berekening!AS21,1),"U","G"))</f>
        <v>G</v>
      </c>
      <c r="AV9" s="166" t="str">
        <f>IF(LEFT(Berekening!AT21,1)&gt;RIGHT(Berekening!AT21,1),"T",IF(LEFT(Berekening!AT21,1)&lt;RIGHT(Berekening!AT21,1),"U","G"))</f>
        <v>G</v>
      </c>
    </row>
    <row r="10" spans="3:48">
      <c r="C10" s="163" t="s">
        <v>1043</v>
      </c>
      <c r="D10" s="164" t="s">
        <v>2971</v>
      </c>
      <c r="E10" s="165" t="s">
        <v>1235</v>
      </c>
      <c r="G10" s="166" t="str">
        <f>IF(LEFT(Berekening!E22,1)&gt;RIGHT(Berekening!E22,1),"T",IF(LEFT(Berekening!E22,1)&lt;RIGHT(Berekening!E22,1),"U","G"))</f>
        <v>U</v>
      </c>
      <c r="H10" s="166" t="str">
        <f>IF(LEFT(Berekening!F22,1)&gt;RIGHT(Berekening!F22,1),"T",IF(LEFT(Berekening!F22,1)&lt;RIGHT(Berekening!F22,1),"U","G"))</f>
        <v>U</v>
      </c>
      <c r="I10" s="166" t="str">
        <f>IF(LEFT(Berekening!G22,1)&gt;RIGHT(Berekening!G22,1),"T",IF(LEFT(Berekening!G22,1)&lt;RIGHT(Berekening!G22,1),"U","G"))</f>
        <v>U</v>
      </c>
      <c r="J10" s="166" t="str">
        <f>IF(LEFT(Berekening!H22,1)&gt;RIGHT(Berekening!H22,1),"T",IF(LEFT(Berekening!H22,1)&lt;RIGHT(Berekening!H22,1),"U","G"))</f>
        <v>U</v>
      </c>
      <c r="K10" s="166" t="str">
        <f>IF(LEFT(Berekening!I22,1)&gt;RIGHT(Berekening!I22,1),"T",IF(LEFT(Berekening!I22,1)&lt;RIGHT(Berekening!I22,1),"U","G"))</f>
        <v>U</v>
      </c>
      <c r="L10" s="166" t="str">
        <f>IF(LEFT(Berekening!J22,1)&gt;RIGHT(Berekening!J22,1),"T",IF(LEFT(Berekening!J22,1)&lt;RIGHT(Berekening!J22,1),"U","G"))</f>
        <v>G</v>
      </c>
      <c r="M10" s="166" t="str">
        <f>IF(LEFT(Berekening!K22,1)&gt;RIGHT(Berekening!K22,1),"T",IF(LEFT(Berekening!K22,1)&lt;RIGHT(Berekening!K22,1),"U","G"))</f>
        <v>U</v>
      </c>
      <c r="N10" s="166" t="str">
        <f>IF(LEFT(Berekening!L22,1)&gt;RIGHT(Berekening!L22,1),"T",IF(LEFT(Berekening!L22,1)&lt;RIGHT(Berekening!L22,1),"U","G"))</f>
        <v>U</v>
      </c>
      <c r="O10" s="166" t="str">
        <f>IF(LEFT(Berekening!M22,1)&gt;RIGHT(Berekening!M22,1),"T",IF(LEFT(Berekening!M22,1)&lt;RIGHT(Berekening!M22,1),"U","G"))</f>
        <v>U</v>
      </c>
      <c r="P10" s="166" t="str">
        <f>IF(LEFT(Berekening!N22,1)&gt;RIGHT(Berekening!N22,1),"T",IF(LEFT(Berekening!N22,1)&lt;RIGHT(Berekening!N22,1),"U","G"))</f>
        <v>U</v>
      </c>
      <c r="Q10" s="166" t="str">
        <f>IF(LEFT(Berekening!O22,1)&gt;RIGHT(Berekening!O22,1),"T",IF(LEFT(Berekening!O22,1)&lt;RIGHT(Berekening!O22,1),"U","G"))</f>
        <v>U</v>
      </c>
      <c r="R10" s="166" t="str">
        <f>IF(LEFT(Berekening!P22,1)&gt;RIGHT(Berekening!P22,1),"T",IF(LEFT(Berekening!P22,1)&lt;RIGHT(Berekening!P22,1),"U","G"))</f>
        <v>U</v>
      </c>
      <c r="S10" s="166" t="str">
        <f>IF(LEFT(Berekening!Q22,1)&gt;RIGHT(Berekening!Q22,1),"T",IF(LEFT(Berekening!Q22,1)&lt;RIGHT(Berekening!Q22,1),"U","G"))</f>
        <v>U</v>
      </c>
      <c r="T10" s="166" t="str">
        <f>IF(LEFT(Berekening!R22,1)&gt;RIGHT(Berekening!R22,1),"T",IF(LEFT(Berekening!R22,1)&lt;RIGHT(Berekening!R22,1),"U","G"))</f>
        <v>G</v>
      </c>
      <c r="U10" s="166" t="str">
        <f>IF(LEFT(Berekening!S22,1)&gt;RIGHT(Berekening!S22,1),"T",IF(LEFT(Berekening!S22,1)&lt;RIGHT(Berekening!S22,1),"U","G"))</f>
        <v>U</v>
      </c>
      <c r="V10" s="166" t="str">
        <f>IF(LEFT(Berekening!T22,1)&gt;RIGHT(Berekening!T22,1),"T",IF(LEFT(Berekening!T22,1)&lt;RIGHT(Berekening!T22,1),"U","G"))</f>
        <v>G</v>
      </c>
      <c r="W10" s="166" t="str">
        <f>IF(LEFT(Berekening!U22,1)&gt;RIGHT(Berekening!U22,1),"T",IF(LEFT(Berekening!U22,1)&lt;RIGHT(Berekening!U22,1),"U","G"))</f>
        <v>G</v>
      </c>
      <c r="X10" s="166" t="str">
        <f>IF(LEFT(Berekening!V22,1)&gt;RIGHT(Berekening!V22,1),"T",IF(LEFT(Berekening!V22,1)&lt;RIGHT(Berekening!V22,1),"U","G"))</f>
        <v>G</v>
      </c>
      <c r="Y10" s="166" t="str">
        <f>IF(LEFT(Berekening!W22,1)&gt;RIGHT(Berekening!W22,1),"T",IF(LEFT(Berekening!W22,1)&lt;RIGHT(Berekening!W22,1),"U","G"))</f>
        <v>G</v>
      </c>
      <c r="Z10" s="166" t="str">
        <f>IF(LEFT(Berekening!X22,1)&gt;RIGHT(Berekening!X22,1),"T",IF(LEFT(Berekening!X22,1)&lt;RIGHT(Berekening!X22,1),"U","G"))</f>
        <v>G</v>
      </c>
      <c r="AA10" s="166" t="str">
        <f>IF(LEFT(Berekening!Y22,1)&gt;RIGHT(Berekening!Y22,1),"T",IF(LEFT(Berekening!Y22,1)&lt;RIGHT(Berekening!Y22,1),"U","G"))</f>
        <v>G</v>
      </c>
      <c r="AB10" s="166" t="str">
        <f>IF(LEFT(Berekening!Z22,1)&gt;RIGHT(Berekening!Z22,1),"T",IF(LEFT(Berekening!Z22,1)&lt;RIGHT(Berekening!Z22,1),"U","G"))</f>
        <v>G</v>
      </c>
      <c r="AC10" s="166" t="str">
        <f>IF(LEFT(Berekening!AA22,1)&gt;RIGHT(Berekening!AA22,1),"T",IF(LEFT(Berekening!AA22,1)&lt;RIGHT(Berekening!AA22,1),"U","G"))</f>
        <v>G</v>
      </c>
      <c r="AD10" s="166" t="str">
        <f>IF(LEFT(Berekening!AB22,1)&gt;RIGHT(Berekening!AB22,1),"T",IF(LEFT(Berekening!AB22,1)&lt;RIGHT(Berekening!AB22,1),"U","G"))</f>
        <v>G</v>
      </c>
      <c r="AE10" s="166" t="str">
        <f>IF(LEFT(Berekening!AC22,1)&gt;RIGHT(Berekening!AC22,1),"T",IF(LEFT(Berekening!AC22,1)&lt;RIGHT(Berekening!AC22,1),"U","G"))</f>
        <v>G</v>
      </c>
      <c r="AF10" s="166" t="str">
        <f>IF(LEFT(Berekening!AD22,1)&gt;RIGHT(Berekening!AD22,1),"T",IF(LEFT(Berekening!AD22,1)&lt;RIGHT(Berekening!AD22,1),"U","G"))</f>
        <v>G</v>
      </c>
      <c r="AG10" s="166" t="str">
        <f>IF(LEFT(Berekening!AE22,1)&gt;RIGHT(Berekening!AE22,1),"T",IF(LEFT(Berekening!AE22,1)&lt;RIGHT(Berekening!AE22,1),"U","G"))</f>
        <v>G</v>
      </c>
      <c r="AH10" s="166" t="str">
        <f>IF(LEFT(Berekening!AF22,1)&gt;RIGHT(Berekening!AF22,1),"T",IF(LEFT(Berekening!AF22,1)&lt;RIGHT(Berekening!AF22,1),"U","G"))</f>
        <v>G</v>
      </c>
      <c r="AI10" s="166" t="str">
        <f>IF(LEFT(Berekening!AG22,1)&gt;RIGHT(Berekening!AG22,1),"T",IF(LEFT(Berekening!AG22,1)&lt;RIGHT(Berekening!AG22,1),"U","G"))</f>
        <v>G</v>
      </c>
      <c r="AJ10" s="166" t="str">
        <f>IF(LEFT(Berekening!AH22,1)&gt;RIGHT(Berekening!AH22,1),"T",IF(LEFT(Berekening!AH22,1)&lt;RIGHT(Berekening!AH22,1),"U","G"))</f>
        <v>G</v>
      </c>
      <c r="AK10" s="166" t="str">
        <f>IF(LEFT(Berekening!AI22,1)&gt;RIGHT(Berekening!AI22,1),"T",IF(LEFT(Berekening!AI22,1)&lt;RIGHT(Berekening!AI22,1),"U","G"))</f>
        <v>G</v>
      </c>
      <c r="AL10" s="166" t="str">
        <f>IF(LEFT(Berekening!AJ22,1)&gt;RIGHT(Berekening!AJ22,1),"T",IF(LEFT(Berekening!AJ22,1)&lt;RIGHT(Berekening!AJ22,1),"U","G"))</f>
        <v>G</v>
      </c>
      <c r="AM10" s="166" t="str">
        <f>IF(LEFT(Berekening!AK22,1)&gt;RIGHT(Berekening!AK22,1),"T",IF(LEFT(Berekening!AK22,1)&lt;RIGHT(Berekening!AK22,1),"U","G"))</f>
        <v>G</v>
      </c>
      <c r="AN10" s="166" t="str">
        <f>IF(LEFT(Berekening!AL22,1)&gt;RIGHT(Berekening!AL22,1),"T",IF(LEFT(Berekening!AL22,1)&lt;RIGHT(Berekening!AL22,1),"U","G"))</f>
        <v>G</v>
      </c>
      <c r="AO10" s="166" t="str">
        <f>IF(LEFT(Berekening!AM22,1)&gt;RIGHT(Berekening!AM22,1),"T",IF(LEFT(Berekening!AM22,1)&lt;RIGHT(Berekening!AM22,1),"U","G"))</f>
        <v>G</v>
      </c>
      <c r="AP10" s="166" t="str">
        <f>IF(LEFT(Berekening!AN22,1)&gt;RIGHT(Berekening!AN22,1),"T",IF(LEFT(Berekening!AN22,1)&lt;RIGHT(Berekening!AN22,1),"U","G"))</f>
        <v>G</v>
      </c>
      <c r="AQ10" s="166" t="str">
        <f>IF(LEFT(Berekening!AO22,1)&gt;RIGHT(Berekening!AO22,1),"T",IF(LEFT(Berekening!AO22,1)&lt;RIGHT(Berekening!AO22,1),"U","G"))</f>
        <v>G</v>
      </c>
      <c r="AR10" s="166" t="str">
        <f>IF(LEFT(Berekening!AP22,1)&gt;RIGHT(Berekening!AP22,1),"T",IF(LEFT(Berekening!AP22,1)&lt;RIGHT(Berekening!AP22,1),"U","G"))</f>
        <v>G</v>
      </c>
      <c r="AS10" s="166" t="str">
        <f>IF(LEFT(Berekening!AQ22,1)&gt;RIGHT(Berekening!AQ22,1),"T",IF(LEFT(Berekening!AQ22,1)&lt;RIGHT(Berekening!AQ22,1),"U","G"))</f>
        <v>G</v>
      </c>
      <c r="AT10" s="166" t="str">
        <f>IF(LEFT(Berekening!AR22,1)&gt;RIGHT(Berekening!AR22,1),"T",IF(LEFT(Berekening!AR22,1)&lt;RIGHT(Berekening!AR22,1),"U","G"))</f>
        <v>G</v>
      </c>
      <c r="AU10" s="166" t="str">
        <f>IF(LEFT(Berekening!AS22,1)&gt;RIGHT(Berekening!AS22,1),"T",IF(LEFT(Berekening!AS22,1)&lt;RIGHT(Berekening!AS22,1),"U","G"))</f>
        <v>G</v>
      </c>
      <c r="AV10" s="166" t="str">
        <f>IF(LEFT(Berekening!AT22,1)&gt;RIGHT(Berekening!AT22,1),"T",IF(LEFT(Berekening!AT22,1)&lt;RIGHT(Berekening!AT22,1),"U","G"))</f>
        <v>G</v>
      </c>
    </row>
    <row r="11" spans="3:48">
      <c r="C11" s="163" t="s">
        <v>1889</v>
      </c>
      <c r="D11" s="164" t="s">
        <v>2971</v>
      </c>
      <c r="E11" s="165" t="s">
        <v>1433</v>
      </c>
      <c r="G11" s="166" t="str">
        <f>IF(LEFT(Berekening!E23,1)&gt;RIGHT(Berekening!E23,1),"T",IF(LEFT(Berekening!E23,1)&lt;RIGHT(Berekening!E23,1),"U","G"))</f>
        <v>T</v>
      </c>
      <c r="H11" s="166" t="str">
        <f>IF(LEFT(Berekening!F23,1)&gt;RIGHT(Berekening!F23,1),"T",IF(LEFT(Berekening!F23,1)&lt;RIGHT(Berekening!F23,1),"U","G"))</f>
        <v>T</v>
      </c>
      <c r="I11" s="166" t="str">
        <f>IF(LEFT(Berekening!G23,1)&gt;RIGHT(Berekening!G23,1),"T",IF(LEFT(Berekening!G23,1)&lt;RIGHT(Berekening!G23,1),"U","G"))</f>
        <v>T</v>
      </c>
      <c r="J11" s="166" t="str">
        <f>IF(LEFT(Berekening!H23,1)&gt;RIGHT(Berekening!H23,1),"T",IF(LEFT(Berekening!H23,1)&lt;RIGHT(Berekening!H23,1),"U","G"))</f>
        <v>T</v>
      </c>
      <c r="K11" s="166" t="str">
        <f>IF(LEFT(Berekening!I23,1)&gt;RIGHT(Berekening!I23,1),"T",IF(LEFT(Berekening!I23,1)&lt;RIGHT(Berekening!I23,1),"U","G"))</f>
        <v>T</v>
      </c>
      <c r="L11" s="166" t="str">
        <f>IF(LEFT(Berekening!J23,1)&gt;RIGHT(Berekening!J23,1),"T",IF(LEFT(Berekening!J23,1)&lt;RIGHT(Berekening!J23,1),"U","G"))</f>
        <v>T</v>
      </c>
      <c r="M11" s="166" t="str">
        <f>IF(LEFT(Berekening!K23,1)&gt;RIGHT(Berekening!K23,1),"T",IF(LEFT(Berekening!K23,1)&lt;RIGHT(Berekening!K23,1),"U","G"))</f>
        <v>T</v>
      </c>
      <c r="N11" s="166" t="str">
        <f>IF(LEFT(Berekening!L23,1)&gt;RIGHT(Berekening!L23,1),"T",IF(LEFT(Berekening!L23,1)&lt;RIGHT(Berekening!L23,1),"U","G"))</f>
        <v>T</v>
      </c>
      <c r="O11" s="166" t="str">
        <f>IF(LEFT(Berekening!M23,1)&gt;RIGHT(Berekening!M23,1),"T",IF(LEFT(Berekening!M23,1)&lt;RIGHT(Berekening!M23,1),"U","G"))</f>
        <v>T</v>
      </c>
      <c r="P11" s="166" t="str">
        <f>IF(LEFT(Berekening!N23,1)&gt;RIGHT(Berekening!N23,1),"T",IF(LEFT(Berekening!N23,1)&lt;RIGHT(Berekening!N23,1),"U","G"))</f>
        <v>T</v>
      </c>
      <c r="Q11" s="166" t="str">
        <f>IF(LEFT(Berekening!O23,1)&gt;RIGHT(Berekening!O23,1),"T",IF(LEFT(Berekening!O23,1)&lt;RIGHT(Berekening!O23,1),"U","G"))</f>
        <v>T</v>
      </c>
      <c r="R11" s="166" t="str">
        <f>IF(LEFT(Berekening!P23,1)&gt;RIGHT(Berekening!P23,1),"T",IF(LEFT(Berekening!P23,1)&lt;RIGHT(Berekening!P23,1),"U","G"))</f>
        <v>T</v>
      </c>
      <c r="S11" s="166" t="str">
        <f>IF(LEFT(Berekening!Q23,1)&gt;RIGHT(Berekening!Q23,1),"T",IF(LEFT(Berekening!Q23,1)&lt;RIGHT(Berekening!Q23,1),"U","G"))</f>
        <v>T</v>
      </c>
      <c r="T11" s="166" t="str">
        <f>IF(LEFT(Berekening!R23,1)&gt;RIGHT(Berekening!R23,1),"T",IF(LEFT(Berekening!R23,1)&lt;RIGHT(Berekening!R23,1),"U","G"))</f>
        <v>T</v>
      </c>
      <c r="U11" s="166" t="str">
        <f>IF(LEFT(Berekening!S23,1)&gt;RIGHT(Berekening!S23,1),"T",IF(LEFT(Berekening!S23,1)&lt;RIGHT(Berekening!S23,1),"U","G"))</f>
        <v>T</v>
      </c>
      <c r="V11" s="166" t="str">
        <f>IF(LEFT(Berekening!T23,1)&gt;RIGHT(Berekening!T23,1),"T",IF(LEFT(Berekening!T23,1)&lt;RIGHT(Berekening!T23,1),"U","G"))</f>
        <v>T</v>
      </c>
      <c r="W11" s="166" t="str">
        <f>IF(LEFT(Berekening!U23,1)&gt;RIGHT(Berekening!U23,1),"T",IF(LEFT(Berekening!U23,1)&lt;RIGHT(Berekening!U23,1),"U","G"))</f>
        <v>G</v>
      </c>
      <c r="X11" s="166" t="str">
        <f>IF(LEFT(Berekening!V23,1)&gt;RIGHT(Berekening!V23,1),"T",IF(LEFT(Berekening!V23,1)&lt;RIGHT(Berekening!V23,1),"U","G"))</f>
        <v>G</v>
      </c>
      <c r="Y11" s="166" t="str">
        <f>IF(LEFT(Berekening!W23,1)&gt;RIGHT(Berekening!W23,1),"T",IF(LEFT(Berekening!W23,1)&lt;RIGHT(Berekening!W23,1),"U","G"))</f>
        <v>G</v>
      </c>
      <c r="Z11" s="166" t="str">
        <f>IF(LEFT(Berekening!X23,1)&gt;RIGHT(Berekening!X23,1),"T",IF(LEFT(Berekening!X23,1)&lt;RIGHT(Berekening!X23,1),"U","G"))</f>
        <v>G</v>
      </c>
      <c r="AA11" s="166" t="str">
        <f>IF(LEFT(Berekening!Y23,1)&gt;RIGHT(Berekening!Y23,1),"T",IF(LEFT(Berekening!Y23,1)&lt;RIGHT(Berekening!Y23,1),"U","G"))</f>
        <v>G</v>
      </c>
      <c r="AB11" s="166" t="str">
        <f>IF(LEFT(Berekening!Z23,1)&gt;RIGHT(Berekening!Z23,1),"T",IF(LEFT(Berekening!Z23,1)&lt;RIGHT(Berekening!Z23,1),"U","G"))</f>
        <v>G</v>
      </c>
      <c r="AC11" s="166" t="str">
        <f>IF(LEFT(Berekening!AA23,1)&gt;RIGHT(Berekening!AA23,1),"T",IF(LEFT(Berekening!AA23,1)&lt;RIGHT(Berekening!AA23,1),"U","G"))</f>
        <v>G</v>
      </c>
      <c r="AD11" s="166" t="str">
        <f>IF(LEFT(Berekening!AB23,1)&gt;RIGHT(Berekening!AB23,1),"T",IF(LEFT(Berekening!AB23,1)&lt;RIGHT(Berekening!AB23,1),"U","G"))</f>
        <v>G</v>
      </c>
      <c r="AE11" s="166" t="str">
        <f>IF(LEFT(Berekening!AC23,1)&gt;RIGHT(Berekening!AC23,1),"T",IF(LEFT(Berekening!AC23,1)&lt;RIGHT(Berekening!AC23,1),"U","G"))</f>
        <v>G</v>
      </c>
      <c r="AF11" s="166" t="str">
        <f>IF(LEFT(Berekening!AD23,1)&gt;RIGHT(Berekening!AD23,1),"T",IF(LEFT(Berekening!AD23,1)&lt;RIGHT(Berekening!AD23,1),"U","G"))</f>
        <v>G</v>
      </c>
      <c r="AG11" s="166" t="str">
        <f>IF(LEFT(Berekening!AE23,1)&gt;RIGHT(Berekening!AE23,1),"T",IF(LEFT(Berekening!AE23,1)&lt;RIGHT(Berekening!AE23,1),"U","G"))</f>
        <v>G</v>
      </c>
      <c r="AH11" s="166" t="str">
        <f>IF(LEFT(Berekening!AF23,1)&gt;RIGHT(Berekening!AF23,1),"T",IF(LEFT(Berekening!AF23,1)&lt;RIGHT(Berekening!AF23,1),"U","G"))</f>
        <v>G</v>
      </c>
      <c r="AI11" s="166" t="str">
        <f>IF(LEFT(Berekening!AG23,1)&gt;RIGHT(Berekening!AG23,1),"T",IF(LEFT(Berekening!AG23,1)&lt;RIGHT(Berekening!AG23,1),"U","G"))</f>
        <v>G</v>
      </c>
      <c r="AJ11" s="166" t="str">
        <f>IF(LEFT(Berekening!AH23,1)&gt;RIGHT(Berekening!AH23,1),"T",IF(LEFT(Berekening!AH23,1)&lt;RIGHT(Berekening!AH23,1),"U","G"))</f>
        <v>G</v>
      </c>
      <c r="AK11" s="166" t="str">
        <f>IF(LEFT(Berekening!AI23,1)&gt;RIGHT(Berekening!AI23,1),"T",IF(LEFT(Berekening!AI23,1)&lt;RIGHT(Berekening!AI23,1),"U","G"))</f>
        <v>G</v>
      </c>
      <c r="AL11" s="166" t="str">
        <f>IF(LEFT(Berekening!AJ23,1)&gt;RIGHT(Berekening!AJ23,1),"T",IF(LEFT(Berekening!AJ23,1)&lt;RIGHT(Berekening!AJ23,1),"U","G"))</f>
        <v>G</v>
      </c>
      <c r="AM11" s="166" t="str">
        <f>IF(LEFT(Berekening!AK23,1)&gt;RIGHT(Berekening!AK23,1),"T",IF(LEFT(Berekening!AK23,1)&lt;RIGHT(Berekening!AK23,1),"U","G"))</f>
        <v>G</v>
      </c>
      <c r="AN11" s="166" t="str">
        <f>IF(LEFT(Berekening!AL23,1)&gt;RIGHT(Berekening!AL23,1),"T",IF(LEFT(Berekening!AL23,1)&lt;RIGHT(Berekening!AL23,1),"U","G"))</f>
        <v>G</v>
      </c>
      <c r="AO11" s="166" t="str">
        <f>IF(LEFT(Berekening!AM23,1)&gt;RIGHT(Berekening!AM23,1),"T",IF(LEFT(Berekening!AM23,1)&lt;RIGHT(Berekening!AM23,1),"U","G"))</f>
        <v>G</v>
      </c>
      <c r="AP11" s="166" t="str">
        <f>IF(LEFT(Berekening!AN23,1)&gt;RIGHT(Berekening!AN23,1),"T",IF(LEFT(Berekening!AN23,1)&lt;RIGHT(Berekening!AN23,1),"U","G"))</f>
        <v>G</v>
      </c>
      <c r="AQ11" s="166" t="str">
        <f>IF(LEFT(Berekening!AO23,1)&gt;RIGHT(Berekening!AO23,1),"T",IF(LEFT(Berekening!AO23,1)&lt;RIGHT(Berekening!AO23,1),"U","G"))</f>
        <v>G</v>
      </c>
      <c r="AR11" s="166" t="str">
        <f>IF(LEFT(Berekening!AP23,1)&gt;RIGHT(Berekening!AP23,1),"T",IF(LEFT(Berekening!AP23,1)&lt;RIGHT(Berekening!AP23,1),"U","G"))</f>
        <v>G</v>
      </c>
      <c r="AS11" s="166" t="str">
        <f>IF(LEFT(Berekening!AQ23,1)&gt;RIGHT(Berekening!AQ23,1),"T",IF(LEFT(Berekening!AQ23,1)&lt;RIGHT(Berekening!AQ23,1),"U","G"))</f>
        <v>G</v>
      </c>
      <c r="AT11" s="166" t="str">
        <f>IF(LEFT(Berekening!AR23,1)&gt;RIGHT(Berekening!AR23,1),"T",IF(LEFT(Berekening!AR23,1)&lt;RIGHT(Berekening!AR23,1),"U","G"))</f>
        <v>G</v>
      </c>
      <c r="AU11" s="166" t="str">
        <f>IF(LEFT(Berekening!AS23,1)&gt;RIGHT(Berekening!AS23,1),"T",IF(LEFT(Berekening!AS23,1)&lt;RIGHT(Berekening!AS23,1),"U","G"))</f>
        <v>G</v>
      </c>
      <c r="AV11" s="166" t="str">
        <f>IF(LEFT(Berekening!AT23,1)&gt;RIGHT(Berekening!AT23,1),"T",IF(LEFT(Berekening!AT23,1)&lt;RIGHT(Berekening!AT23,1),"U","G"))</f>
        <v>G</v>
      </c>
    </row>
    <row r="12" spans="3:48">
      <c r="C12" s="163" t="s">
        <v>1755</v>
      </c>
      <c r="D12" s="164" t="s">
        <v>2971</v>
      </c>
      <c r="E12" s="165" t="s">
        <v>1789</v>
      </c>
      <c r="G12" s="166" t="str">
        <f>IF(LEFT(Berekening!E24,1)&gt;RIGHT(Berekening!E24,1),"T",IF(LEFT(Berekening!E24,1)&lt;RIGHT(Berekening!E24,1),"U","G"))</f>
        <v>U</v>
      </c>
      <c r="H12" s="166" t="str">
        <f>IF(LEFT(Berekening!F24,1)&gt;RIGHT(Berekening!F24,1),"T",IF(LEFT(Berekening!F24,1)&lt;RIGHT(Berekening!F24,1),"U","G"))</f>
        <v>U</v>
      </c>
      <c r="I12" s="166" t="str">
        <f>IF(LEFT(Berekening!G24,1)&gt;RIGHT(Berekening!G24,1),"T",IF(LEFT(Berekening!G24,1)&lt;RIGHT(Berekening!G24,1),"U","G"))</f>
        <v>U</v>
      </c>
      <c r="J12" s="166" t="str">
        <f>IF(LEFT(Berekening!H24,1)&gt;RIGHT(Berekening!H24,1),"T",IF(LEFT(Berekening!H24,1)&lt;RIGHT(Berekening!H24,1),"U","G"))</f>
        <v>U</v>
      </c>
      <c r="K12" s="166" t="str">
        <f>IF(LEFT(Berekening!I24,1)&gt;RIGHT(Berekening!I24,1),"T",IF(LEFT(Berekening!I24,1)&lt;RIGHT(Berekening!I24,1),"U","G"))</f>
        <v>U</v>
      </c>
      <c r="L12" s="166" t="str">
        <f>IF(LEFT(Berekening!J24,1)&gt;RIGHT(Berekening!J24,1),"T",IF(LEFT(Berekening!J24,1)&lt;RIGHT(Berekening!J24,1),"U","G"))</f>
        <v>U</v>
      </c>
      <c r="M12" s="166" t="str">
        <f>IF(LEFT(Berekening!K24,1)&gt;RIGHT(Berekening!K24,1),"T",IF(LEFT(Berekening!K24,1)&lt;RIGHT(Berekening!K24,1),"U","G"))</f>
        <v>U</v>
      </c>
      <c r="N12" s="166" t="str">
        <f>IF(LEFT(Berekening!L24,1)&gt;RIGHT(Berekening!L24,1),"T",IF(LEFT(Berekening!L24,1)&lt;RIGHT(Berekening!L24,1),"U","G"))</f>
        <v>U</v>
      </c>
      <c r="O12" s="166" t="str">
        <f>IF(LEFT(Berekening!M24,1)&gt;RIGHT(Berekening!M24,1),"T",IF(LEFT(Berekening!M24,1)&lt;RIGHT(Berekening!M24,1),"U","G"))</f>
        <v>U</v>
      </c>
      <c r="P12" s="166" t="str">
        <f>IF(LEFT(Berekening!N24,1)&gt;RIGHT(Berekening!N24,1),"T",IF(LEFT(Berekening!N24,1)&lt;RIGHT(Berekening!N24,1),"U","G"))</f>
        <v>U</v>
      </c>
      <c r="Q12" s="166" t="str">
        <f>IF(LEFT(Berekening!O24,1)&gt;RIGHT(Berekening!O24,1),"T",IF(LEFT(Berekening!O24,1)&lt;RIGHT(Berekening!O24,1),"U","G"))</f>
        <v>U</v>
      </c>
      <c r="R12" s="166" t="str">
        <f>IF(LEFT(Berekening!P24,1)&gt;RIGHT(Berekening!P24,1),"T",IF(LEFT(Berekening!P24,1)&lt;RIGHT(Berekening!P24,1),"U","G"))</f>
        <v>G</v>
      </c>
      <c r="S12" s="166" t="str">
        <f>IF(LEFT(Berekening!Q24,1)&gt;RIGHT(Berekening!Q24,1),"T",IF(LEFT(Berekening!Q24,1)&lt;RIGHT(Berekening!Q24,1),"U","G"))</f>
        <v>U</v>
      </c>
      <c r="T12" s="166" t="str">
        <f>IF(LEFT(Berekening!R24,1)&gt;RIGHT(Berekening!R24,1),"T",IF(LEFT(Berekening!R24,1)&lt;RIGHT(Berekening!R24,1),"U","G"))</f>
        <v>U</v>
      </c>
      <c r="U12" s="166" t="str">
        <f>IF(LEFT(Berekening!S24,1)&gt;RIGHT(Berekening!S24,1),"T",IF(LEFT(Berekening!S24,1)&lt;RIGHT(Berekening!S24,1),"U","G"))</f>
        <v>G</v>
      </c>
      <c r="V12" s="166" t="str">
        <f>IF(LEFT(Berekening!T24,1)&gt;RIGHT(Berekening!T24,1),"T",IF(LEFT(Berekening!T24,1)&lt;RIGHT(Berekening!T24,1),"U","G"))</f>
        <v>U</v>
      </c>
      <c r="W12" s="166" t="str">
        <f>IF(LEFT(Berekening!U24,1)&gt;RIGHT(Berekening!U24,1),"T",IF(LEFT(Berekening!U24,1)&lt;RIGHT(Berekening!U24,1),"U","G"))</f>
        <v>G</v>
      </c>
      <c r="X12" s="166" t="str">
        <f>IF(LEFT(Berekening!V24,1)&gt;RIGHT(Berekening!V24,1),"T",IF(LEFT(Berekening!V24,1)&lt;RIGHT(Berekening!V24,1),"U","G"))</f>
        <v>G</v>
      </c>
      <c r="Y12" s="166" t="str">
        <f>IF(LEFT(Berekening!W24,1)&gt;RIGHT(Berekening!W24,1),"T",IF(LEFT(Berekening!W24,1)&lt;RIGHT(Berekening!W24,1),"U","G"))</f>
        <v>G</v>
      </c>
      <c r="Z12" s="166" t="str">
        <f>IF(LEFT(Berekening!X24,1)&gt;RIGHT(Berekening!X24,1),"T",IF(LEFT(Berekening!X24,1)&lt;RIGHT(Berekening!X24,1),"U","G"))</f>
        <v>G</v>
      </c>
      <c r="AA12" s="166" t="str">
        <f>IF(LEFT(Berekening!Y24,1)&gt;RIGHT(Berekening!Y24,1),"T",IF(LEFT(Berekening!Y24,1)&lt;RIGHT(Berekening!Y24,1),"U","G"))</f>
        <v>G</v>
      </c>
      <c r="AB12" s="166" t="str">
        <f>IF(LEFT(Berekening!Z24,1)&gt;RIGHT(Berekening!Z24,1),"T",IF(LEFT(Berekening!Z24,1)&lt;RIGHT(Berekening!Z24,1),"U","G"))</f>
        <v>G</v>
      </c>
      <c r="AC12" s="166" t="str">
        <f>IF(LEFT(Berekening!AA24,1)&gt;RIGHT(Berekening!AA24,1),"T",IF(LEFT(Berekening!AA24,1)&lt;RIGHT(Berekening!AA24,1),"U","G"))</f>
        <v>G</v>
      </c>
      <c r="AD12" s="166" t="str">
        <f>IF(LEFT(Berekening!AB24,1)&gt;RIGHT(Berekening!AB24,1),"T",IF(LEFT(Berekening!AB24,1)&lt;RIGHT(Berekening!AB24,1),"U","G"))</f>
        <v>G</v>
      </c>
      <c r="AE12" s="166" t="str">
        <f>IF(LEFT(Berekening!AC24,1)&gt;RIGHT(Berekening!AC24,1),"T",IF(LEFT(Berekening!AC24,1)&lt;RIGHT(Berekening!AC24,1),"U","G"))</f>
        <v>G</v>
      </c>
      <c r="AF12" s="166" t="str">
        <f>IF(LEFT(Berekening!AD24,1)&gt;RIGHT(Berekening!AD24,1),"T",IF(LEFT(Berekening!AD24,1)&lt;RIGHT(Berekening!AD24,1),"U","G"))</f>
        <v>G</v>
      </c>
      <c r="AG12" s="166" t="str">
        <f>IF(LEFT(Berekening!AE24,1)&gt;RIGHT(Berekening!AE24,1),"T",IF(LEFT(Berekening!AE24,1)&lt;RIGHT(Berekening!AE24,1),"U","G"))</f>
        <v>G</v>
      </c>
      <c r="AH12" s="166" t="str">
        <f>IF(LEFT(Berekening!AF24,1)&gt;RIGHT(Berekening!AF24,1),"T",IF(LEFT(Berekening!AF24,1)&lt;RIGHT(Berekening!AF24,1),"U","G"))</f>
        <v>G</v>
      </c>
      <c r="AI12" s="166" t="str">
        <f>IF(LEFT(Berekening!AG24,1)&gt;RIGHT(Berekening!AG24,1),"T",IF(LEFT(Berekening!AG24,1)&lt;RIGHT(Berekening!AG24,1),"U","G"))</f>
        <v>G</v>
      </c>
      <c r="AJ12" s="166" t="str">
        <f>IF(LEFT(Berekening!AH24,1)&gt;RIGHT(Berekening!AH24,1),"T",IF(LEFT(Berekening!AH24,1)&lt;RIGHT(Berekening!AH24,1),"U","G"))</f>
        <v>G</v>
      </c>
      <c r="AK12" s="166" t="str">
        <f>IF(LEFT(Berekening!AI24,1)&gt;RIGHT(Berekening!AI24,1),"T",IF(LEFT(Berekening!AI24,1)&lt;RIGHT(Berekening!AI24,1),"U","G"))</f>
        <v>G</v>
      </c>
      <c r="AL12" s="166" t="str">
        <f>IF(LEFT(Berekening!AJ24,1)&gt;RIGHT(Berekening!AJ24,1),"T",IF(LEFT(Berekening!AJ24,1)&lt;RIGHT(Berekening!AJ24,1),"U","G"))</f>
        <v>G</v>
      </c>
      <c r="AM12" s="166" t="str">
        <f>IF(LEFT(Berekening!AK24,1)&gt;RIGHT(Berekening!AK24,1),"T",IF(LEFT(Berekening!AK24,1)&lt;RIGHT(Berekening!AK24,1),"U","G"))</f>
        <v>G</v>
      </c>
      <c r="AN12" s="166" t="str">
        <f>IF(LEFT(Berekening!AL24,1)&gt;RIGHT(Berekening!AL24,1),"T",IF(LEFT(Berekening!AL24,1)&lt;RIGHT(Berekening!AL24,1),"U","G"))</f>
        <v>G</v>
      </c>
      <c r="AO12" s="166" t="str">
        <f>IF(LEFT(Berekening!AM24,1)&gt;RIGHT(Berekening!AM24,1),"T",IF(LEFT(Berekening!AM24,1)&lt;RIGHT(Berekening!AM24,1),"U","G"))</f>
        <v>G</v>
      </c>
      <c r="AP12" s="166" t="str">
        <f>IF(LEFT(Berekening!AN24,1)&gt;RIGHT(Berekening!AN24,1),"T",IF(LEFT(Berekening!AN24,1)&lt;RIGHT(Berekening!AN24,1),"U","G"))</f>
        <v>G</v>
      </c>
      <c r="AQ12" s="166" t="str">
        <f>IF(LEFT(Berekening!AO24,1)&gt;RIGHT(Berekening!AO24,1),"T",IF(LEFT(Berekening!AO24,1)&lt;RIGHT(Berekening!AO24,1),"U","G"))</f>
        <v>G</v>
      </c>
      <c r="AR12" s="166" t="str">
        <f>IF(LEFT(Berekening!AP24,1)&gt;RIGHT(Berekening!AP24,1),"T",IF(LEFT(Berekening!AP24,1)&lt;RIGHT(Berekening!AP24,1),"U","G"))</f>
        <v>G</v>
      </c>
      <c r="AS12" s="166" t="str">
        <f>IF(LEFT(Berekening!AQ24,1)&gt;RIGHT(Berekening!AQ24,1),"T",IF(LEFT(Berekening!AQ24,1)&lt;RIGHT(Berekening!AQ24,1),"U","G"))</f>
        <v>G</v>
      </c>
      <c r="AT12" s="166" t="str">
        <f>IF(LEFT(Berekening!AR24,1)&gt;RIGHT(Berekening!AR24,1),"T",IF(LEFT(Berekening!AR24,1)&lt;RIGHT(Berekening!AR24,1),"U","G"))</f>
        <v>G</v>
      </c>
      <c r="AU12" s="166" t="str">
        <f>IF(LEFT(Berekening!AS24,1)&gt;RIGHT(Berekening!AS24,1),"T",IF(LEFT(Berekening!AS24,1)&lt;RIGHT(Berekening!AS24,1),"U","G"))</f>
        <v>G</v>
      </c>
      <c r="AV12" s="166" t="str">
        <f>IF(LEFT(Berekening!AT24,1)&gt;RIGHT(Berekening!AT24,1),"T",IF(LEFT(Berekening!AT24,1)&lt;RIGHT(Berekening!AT24,1),"U","G"))</f>
        <v>G</v>
      </c>
    </row>
    <row r="13" spans="3:48">
      <c r="C13" s="163" t="s">
        <v>1262</v>
      </c>
      <c r="D13" s="164" t="s">
        <v>2971</v>
      </c>
      <c r="E13" s="165" t="s">
        <v>2689</v>
      </c>
      <c r="G13" s="166" t="str">
        <f>IF(LEFT(Berekening!E25,1)&gt;RIGHT(Berekening!E25,1),"T",IF(LEFT(Berekening!E25,1)&lt;RIGHT(Berekening!E25,1),"U","G"))</f>
        <v>T</v>
      </c>
      <c r="H13" s="166" t="str">
        <f>IF(LEFT(Berekening!F25,1)&gt;RIGHT(Berekening!F25,1),"T",IF(LEFT(Berekening!F25,1)&lt;RIGHT(Berekening!F25,1),"U","G"))</f>
        <v>G</v>
      </c>
      <c r="I13" s="166" t="str">
        <f>IF(LEFT(Berekening!G25,1)&gt;RIGHT(Berekening!G25,1),"T",IF(LEFT(Berekening!G25,1)&lt;RIGHT(Berekening!G25,1),"U","G"))</f>
        <v>T</v>
      </c>
      <c r="J13" s="166" t="str">
        <f>IF(LEFT(Berekening!H25,1)&gt;RIGHT(Berekening!H25,1),"T",IF(LEFT(Berekening!H25,1)&lt;RIGHT(Berekening!H25,1),"U","G"))</f>
        <v>T</v>
      </c>
      <c r="K13" s="166" t="str">
        <f>IF(LEFT(Berekening!I25,1)&gt;RIGHT(Berekening!I25,1),"T",IF(LEFT(Berekening!I25,1)&lt;RIGHT(Berekening!I25,1),"U","G"))</f>
        <v>T</v>
      </c>
      <c r="L13" s="166" t="str">
        <f>IF(LEFT(Berekening!J25,1)&gt;RIGHT(Berekening!J25,1),"T",IF(LEFT(Berekening!J25,1)&lt;RIGHT(Berekening!J25,1),"U","G"))</f>
        <v>T</v>
      </c>
      <c r="M13" s="166" t="str">
        <f>IF(LEFT(Berekening!K25,1)&gt;RIGHT(Berekening!K25,1),"T",IF(LEFT(Berekening!K25,1)&lt;RIGHT(Berekening!K25,1),"U","G"))</f>
        <v>T</v>
      </c>
      <c r="N13" s="166" t="str">
        <f>IF(LEFT(Berekening!L25,1)&gt;RIGHT(Berekening!L25,1),"T",IF(LEFT(Berekening!L25,1)&lt;RIGHT(Berekening!L25,1),"U","G"))</f>
        <v>T</v>
      </c>
      <c r="O13" s="166" t="str">
        <f>IF(LEFT(Berekening!M25,1)&gt;RIGHT(Berekening!M25,1),"T",IF(LEFT(Berekening!M25,1)&lt;RIGHT(Berekening!M25,1),"U","G"))</f>
        <v>T</v>
      </c>
      <c r="P13" s="166" t="str">
        <f>IF(LEFT(Berekening!N25,1)&gt;RIGHT(Berekening!N25,1),"T",IF(LEFT(Berekening!N25,1)&lt;RIGHT(Berekening!N25,1),"U","G"))</f>
        <v>T</v>
      </c>
      <c r="Q13" s="166" t="str">
        <f>IF(LEFT(Berekening!O25,1)&gt;RIGHT(Berekening!O25,1),"T",IF(LEFT(Berekening!O25,1)&lt;RIGHT(Berekening!O25,1),"U","G"))</f>
        <v>G</v>
      </c>
      <c r="R13" s="166" t="str">
        <f>IF(LEFT(Berekening!P25,1)&gt;RIGHT(Berekening!P25,1),"T",IF(LEFT(Berekening!P25,1)&lt;RIGHT(Berekening!P25,1),"U","G"))</f>
        <v>T</v>
      </c>
      <c r="S13" s="166" t="str">
        <f>IF(LEFT(Berekening!Q25,1)&gt;RIGHT(Berekening!Q25,1),"T",IF(LEFT(Berekening!Q25,1)&lt;RIGHT(Berekening!Q25,1),"U","G"))</f>
        <v>T</v>
      </c>
      <c r="T13" s="166" t="str">
        <f>IF(LEFT(Berekening!R25,1)&gt;RIGHT(Berekening!R25,1),"T",IF(LEFT(Berekening!R25,1)&lt;RIGHT(Berekening!R25,1),"U","G"))</f>
        <v>T</v>
      </c>
      <c r="U13" s="166" t="str">
        <f>IF(LEFT(Berekening!S25,1)&gt;RIGHT(Berekening!S25,1),"T",IF(LEFT(Berekening!S25,1)&lt;RIGHT(Berekening!S25,1),"U","G"))</f>
        <v>T</v>
      </c>
      <c r="V13" s="166" t="str">
        <f>IF(LEFT(Berekening!T25,1)&gt;RIGHT(Berekening!T25,1),"T",IF(LEFT(Berekening!T25,1)&lt;RIGHT(Berekening!T25,1),"U","G"))</f>
        <v>G</v>
      </c>
      <c r="W13" s="166" t="str">
        <f>IF(LEFT(Berekening!U25,1)&gt;RIGHT(Berekening!U25,1),"T",IF(LEFT(Berekening!U25,1)&lt;RIGHT(Berekening!U25,1),"U","G"))</f>
        <v>G</v>
      </c>
      <c r="X13" s="166" t="str">
        <f>IF(LEFT(Berekening!V25,1)&gt;RIGHT(Berekening!V25,1),"T",IF(LEFT(Berekening!V25,1)&lt;RIGHT(Berekening!V25,1),"U","G"))</f>
        <v>G</v>
      </c>
      <c r="Y13" s="166" t="str">
        <f>IF(LEFT(Berekening!W25,1)&gt;RIGHT(Berekening!W25,1),"T",IF(LEFT(Berekening!W25,1)&lt;RIGHT(Berekening!W25,1),"U","G"))</f>
        <v>G</v>
      </c>
      <c r="Z13" s="166" t="str">
        <f>IF(LEFT(Berekening!X25,1)&gt;RIGHT(Berekening!X25,1),"T",IF(LEFT(Berekening!X25,1)&lt;RIGHT(Berekening!X25,1),"U","G"))</f>
        <v>G</v>
      </c>
      <c r="AA13" s="166" t="str">
        <f>IF(LEFT(Berekening!Y25,1)&gt;RIGHT(Berekening!Y25,1),"T",IF(LEFT(Berekening!Y25,1)&lt;RIGHT(Berekening!Y25,1),"U","G"))</f>
        <v>G</v>
      </c>
      <c r="AB13" s="166" t="str">
        <f>IF(LEFT(Berekening!Z25,1)&gt;RIGHT(Berekening!Z25,1),"T",IF(LEFT(Berekening!Z25,1)&lt;RIGHT(Berekening!Z25,1),"U","G"))</f>
        <v>G</v>
      </c>
      <c r="AC13" s="166" t="str">
        <f>IF(LEFT(Berekening!AA25,1)&gt;RIGHT(Berekening!AA25,1),"T",IF(LEFT(Berekening!AA25,1)&lt;RIGHT(Berekening!AA25,1),"U","G"))</f>
        <v>G</v>
      </c>
      <c r="AD13" s="166" t="str">
        <f>IF(LEFT(Berekening!AB25,1)&gt;RIGHT(Berekening!AB25,1),"T",IF(LEFT(Berekening!AB25,1)&lt;RIGHT(Berekening!AB25,1),"U","G"))</f>
        <v>G</v>
      </c>
      <c r="AE13" s="166" t="str">
        <f>IF(LEFT(Berekening!AC25,1)&gt;RIGHT(Berekening!AC25,1),"T",IF(LEFT(Berekening!AC25,1)&lt;RIGHT(Berekening!AC25,1),"U","G"))</f>
        <v>G</v>
      </c>
      <c r="AF13" s="166" t="str">
        <f>IF(LEFT(Berekening!AD25,1)&gt;RIGHT(Berekening!AD25,1),"T",IF(LEFT(Berekening!AD25,1)&lt;RIGHT(Berekening!AD25,1),"U","G"))</f>
        <v>G</v>
      </c>
      <c r="AG13" s="166" t="str">
        <f>IF(LEFT(Berekening!AE25,1)&gt;RIGHT(Berekening!AE25,1),"T",IF(LEFT(Berekening!AE25,1)&lt;RIGHT(Berekening!AE25,1),"U","G"))</f>
        <v>G</v>
      </c>
      <c r="AH13" s="166" t="str">
        <f>IF(LEFT(Berekening!AF25,1)&gt;RIGHT(Berekening!AF25,1),"T",IF(LEFT(Berekening!AF25,1)&lt;RIGHT(Berekening!AF25,1),"U","G"))</f>
        <v>G</v>
      </c>
      <c r="AI13" s="166" t="str">
        <f>IF(LEFT(Berekening!AG25,1)&gt;RIGHT(Berekening!AG25,1),"T",IF(LEFT(Berekening!AG25,1)&lt;RIGHT(Berekening!AG25,1),"U","G"))</f>
        <v>G</v>
      </c>
      <c r="AJ13" s="166" t="str">
        <f>IF(LEFT(Berekening!AH25,1)&gt;RIGHT(Berekening!AH25,1),"T",IF(LEFT(Berekening!AH25,1)&lt;RIGHT(Berekening!AH25,1),"U","G"))</f>
        <v>G</v>
      </c>
      <c r="AK13" s="166" t="str">
        <f>IF(LEFT(Berekening!AI25,1)&gt;RIGHT(Berekening!AI25,1),"T",IF(LEFT(Berekening!AI25,1)&lt;RIGHT(Berekening!AI25,1),"U","G"))</f>
        <v>G</v>
      </c>
      <c r="AL13" s="166" t="str">
        <f>IF(LEFT(Berekening!AJ25,1)&gt;RIGHT(Berekening!AJ25,1),"T",IF(LEFT(Berekening!AJ25,1)&lt;RIGHT(Berekening!AJ25,1),"U","G"))</f>
        <v>G</v>
      </c>
      <c r="AM13" s="166" t="str">
        <f>IF(LEFT(Berekening!AK25,1)&gt;RIGHT(Berekening!AK25,1),"T",IF(LEFT(Berekening!AK25,1)&lt;RIGHT(Berekening!AK25,1),"U","G"))</f>
        <v>G</v>
      </c>
      <c r="AN13" s="166" t="str">
        <f>IF(LEFT(Berekening!AL25,1)&gt;RIGHT(Berekening!AL25,1),"T",IF(LEFT(Berekening!AL25,1)&lt;RIGHT(Berekening!AL25,1),"U","G"))</f>
        <v>G</v>
      </c>
      <c r="AO13" s="166" t="str">
        <f>IF(LEFT(Berekening!AM25,1)&gt;RIGHT(Berekening!AM25,1),"T",IF(LEFT(Berekening!AM25,1)&lt;RIGHT(Berekening!AM25,1),"U","G"))</f>
        <v>G</v>
      </c>
      <c r="AP13" s="166" t="str">
        <f>IF(LEFT(Berekening!AN25,1)&gt;RIGHT(Berekening!AN25,1),"T",IF(LEFT(Berekening!AN25,1)&lt;RIGHT(Berekening!AN25,1),"U","G"))</f>
        <v>G</v>
      </c>
      <c r="AQ13" s="166" t="str">
        <f>IF(LEFT(Berekening!AO25,1)&gt;RIGHT(Berekening!AO25,1),"T",IF(LEFT(Berekening!AO25,1)&lt;RIGHT(Berekening!AO25,1),"U","G"))</f>
        <v>G</v>
      </c>
      <c r="AR13" s="166" t="str">
        <f>IF(LEFT(Berekening!AP25,1)&gt;RIGHT(Berekening!AP25,1),"T",IF(LEFT(Berekening!AP25,1)&lt;RIGHT(Berekening!AP25,1),"U","G"))</f>
        <v>G</v>
      </c>
      <c r="AS13" s="166" t="str">
        <f>IF(LEFT(Berekening!AQ25,1)&gt;RIGHT(Berekening!AQ25,1),"T",IF(LEFT(Berekening!AQ25,1)&lt;RIGHT(Berekening!AQ25,1),"U","G"))</f>
        <v>G</v>
      </c>
      <c r="AT13" s="166" t="str">
        <f>IF(LEFT(Berekening!AR25,1)&gt;RIGHT(Berekening!AR25,1),"T",IF(LEFT(Berekening!AR25,1)&lt;RIGHT(Berekening!AR25,1),"U","G"))</f>
        <v>G</v>
      </c>
      <c r="AU13" s="166" t="str">
        <f>IF(LEFT(Berekening!AS25,1)&gt;RIGHT(Berekening!AS25,1),"T",IF(LEFT(Berekening!AS25,1)&lt;RIGHT(Berekening!AS25,1),"U","G"))</f>
        <v>G</v>
      </c>
      <c r="AV13" s="166" t="str">
        <f>IF(LEFT(Berekening!AT25,1)&gt;RIGHT(Berekening!AT25,1),"T",IF(LEFT(Berekening!AT25,1)&lt;RIGHT(Berekening!AT25,1),"U","G"))</f>
        <v>G</v>
      </c>
    </row>
    <row r="14" spans="3:48">
      <c r="C14" s="163" t="s">
        <v>1132</v>
      </c>
      <c r="D14" s="164" t="s">
        <v>2971</v>
      </c>
      <c r="E14" s="165" t="s">
        <v>1647</v>
      </c>
      <c r="G14" s="166" t="str">
        <f>IF(LEFT(Berekening!E26,1)&gt;RIGHT(Berekening!E26,1),"T",IF(LEFT(Berekening!E26,1)&lt;RIGHT(Berekening!E26,1),"U","G"))</f>
        <v>T</v>
      </c>
      <c r="H14" s="166" t="str">
        <f>IF(LEFT(Berekening!F26,1)&gt;RIGHT(Berekening!F26,1),"T",IF(LEFT(Berekening!F26,1)&lt;RIGHT(Berekening!F26,1),"U","G"))</f>
        <v>T</v>
      </c>
      <c r="I14" s="166" t="str">
        <f>IF(LEFT(Berekening!G26,1)&gt;RIGHT(Berekening!G26,1),"T",IF(LEFT(Berekening!G26,1)&lt;RIGHT(Berekening!G26,1),"U","G"))</f>
        <v>T</v>
      </c>
      <c r="J14" s="166" t="str">
        <f>IF(LEFT(Berekening!H26,1)&gt;RIGHT(Berekening!H26,1),"T",IF(LEFT(Berekening!H26,1)&lt;RIGHT(Berekening!H26,1),"U","G"))</f>
        <v>T</v>
      </c>
      <c r="K14" s="166" t="str">
        <f>IF(LEFT(Berekening!I26,1)&gt;RIGHT(Berekening!I26,1),"T",IF(LEFT(Berekening!I26,1)&lt;RIGHT(Berekening!I26,1),"U","G"))</f>
        <v>T</v>
      </c>
      <c r="L14" s="166" t="str">
        <f>IF(LEFT(Berekening!J26,1)&gt;RIGHT(Berekening!J26,1),"T",IF(LEFT(Berekening!J26,1)&lt;RIGHT(Berekening!J26,1),"U","G"))</f>
        <v>T</v>
      </c>
      <c r="M14" s="166" t="str">
        <f>IF(LEFT(Berekening!K26,1)&gt;RIGHT(Berekening!K26,1),"T",IF(LEFT(Berekening!K26,1)&lt;RIGHT(Berekening!K26,1),"U","G"))</f>
        <v>T</v>
      </c>
      <c r="N14" s="166" t="str">
        <f>IF(LEFT(Berekening!L26,1)&gt;RIGHT(Berekening!L26,1),"T",IF(LEFT(Berekening!L26,1)&lt;RIGHT(Berekening!L26,1),"U","G"))</f>
        <v>T</v>
      </c>
      <c r="O14" s="166" t="str">
        <f>IF(LEFT(Berekening!M26,1)&gt;RIGHT(Berekening!M26,1),"T",IF(LEFT(Berekening!M26,1)&lt;RIGHT(Berekening!M26,1),"U","G"))</f>
        <v>T</v>
      </c>
      <c r="P14" s="166" t="str">
        <f>IF(LEFT(Berekening!N26,1)&gt;RIGHT(Berekening!N26,1),"T",IF(LEFT(Berekening!N26,1)&lt;RIGHT(Berekening!N26,1),"U","G"))</f>
        <v>T</v>
      </c>
      <c r="Q14" s="166" t="str">
        <f>IF(LEFT(Berekening!O26,1)&gt;RIGHT(Berekening!O26,1),"T",IF(LEFT(Berekening!O26,1)&lt;RIGHT(Berekening!O26,1),"U","G"))</f>
        <v>T</v>
      </c>
      <c r="R14" s="166" t="str">
        <f>IF(LEFT(Berekening!P26,1)&gt;RIGHT(Berekening!P26,1),"T",IF(LEFT(Berekening!P26,1)&lt;RIGHT(Berekening!P26,1),"U","G"))</f>
        <v>G</v>
      </c>
      <c r="S14" s="166" t="str">
        <f>IF(LEFT(Berekening!Q26,1)&gt;RIGHT(Berekening!Q26,1),"T",IF(LEFT(Berekening!Q26,1)&lt;RIGHT(Berekening!Q26,1),"U","G"))</f>
        <v>T</v>
      </c>
      <c r="T14" s="166" t="str">
        <f>IF(LEFT(Berekening!R26,1)&gt;RIGHT(Berekening!R26,1),"T",IF(LEFT(Berekening!R26,1)&lt;RIGHT(Berekening!R26,1),"U","G"))</f>
        <v>T</v>
      </c>
      <c r="U14" s="166" t="str">
        <f>IF(LEFT(Berekening!S26,1)&gt;RIGHT(Berekening!S26,1),"T",IF(LEFT(Berekening!S26,1)&lt;RIGHT(Berekening!S26,1),"U","G"))</f>
        <v>T</v>
      </c>
      <c r="V14" s="166" t="str">
        <f>IF(LEFT(Berekening!T26,1)&gt;RIGHT(Berekening!T26,1),"T",IF(LEFT(Berekening!T26,1)&lt;RIGHT(Berekening!T26,1),"U","G"))</f>
        <v>T</v>
      </c>
      <c r="W14" s="166" t="str">
        <f>IF(LEFT(Berekening!U26,1)&gt;RIGHT(Berekening!U26,1),"T",IF(LEFT(Berekening!U26,1)&lt;RIGHT(Berekening!U26,1),"U","G"))</f>
        <v>G</v>
      </c>
      <c r="X14" s="166" t="str">
        <f>IF(LEFT(Berekening!V26,1)&gt;RIGHT(Berekening!V26,1),"T",IF(LEFT(Berekening!V26,1)&lt;RIGHT(Berekening!V26,1),"U","G"))</f>
        <v>G</v>
      </c>
      <c r="Y14" s="166" t="str">
        <f>IF(LEFT(Berekening!W26,1)&gt;RIGHT(Berekening!W26,1),"T",IF(LEFT(Berekening!W26,1)&lt;RIGHT(Berekening!W26,1),"U","G"))</f>
        <v>G</v>
      </c>
      <c r="Z14" s="166" t="str">
        <f>IF(LEFT(Berekening!X26,1)&gt;RIGHT(Berekening!X26,1),"T",IF(LEFT(Berekening!X26,1)&lt;RIGHT(Berekening!X26,1),"U","G"))</f>
        <v>G</v>
      </c>
      <c r="AA14" s="166" t="str">
        <f>IF(LEFT(Berekening!Y26,1)&gt;RIGHT(Berekening!Y26,1),"T",IF(LEFT(Berekening!Y26,1)&lt;RIGHT(Berekening!Y26,1),"U","G"))</f>
        <v>G</v>
      </c>
      <c r="AB14" s="166" t="str">
        <f>IF(LEFT(Berekening!Z26,1)&gt;RIGHT(Berekening!Z26,1),"T",IF(LEFT(Berekening!Z26,1)&lt;RIGHT(Berekening!Z26,1),"U","G"))</f>
        <v>G</v>
      </c>
      <c r="AC14" s="166" t="str">
        <f>IF(LEFT(Berekening!AA26,1)&gt;RIGHT(Berekening!AA26,1),"T",IF(LEFT(Berekening!AA26,1)&lt;RIGHT(Berekening!AA26,1),"U","G"))</f>
        <v>G</v>
      </c>
      <c r="AD14" s="166" t="str">
        <f>IF(LEFT(Berekening!AB26,1)&gt;RIGHT(Berekening!AB26,1),"T",IF(LEFT(Berekening!AB26,1)&lt;RIGHT(Berekening!AB26,1),"U","G"))</f>
        <v>G</v>
      </c>
      <c r="AE14" s="166" t="str">
        <f>IF(LEFT(Berekening!AC26,1)&gt;RIGHT(Berekening!AC26,1),"T",IF(LEFT(Berekening!AC26,1)&lt;RIGHT(Berekening!AC26,1),"U","G"))</f>
        <v>G</v>
      </c>
      <c r="AF14" s="166" t="str">
        <f>IF(LEFT(Berekening!AD26,1)&gt;RIGHT(Berekening!AD26,1),"T",IF(LEFT(Berekening!AD26,1)&lt;RIGHT(Berekening!AD26,1),"U","G"))</f>
        <v>G</v>
      </c>
      <c r="AG14" s="166" t="str">
        <f>IF(LEFT(Berekening!AE26,1)&gt;RIGHT(Berekening!AE26,1),"T",IF(LEFT(Berekening!AE26,1)&lt;RIGHT(Berekening!AE26,1),"U","G"))</f>
        <v>G</v>
      </c>
      <c r="AH14" s="166" t="str">
        <f>IF(LEFT(Berekening!AF26,1)&gt;RIGHT(Berekening!AF26,1),"T",IF(LEFT(Berekening!AF26,1)&lt;RIGHT(Berekening!AF26,1),"U","G"))</f>
        <v>G</v>
      </c>
      <c r="AI14" s="166" t="str">
        <f>IF(LEFT(Berekening!AG26,1)&gt;RIGHT(Berekening!AG26,1),"T",IF(LEFT(Berekening!AG26,1)&lt;RIGHT(Berekening!AG26,1),"U","G"))</f>
        <v>G</v>
      </c>
      <c r="AJ14" s="166" t="str">
        <f>IF(LEFT(Berekening!AH26,1)&gt;RIGHT(Berekening!AH26,1),"T",IF(LEFT(Berekening!AH26,1)&lt;RIGHT(Berekening!AH26,1),"U","G"))</f>
        <v>G</v>
      </c>
      <c r="AK14" s="166" t="str">
        <f>IF(LEFT(Berekening!AI26,1)&gt;RIGHT(Berekening!AI26,1),"T",IF(LEFT(Berekening!AI26,1)&lt;RIGHT(Berekening!AI26,1),"U","G"))</f>
        <v>G</v>
      </c>
      <c r="AL14" s="166" t="str">
        <f>IF(LEFT(Berekening!AJ26,1)&gt;RIGHT(Berekening!AJ26,1),"T",IF(LEFT(Berekening!AJ26,1)&lt;RIGHT(Berekening!AJ26,1),"U","G"))</f>
        <v>G</v>
      </c>
      <c r="AM14" s="166" t="str">
        <f>IF(LEFT(Berekening!AK26,1)&gt;RIGHT(Berekening!AK26,1),"T",IF(LEFT(Berekening!AK26,1)&lt;RIGHT(Berekening!AK26,1),"U","G"))</f>
        <v>G</v>
      </c>
      <c r="AN14" s="166" t="str">
        <f>IF(LEFT(Berekening!AL26,1)&gt;RIGHT(Berekening!AL26,1),"T",IF(LEFT(Berekening!AL26,1)&lt;RIGHT(Berekening!AL26,1),"U","G"))</f>
        <v>G</v>
      </c>
      <c r="AO14" s="166" t="str">
        <f>IF(LEFT(Berekening!AM26,1)&gt;RIGHT(Berekening!AM26,1),"T",IF(LEFT(Berekening!AM26,1)&lt;RIGHT(Berekening!AM26,1),"U","G"))</f>
        <v>G</v>
      </c>
      <c r="AP14" s="166" t="str">
        <f>IF(LEFT(Berekening!AN26,1)&gt;RIGHT(Berekening!AN26,1),"T",IF(LEFT(Berekening!AN26,1)&lt;RIGHT(Berekening!AN26,1),"U","G"))</f>
        <v>G</v>
      </c>
      <c r="AQ14" s="166" t="str">
        <f>IF(LEFT(Berekening!AO26,1)&gt;RIGHT(Berekening!AO26,1),"T",IF(LEFT(Berekening!AO26,1)&lt;RIGHT(Berekening!AO26,1),"U","G"))</f>
        <v>G</v>
      </c>
      <c r="AR14" s="166" t="str">
        <f>IF(LEFT(Berekening!AP26,1)&gt;RIGHT(Berekening!AP26,1),"T",IF(LEFT(Berekening!AP26,1)&lt;RIGHT(Berekening!AP26,1),"U","G"))</f>
        <v>G</v>
      </c>
      <c r="AS14" s="166" t="str">
        <f>IF(LEFT(Berekening!AQ26,1)&gt;RIGHT(Berekening!AQ26,1),"T",IF(LEFT(Berekening!AQ26,1)&lt;RIGHT(Berekening!AQ26,1),"U","G"))</f>
        <v>G</v>
      </c>
      <c r="AT14" s="166" t="str">
        <f>IF(LEFT(Berekening!AR26,1)&gt;RIGHT(Berekening!AR26,1),"T",IF(LEFT(Berekening!AR26,1)&lt;RIGHT(Berekening!AR26,1),"U","G"))</f>
        <v>G</v>
      </c>
      <c r="AU14" s="166" t="str">
        <f>IF(LEFT(Berekening!AS26,1)&gt;RIGHT(Berekening!AS26,1),"T",IF(LEFT(Berekening!AS26,1)&lt;RIGHT(Berekening!AS26,1),"U","G"))</f>
        <v>G</v>
      </c>
      <c r="AV14" s="166" t="str">
        <f>IF(LEFT(Berekening!AT26,1)&gt;RIGHT(Berekening!AT26,1),"T",IF(LEFT(Berekening!AT26,1)&lt;RIGHT(Berekening!AT26,1),"U","G"))</f>
        <v>G</v>
      </c>
    </row>
    <row r="15" spans="3:48">
      <c r="C15" s="163" t="s">
        <v>1533</v>
      </c>
      <c r="D15" s="164" t="s">
        <v>2971</v>
      </c>
      <c r="E15" s="165" t="s">
        <v>1016</v>
      </c>
      <c r="G15" s="166" t="str">
        <f>IF(LEFT(Berekening!E27,1)&gt;RIGHT(Berekening!E27,1),"T",IF(LEFT(Berekening!E27,1)&lt;RIGHT(Berekening!E27,1),"U","G"))</f>
        <v>T</v>
      </c>
      <c r="H15" s="166" t="str">
        <f>IF(LEFT(Berekening!F27,1)&gt;RIGHT(Berekening!F27,1),"T",IF(LEFT(Berekening!F27,1)&lt;RIGHT(Berekening!F27,1),"U","G"))</f>
        <v>T</v>
      </c>
      <c r="I15" s="166" t="str">
        <f>IF(LEFT(Berekening!G27,1)&gt;RIGHT(Berekening!G27,1),"T",IF(LEFT(Berekening!G27,1)&lt;RIGHT(Berekening!G27,1),"U","G"))</f>
        <v>T</v>
      </c>
      <c r="J15" s="166" t="str">
        <f>IF(LEFT(Berekening!H27,1)&gt;RIGHT(Berekening!H27,1),"T",IF(LEFT(Berekening!H27,1)&lt;RIGHT(Berekening!H27,1),"U","G"))</f>
        <v>T</v>
      </c>
      <c r="K15" s="166" t="str">
        <f>IF(LEFT(Berekening!I27,1)&gt;RIGHT(Berekening!I27,1),"T",IF(LEFT(Berekening!I27,1)&lt;RIGHT(Berekening!I27,1),"U","G"))</f>
        <v>T</v>
      </c>
      <c r="L15" s="166" t="str">
        <f>IF(LEFT(Berekening!J27,1)&gt;RIGHT(Berekening!J27,1),"T",IF(LEFT(Berekening!J27,1)&lt;RIGHT(Berekening!J27,1),"U","G"))</f>
        <v>T</v>
      </c>
      <c r="M15" s="166" t="str">
        <f>IF(LEFT(Berekening!K27,1)&gt;RIGHT(Berekening!K27,1),"T",IF(LEFT(Berekening!K27,1)&lt;RIGHT(Berekening!K27,1),"U","G"))</f>
        <v>T</v>
      </c>
      <c r="N15" s="166" t="str">
        <f>IF(LEFT(Berekening!L27,1)&gt;RIGHT(Berekening!L27,1),"T",IF(LEFT(Berekening!L27,1)&lt;RIGHT(Berekening!L27,1),"U","G"))</f>
        <v>T</v>
      </c>
      <c r="O15" s="166" t="str">
        <f>IF(LEFT(Berekening!M27,1)&gt;RIGHT(Berekening!M27,1),"T",IF(LEFT(Berekening!M27,1)&lt;RIGHT(Berekening!M27,1),"U","G"))</f>
        <v>T</v>
      </c>
      <c r="P15" s="166" t="str">
        <f>IF(LEFT(Berekening!N27,1)&gt;RIGHT(Berekening!N27,1),"T",IF(LEFT(Berekening!N27,1)&lt;RIGHT(Berekening!N27,1),"U","G"))</f>
        <v>T</v>
      </c>
      <c r="Q15" s="166" t="str">
        <f>IF(LEFT(Berekening!O27,1)&gt;RIGHT(Berekening!O27,1),"T",IF(LEFT(Berekening!O27,1)&lt;RIGHT(Berekening!O27,1),"U","G"))</f>
        <v>T</v>
      </c>
      <c r="R15" s="166" t="str">
        <f>IF(LEFT(Berekening!P27,1)&gt;RIGHT(Berekening!P27,1),"T",IF(LEFT(Berekening!P27,1)&lt;RIGHT(Berekening!P27,1),"U","G"))</f>
        <v>T</v>
      </c>
      <c r="S15" s="166" t="str">
        <f>IF(LEFT(Berekening!Q27,1)&gt;RIGHT(Berekening!Q27,1),"T",IF(LEFT(Berekening!Q27,1)&lt;RIGHT(Berekening!Q27,1),"U","G"))</f>
        <v>T</v>
      </c>
      <c r="T15" s="166" t="str">
        <f>IF(LEFT(Berekening!R27,1)&gt;RIGHT(Berekening!R27,1),"T",IF(LEFT(Berekening!R27,1)&lt;RIGHT(Berekening!R27,1),"U","G"))</f>
        <v>T</v>
      </c>
      <c r="U15" s="166" t="str">
        <f>IF(LEFT(Berekening!S27,1)&gt;RIGHT(Berekening!S27,1),"T",IF(LEFT(Berekening!S27,1)&lt;RIGHT(Berekening!S27,1),"U","G"))</f>
        <v>G</v>
      </c>
      <c r="V15" s="166" t="str">
        <f>IF(LEFT(Berekening!T27,1)&gt;RIGHT(Berekening!T27,1),"T",IF(LEFT(Berekening!T27,1)&lt;RIGHT(Berekening!T27,1),"U","G"))</f>
        <v>T</v>
      </c>
      <c r="W15" s="166" t="str">
        <f>IF(LEFT(Berekening!U27,1)&gt;RIGHT(Berekening!U27,1),"T",IF(LEFT(Berekening!U27,1)&lt;RIGHT(Berekening!U27,1),"U","G"))</f>
        <v>G</v>
      </c>
      <c r="X15" s="166" t="str">
        <f>IF(LEFT(Berekening!V27,1)&gt;RIGHT(Berekening!V27,1),"T",IF(LEFT(Berekening!V27,1)&lt;RIGHT(Berekening!V27,1),"U","G"))</f>
        <v>G</v>
      </c>
      <c r="Y15" s="166" t="str">
        <f>IF(LEFT(Berekening!W27,1)&gt;RIGHT(Berekening!W27,1),"T",IF(LEFT(Berekening!W27,1)&lt;RIGHT(Berekening!W27,1),"U","G"))</f>
        <v>G</v>
      </c>
      <c r="Z15" s="166" t="str">
        <f>IF(LEFT(Berekening!X27,1)&gt;RIGHT(Berekening!X27,1),"T",IF(LEFT(Berekening!X27,1)&lt;RIGHT(Berekening!X27,1),"U","G"))</f>
        <v>G</v>
      </c>
      <c r="AA15" s="166" t="str">
        <f>IF(LEFT(Berekening!Y27,1)&gt;RIGHT(Berekening!Y27,1),"T",IF(LEFT(Berekening!Y27,1)&lt;RIGHT(Berekening!Y27,1),"U","G"))</f>
        <v>G</v>
      </c>
      <c r="AB15" s="166" t="str">
        <f>IF(LEFT(Berekening!Z27,1)&gt;RIGHT(Berekening!Z27,1),"T",IF(LEFT(Berekening!Z27,1)&lt;RIGHT(Berekening!Z27,1),"U","G"))</f>
        <v>G</v>
      </c>
      <c r="AC15" s="166" t="str">
        <f>IF(LEFT(Berekening!AA27,1)&gt;RIGHT(Berekening!AA27,1),"T",IF(LEFT(Berekening!AA27,1)&lt;RIGHT(Berekening!AA27,1),"U","G"))</f>
        <v>G</v>
      </c>
      <c r="AD15" s="166" t="str">
        <f>IF(LEFT(Berekening!AB27,1)&gt;RIGHT(Berekening!AB27,1),"T",IF(LEFT(Berekening!AB27,1)&lt;RIGHT(Berekening!AB27,1),"U","G"))</f>
        <v>G</v>
      </c>
      <c r="AE15" s="166" t="str">
        <f>IF(LEFT(Berekening!AC27,1)&gt;RIGHT(Berekening!AC27,1),"T",IF(LEFT(Berekening!AC27,1)&lt;RIGHT(Berekening!AC27,1),"U","G"))</f>
        <v>G</v>
      </c>
      <c r="AF15" s="166" t="str">
        <f>IF(LEFT(Berekening!AD27,1)&gt;RIGHT(Berekening!AD27,1),"T",IF(LEFT(Berekening!AD27,1)&lt;RIGHT(Berekening!AD27,1),"U","G"))</f>
        <v>G</v>
      </c>
      <c r="AG15" s="166" t="str">
        <f>IF(LEFT(Berekening!AE27,1)&gt;RIGHT(Berekening!AE27,1),"T",IF(LEFT(Berekening!AE27,1)&lt;RIGHT(Berekening!AE27,1),"U","G"))</f>
        <v>G</v>
      </c>
      <c r="AH15" s="166" t="str">
        <f>IF(LEFT(Berekening!AF27,1)&gt;RIGHT(Berekening!AF27,1),"T",IF(LEFT(Berekening!AF27,1)&lt;RIGHT(Berekening!AF27,1),"U","G"))</f>
        <v>G</v>
      </c>
      <c r="AI15" s="166" t="str">
        <f>IF(LEFT(Berekening!AG27,1)&gt;RIGHT(Berekening!AG27,1),"T",IF(LEFT(Berekening!AG27,1)&lt;RIGHT(Berekening!AG27,1),"U","G"))</f>
        <v>G</v>
      </c>
      <c r="AJ15" s="166" t="str">
        <f>IF(LEFT(Berekening!AH27,1)&gt;RIGHT(Berekening!AH27,1),"T",IF(LEFT(Berekening!AH27,1)&lt;RIGHT(Berekening!AH27,1),"U","G"))</f>
        <v>G</v>
      </c>
      <c r="AK15" s="166" t="str">
        <f>IF(LEFT(Berekening!AI27,1)&gt;RIGHT(Berekening!AI27,1),"T",IF(LEFT(Berekening!AI27,1)&lt;RIGHT(Berekening!AI27,1),"U","G"))</f>
        <v>G</v>
      </c>
      <c r="AL15" s="166" t="str">
        <f>IF(LEFT(Berekening!AJ27,1)&gt;RIGHT(Berekening!AJ27,1),"T",IF(LEFT(Berekening!AJ27,1)&lt;RIGHT(Berekening!AJ27,1),"U","G"))</f>
        <v>G</v>
      </c>
      <c r="AM15" s="166" t="str">
        <f>IF(LEFT(Berekening!AK27,1)&gt;RIGHT(Berekening!AK27,1),"T",IF(LEFT(Berekening!AK27,1)&lt;RIGHT(Berekening!AK27,1),"U","G"))</f>
        <v>G</v>
      </c>
      <c r="AN15" s="166" t="str">
        <f>IF(LEFT(Berekening!AL27,1)&gt;RIGHT(Berekening!AL27,1),"T",IF(LEFT(Berekening!AL27,1)&lt;RIGHT(Berekening!AL27,1),"U","G"))</f>
        <v>G</v>
      </c>
      <c r="AO15" s="166" t="str">
        <f>IF(LEFT(Berekening!AM27,1)&gt;RIGHT(Berekening!AM27,1),"T",IF(LEFT(Berekening!AM27,1)&lt;RIGHT(Berekening!AM27,1),"U","G"))</f>
        <v>G</v>
      </c>
      <c r="AP15" s="166" t="str">
        <f>IF(LEFT(Berekening!AN27,1)&gt;RIGHT(Berekening!AN27,1),"T",IF(LEFT(Berekening!AN27,1)&lt;RIGHT(Berekening!AN27,1),"U","G"))</f>
        <v>G</v>
      </c>
      <c r="AQ15" s="166" t="str">
        <f>IF(LEFT(Berekening!AO27,1)&gt;RIGHT(Berekening!AO27,1),"T",IF(LEFT(Berekening!AO27,1)&lt;RIGHT(Berekening!AO27,1),"U","G"))</f>
        <v>G</v>
      </c>
      <c r="AR15" s="166" t="str">
        <f>IF(LEFT(Berekening!AP27,1)&gt;RIGHT(Berekening!AP27,1),"T",IF(LEFT(Berekening!AP27,1)&lt;RIGHT(Berekening!AP27,1),"U","G"))</f>
        <v>G</v>
      </c>
      <c r="AS15" s="166" t="str">
        <f>IF(LEFT(Berekening!AQ27,1)&gt;RIGHT(Berekening!AQ27,1),"T",IF(LEFT(Berekening!AQ27,1)&lt;RIGHT(Berekening!AQ27,1),"U","G"))</f>
        <v>G</v>
      </c>
      <c r="AT15" s="166" t="str">
        <f>IF(LEFT(Berekening!AR27,1)&gt;RIGHT(Berekening!AR27,1),"T",IF(LEFT(Berekening!AR27,1)&lt;RIGHT(Berekening!AR27,1),"U","G"))</f>
        <v>G</v>
      </c>
      <c r="AU15" s="166" t="str">
        <f>IF(LEFT(Berekening!AS27,1)&gt;RIGHT(Berekening!AS27,1),"T",IF(LEFT(Berekening!AS27,1)&lt;RIGHT(Berekening!AS27,1),"U","G"))</f>
        <v>G</v>
      </c>
      <c r="AV15" s="166" t="str">
        <f>IF(LEFT(Berekening!AT27,1)&gt;RIGHT(Berekening!AT27,1),"T",IF(LEFT(Berekening!AT27,1)&lt;RIGHT(Berekening!AT27,1),"U","G"))</f>
        <v>G</v>
      </c>
    </row>
    <row r="16" spans="3:48">
      <c r="C16" s="163" t="s">
        <v>1468</v>
      </c>
      <c r="D16" s="164" t="s">
        <v>2971</v>
      </c>
      <c r="E16" s="165" t="s">
        <v>1168</v>
      </c>
      <c r="G16" s="166" t="str">
        <f>IF(LEFT(Berekening!E28,1)&gt;RIGHT(Berekening!E28,1),"T",IF(LEFT(Berekening!E28,1)&lt;RIGHT(Berekening!E28,1),"U","G"))</f>
        <v>T</v>
      </c>
      <c r="H16" s="166" t="str">
        <f>IF(LEFT(Berekening!F28,1)&gt;RIGHT(Berekening!F28,1),"T",IF(LEFT(Berekening!F28,1)&lt;RIGHT(Berekening!F28,1),"U","G"))</f>
        <v>T</v>
      </c>
      <c r="I16" s="166" t="str">
        <f>IF(LEFT(Berekening!G28,1)&gt;RIGHT(Berekening!G28,1),"T",IF(LEFT(Berekening!G28,1)&lt;RIGHT(Berekening!G28,1),"U","G"))</f>
        <v>T</v>
      </c>
      <c r="J16" s="166" t="str">
        <f>IF(LEFT(Berekening!H28,1)&gt;RIGHT(Berekening!H28,1),"T",IF(LEFT(Berekening!H28,1)&lt;RIGHT(Berekening!H28,1),"U","G"))</f>
        <v>T</v>
      </c>
      <c r="K16" s="166" t="str">
        <f>IF(LEFT(Berekening!I28,1)&gt;RIGHT(Berekening!I28,1),"T",IF(LEFT(Berekening!I28,1)&lt;RIGHT(Berekening!I28,1),"U","G"))</f>
        <v>T</v>
      </c>
      <c r="L16" s="166" t="str">
        <f>IF(LEFT(Berekening!J28,1)&gt;RIGHT(Berekening!J28,1),"T",IF(LEFT(Berekening!J28,1)&lt;RIGHT(Berekening!J28,1),"U","G"))</f>
        <v>T</v>
      </c>
      <c r="M16" s="166" t="str">
        <f>IF(LEFT(Berekening!K28,1)&gt;RIGHT(Berekening!K28,1),"T",IF(LEFT(Berekening!K28,1)&lt;RIGHT(Berekening!K28,1),"U","G"))</f>
        <v>T</v>
      </c>
      <c r="N16" s="166" t="str">
        <f>IF(LEFT(Berekening!L28,1)&gt;RIGHT(Berekening!L28,1),"T",IF(LEFT(Berekening!L28,1)&lt;RIGHT(Berekening!L28,1),"U","G"))</f>
        <v>T</v>
      </c>
      <c r="O16" s="166" t="str">
        <f>IF(LEFT(Berekening!M28,1)&gt;RIGHT(Berekening!M28,1),"T",IF(LEFT(Berekening!M28,1)&lt;RIGHT(Berekening!M28,1),"U","G"))</f>
        <v>T</v>
      </c>
      <c r="P16" s="166" t="str">
        <f>IF(LEFT(Berekening!N28,1)&gt;RIGHT(Berekening!N28,1),"T",IF(LEFT(Berekening!N28,1)&lt;RIGHT(Berekening!N28,1),"U","G"))</f>
        <v>T</v>
      </c>
      <c r="Q16" s="166" t="str">
        <f>IF(LEFT(Berekening!O28,1)&gt;RIGHT(Berekening!O28,1),"T",IF(LEFT(Berekening!O28,1)&lt;RIGHT(Berekening!O28,1),"U","G"))</f>
        <v>T</v>
      </c>
      <c r="R16" s="166" t="str">
        <f>IF(LEFT(Berekening!P28,1)&gt;RIGHT(Berekening!P28,1),"T",IF(LEFT(Berekening!P28,1)&lt;RIGHT(Berekening!P28,1),"U","G"))</f>
        <v>T</v>
      </c>
      <c r="S16" s="166" t="str">
        <f>IF(LEFT(Berekening!Q28,1)&gt;RIGHT(Berekening!Q28,1),"T",IF(LEFT(Berekening!Q28,1)&lt;RIGHT(Berekening!Q28,1),"U","G"))</f>
        <v>T</v>
      </c>
      <c r="T16" s="166" t="str">
        <f>IF(LEFT(Berekening!R28,1)&gt;RIGHT(Berekening!R28,1),"T",IF(LEFT(Berekening!R28,1)&lt;RIGHT(Berekening!R28,1),"U","G"))</f>
        <v>T</v>
      </c>
      <c r="U16" s="166" t="str">
        <f>IF(LEFT(Berekening!S28,1)&gt;RIGHT(Berekening!S28,1),"T",IF(LEFT(Berekening!S28,1)&lt;RIGHT(Berekening!S28,1),"U","G"))</f>
        <v>T</v>
      </c>
      <c r="V16" s="166" t="str">
        <f>IF(LEFT(Berekening!T28,1)&gt;RIGHT(Berekening!T28,1),"T",IF(LEFT(Berekening!T28,1)&lt;RIGHT(Berekening!T28,1),"U","G"))</f>
        <v>G</v>
      </c>
      <c r="W16" s="166" t="str">
        <f>IF(LEFT(Berekening!U28,1)&gt;RIGHT(Berekening!U28,1),"T",IF(LEFT(Berekening!U28,1)&lt;RIGHT(Berekening!U28,1),"U","G"))</f>
        <v>G</v>
      </c>
      <c r="X16" s="166" t="str">
        <f>IF(LEFT(Berekening!V28,1)&gt;RIGHT(Berekening!V28,1),"T",IF(LEFT(Berekening!V28,1)&lt;RIGHT(Berekening!V28,1),"U","G"))</f>
        <v>G</v>
      </c>
      <c r="Y16" s="166" t="str">
        <f>IF(LEFT(Berekening!W28,1)&gt;RIGHT(Berekening!W28,1),"T",IF(LEFT(Berekening!W28,1)&lt;RIGHT(Berekening!W28,1),"U","G"))</f>
        <v>G</v>
      </c>
      <c r="Z16" s="166" t="str">
        <f>IF(LEFT(Berekening!X28,1)&gt;RIGHT(Berekening!X28,1),"T",IF(LEFT(Berekening!X28,1)&lt;RIGHT(Berekening!X28,1),"U","G"))</f>
        <v>G</v>
      </c>
      <c r="AA16" s="166" t="str">
        <f>IF(LEFT(Berekening!Y28,1)&gt;RIGHT(Berekening!Y28,1),"T",IF(LEFT(Berekening!Y28,1)&lt;RIGHT(Berekening!Y28,1),"U","G"))</f>
        <v>G</v>
      </c>
      <c r="AB16" s="166" t="str">
        <f>IF(LEFT(Berekening!Z28,1)&gt;RIGHT(Berekening!Z28,1),"T",IF(LEFT(Berekening!Z28,1)&lt;RIGHT(Berekening!Z28,1),"U","G"))</f>
        <v>G</v>
      </c>
      <c r="AC16" s="166" t="str">
        <f>IF(LEFT(Berekening!AA28,1)&gt;RIGHT(Berekening!AA28,1),"T",IF(LEFT(Berekening!AA28,1)&lt;RIGHT(Berekening!AA28,1),"U","G"))</f>
        <v>G</v>
      </c>
      <c r="AD16" s="166" t="str">
        <f>IF(LEFT(Berekening!AB28,1)&gt;RIGHT(Berekening!AB28,1),"T",IF(LEFT(Berekening!AB28,1)&lt;RIGHT(Berekening!AB28,1),"U","G"))</f>
        <v>G</v>
      </c>
      <c r="AE16" s="166" t="str">
        <f>IF(LEFT(Berekening!AC28,1)&gt;RIGHT(Berekening!AC28,1),"T",IF(LEFT(Berekening!AC28,1)&lt;RIGHT(Berekening!AC28,1),"U","G"))</f>
        <v>G</v>
      </c>
      <c r="AF16" s="166" t="str">
        <f>IF(LEFT(Berekening!AD28,1)&gt;RIGHT(Berekening!AD28,1),"T",IF(LEFT(Berekening!AD28,1)&lt;RIGHT(Berekening!AD28,1),"U","G"))</f>
        <v>G</v>
      </c>
      <c r="AG16" s="166" t="str">
        <f>IF(LEFT(Berekening!AE28,1)&gt;RIGHT(Berekening!AE28,1),"T",IF(LEFT(Berekening!AE28,1)&lt;RIGHT(Berekening!AE28,1),"U","G"))</f>
        <v>G</v>
      </c>
      <c r="AH16" s="166" t="str">
        <f>IF(LEFT(Berekening!AF28,1)&gt;RIGHT(Berekening!AF28,1),"T",IF(LEFT(Berekening!AF28,1)&lt;RIGHT(Berekening!AF28,1),"U","G"))</f>
        <v>G</v>
      </c>
      <c r="AI16" s="166" t="str">
        <f>IF(LEFT(Berekening!AG28,1)&gt;RIGHT(Berekening!AG28,1),"T",IF(LEFT(Berekening!AG28,1)&lt;RIGHT(Berekening!AG28,1),"U","G"))</f>
        <v>G</v>
      </c>
      <c r="AJ16" s="166" t="str">
        <f>IF(LEFT(Berekening!AH28,1)&gt;RIGHT(Berekening!AH28,1),"T",IF(LEFT(Berekening!AH28,1)&lt;RIGHT(Berekening!AH28,1),"U","G"))</f>
        <v>G</v>
      </c>
      <c r="AK16" s="166" t="str">
        <f>IF(LEFT(Berekening!AI28,1)&gt;RIGHT(Berekening!AI28,1),"T",IF(LEFT(Berekening!AI28,1)&lt;RIGHT(Berekening!AI28,1),"U","G"))</f>
        <v>G</v>
      </c>
      <c r="AL16" s="166" t="str">
        <f>IF(LEFT(Berekening!AJ28,1)&gt;RIGHT(Berekening!AJ28,1),"T",IF(LEFT(Berekening!AJ28,1)&lt;RIGHT(Berekening!AJ28,1),"U","G"))</f>
        <v>G</v>
      </c>
      <c r="AM16" s="166" t="str">
        <f>IF(LEFT(Berekening!AK28,1)&gt;RIGHT(Berekening!AK28,1),"T",IF(LEFT(Berekening!AK28,1)&lt;RIGHT(Berekening!AK28,1),"U","G"))</f>
        <v>G</v>
      </c>
      <c r="AN16" s="166" t="str">
        <f>IF(LEFT(Berekening!AL28,1)&gt;RIGHT(Berekening!AL28,1),"T",IF(LEFT(Berekening!AL28,1)&lt;RIGHT(Berekening!AL28,1),"U","G"))</f>
        <v>G</v>
      </c>
      <c r="AO16" s="166" t="str">
        <f>IF(LEFT(Berekening!AM28,1)&gt;RIGHT(Berekening!AM28,1),"T",IF(LEFT(Berekening!AM28,1)&lt;RIGHT(Berekening!AM28,1),"U","G"))</f>
        <v>G</v>
      </c>
      <c r="AP16" s="166" t="str">
        <f>IF(LEFT(Berekening!AN28,1)&gt;RIGHT(Berekening!AN28,1),"T",IF(LEFT(Berekening!AN28,1)&lt;RIGHT(Berekening!AN28,1),"U","G"))</f>
        <v>G</v>
      </c>
      <c r="AQ16" s="166" t="str">
        <f>IF(LEFT(Berekening!AO28,1)&gt;RIGHT(Berekening!AO28,1),"T",IF(LEFT(Berekening!AO28,1)&lt;RIGHT(Berekening!AO28,1),"U","G"))</f>
        <v>G</v>
      </c>
      <c r="AR16" s="166" t="str">
        <f>IF(LEFT(Berekening!AP28,1)&gt;RIGHT(Berekening!AP28,1),"T",IF(LEFT(Berekening!AP28,1)&lt;RIGHT(Berekening!AP28,1),"U","G"))</f>
        <v>G</v>
      </c>
      <c r="AS16" s="166" t="str">
        <f>IF(LEFT(Berekening!AQ28,1)&gt;RIGHT(Berekening!AQ28,1),"T",IF(LEFT(Berekening!AQ28,1)&lt;RIGHT(Berekening!AQ28,1),"U","G"))</f>
        <v>G</v>
      </c>
      <c r="AT16" s="166" t="str">
        <f>IF(LEFT(Berekening!AR28,1)&gt;RIGHT(Berekening!AR28,1),"T",IF(LEFT(Berekening!AR28,1)&lt;RIGHT(Berekening!AR28,1),"U","G"))</f>
        <v>G</v>
      </c>
      <c r="AU16" s="166" t="str">
        <f>IF(LEFT(Berekening!AS28,1)&gt;RIGHT(Berekening!AS28,1),"T",IF(LEFT(Berekening!AS28,1)&lt;RIGHT(Berekening!AS28,1),"U","G"))</f>
        <v>G</v>
      </c>
      <c r="AV16" s="166" t="str">
        <f>IF(LEFT(Berekening!AT28,1)&gt;RIGHT(Berekening!AT28,1),"T",IF(LEFT(Berekening!AT28,1)&lt;RIGHT(Berekening!AT28,1),"U","G"))</f>
        <v>G</v>
      </c>
    </row>
    <row r="17" spans="3:48">
      <c r="C17" s="163" t="s">
        <v>1399</v>
      </c>
      <c r="D17" s="164" t="s">
        <v>2971</v>
      </c>
      <c r="E17" s="165" t="s">
        <v>1608</v>
      </c>
      <c r="G17" s="166" t="str">
        <f>IF(LEFT(Berekening!E29,1)&gt;RIGHT(Berekening!E29,1),"T",IF(LEFT(Berekening!E29,1)&lt;RIGHT(Berekening!E29,1),"U","G"))</f>
        <v>G</v>
      </c>
      <c r="H17" s="166" t="str">
        <f>IF(LEFT(Berekening!F29,1)&gt;RIGHT(Berekening!F29,1),"T",IF(LEFT(Berekening!F29,1)&lt;RIGHT(Berekening!F29,1),"U","G"))</f>
        <v>T</v>
      </c>
      <c r="I17" s="166" t="str">
        <f>IF(LEFT(Berekening!G29,1)&gt;RIGHT(Berekening!G29,1),"T",IF(LEFT(Berekening!G29,1)&lt;RIGHT(Berekening!G29,1),"U","G"))</f>
        <v>U</v>
      </c>
      <c r="J17" s="166" t="str">
        <f>IF(LEFT(Berekening!H29,1)&gt;RIGHT(Berekening!H29,1),"T",IF(LEFT(Berekening!H29,1)&lt;RIGHT(Berekening!H29,1),"U","G"))</f>
        <v>G</v>
      </c>
      <c r="K17" s="166" t="str">
        <f>IF(LEFT(Berekening!I29,1)&gt;RIGHT(Berekening!I29,1),"T",IF(LEFT(Berekening!I29,1)&lt;RIGHT(Berekening!I29,1),"U","G"))</f>
        <v>T</v>
      </c>
      <c r="L17" s="166" t="str">
        <f>IF(LEFT(Berekening!J29,1)&gt;RIGHT(Berekening!J29,1),"T",IF(LEFT(Berekening!J29,1)&lt;RIGHT(Berekening!J29,1),"U","G"))</f>
        <v>U</v>
      </c>
      <c r="M17" s="166" t="str">
        <f>IF(LEFT(Berekening!K29,1)&gt;RIGHT(Berekening!K29,1),"T",IF(LEFT(Berekening!K29,1)&lt;RIGHT(Berekening!K29,1),"U","G"))</f>
        <v>U</v>
      </c>
      <c r="N17" s="166" t="str">
        <f>IF(LEFT(Berekening!L29,1)&gt;RIGHT(Berekening!L29,1),"T",IF(LEFT(Berekening!L29,1)&lt;RIGHT(Berekening!L29,1),"U","G"))</f>
        <v>G</v>
      </c>
      <c r="O17" s="166" t="str">
        <f>IF(LEFT(Berekening!M29,1)&gt;RIGHT(Berekening!M29,1),"T",IF(LEFT(Berekening!M29,1)&lt;RIGHT(Berekening!M29,1),"U","G"))</f>
        <v>G</v>
      </c>
      <c r="P17" s="166" t="str">
        <f>IF(LEFT(Berekening!N29,1)&gt;RIGHT(Berekening!N29,1),"T",IF(LEFT(Berekening!N29,1)&lt;RIGHT(Berekening!N29,1),"U","G"))</f>
        <v>T</v>
      </c>
      <c r="Q17" s="166" t="str">
        <f>IF(LEFT(Berekening!O29,1)&gt;RIGHT(Berekening!O29,1),"T",IF(LEFT(Berekening!O29,1)&lt;RIGHT(Berekening!O29,1),"U","G"))</f>
        <v>U</v>
      </c>
      <c r="R17" s="166" t="str">
        <f>IF(LEFT(Berekening!P29,1)&gt;RIGHT(Berekening!P29,1),"T",IF(LEFT(Berekening!P29,1)&lt;RIGHT(Berekening!P29,1),"U","G"))</f>
        <v>U</v>
      </c>
      <c r="S17" s="166" t="str">
        <f>IF(LEFT(Berekening!Q29,1)&gt;RIGHT(Berekening!Q29,1),"T",IF(LEFT(Berekening!Q29,1)&lt;RIGHT(Berekening!Q29,1),"U","G"))</f>
        <v>U</v>
      </c>
      <c r="T17" s="166" t="str">
        <f>IF(LEFT(Berekening!R29,1)&gt;RIGHT(Berekening!R29,1),"T",IF(LEFT(Berekening!R29,1)&lt;RIGHT(Berekening!R29,1),"U","G"))</f>
        <v>G</v>
      </c>
      <c r="U17" s="166" t="str">
        <f>IF(LEFT(Berekening!S29,1)&gt;RIGHT(Berekening!S29,1),"T",IF(LEFT(Berekening!S29,1)&lt;RIGHT(Berekening!S29,1),"U","G"))</f>
        <v>G</v>
      </c>
      <c r="V17" s="166" t="str">
        <f>IF(LEFT(Berekening!T29,1)&gt;RIGHT(Berekening!T29,1),"T",IF(LEFT(Berekening!T29,1)&lt;RIGHT(Berekening!T29,1),"U","G"))</f>
        <v>G</v>
      </c>
      <c r="W17" s="166" t="str">
        <f>IF(LEFT(Berekening!U29,1)&gt;RIGHT(Berekening!U29,1),"T",IF(LEFT(Berekening!U29,1)&lt;RIGHT(Berekening!U29,1),"U","G"))</f>
        <v>G</v>
      </c>
      <c r="X17" s="166" t="str">
        <f>IF(LEFT(Berekening!V29,1)&gt;RIGHT(Berekening!V29,1),"T",IF(LEFT(Berekening!V29,1)&lt;RIGHT(Berekening!V29,1),"U","G"))</f>
        <v>G</v>
      </c>
      <c r="Y17" s="166" t="str">
        <f>IF(LEFT(Berekening!W29,1)&gt;RIGHT(Berekening!W29,1),"T",IF(LEFT(Berekening!W29,1)&lt;RIGHT(Berekening!W29,1),"U","G"))</f>
        <v>G</v>
      </c>
      <c r="Z17" s="166" t="str">
        <f>IF(LEFT(Berekening!X29,1)&gt;RIGHT(Berekening!X29,1),"T",IF(LEFT(Berekening!X29,1)&lt;RIGHT(Berekening!X29,1),"U","G"))</f>
        <v>G</v>
      </c>
      <c r="AA17" s="166" t="str">
        <f>IF(LEFT(Berekening!Y29,1)&gt;RIGHT(Berekening!Y29,1),"T",IF(LEFT(Berekening!Y29,1)&lt;RIGHT(Berekening!Y29,1),"U","G"))</f>
        <v>G</v>
      </c>
      <c r="AB17" s="166" t="str">
        <f>IF(LEFT(Berekening!Z29,1)&gt;RIGHT(Berekening!Z29,1),"T",IF(LEFT(Berekening!Z29,1)&lt;RIGHT(Berekening!Z29,1),"U","G"))</f>
        <v>G</v>
      </c>
      <c r="AC17" s="166" t="str">
        <f>IF(LEFT(Berekening!AA29,1)&gt;RIGHT(Berekening!AA29,1),"T",IF(LEFT(Berekening!AA29,1)&lt;RIGHT(Berekening!AA29,1),"U","G"))</f>
        <v>G</v>
      </c>
      <c r="AD17" s="166" t="str">
        <f>IF(LEFT(Berekening!AB29,1)&gt;RIGHT(Berekening!AB29,1),"T",IF(LEFT(Berekening!AB29,1)&lt;RIGHT(Berekening!AB29,1),"U","G"))</f>
        <v>G</v>
      </c>
      <c r="AE17" s="166" t="str">
        <f>IF(LEFT(Berekening!AC29,1)&gt;RIGHT(Berekening!AC29,1),"T",IF(LEFT(Berekening!AC29,1)&lt;RIGHT(Berekening!AC29,1),"U","G"))</f>
        <v>G</v>
      </c>
      <c r="AF17" s="166" t="str">
        <f>IF(LEFT(Berekening!AD29,1)&gt;RIGHT(Berekening!AD29,1),"T",IF(LEFT(Berekening!AD29,1)&lt;RIGHT(Berekening!AD29,1),"U","G"))</f>
        <v>G</v>
      </c>
      <c r="AG17" s="166" t="str">
        <f>IF(LEFT(Berekening!AE29,1)&gt;RIGHT(Berekening!AE29,1),"T",IF(LEFT(Berekening!AE29,1)&lt;RIGHT(Berekening!AE29,1),"U","G"))</f>
        <v>G</v>
      </c>
      <c r="AH17" s="166" t="str">
        <f>IF(LEFT(Berekening!AF29,1)&gt;RIGHT(Berekening!AF29,1),"T",IF(LEFT(Berekening!AF29,1)&lt;RIGHT(Berekening!AF29,1),"U","G"))</f>
        <v>G</v>
      </c>
      <c r="AI17" s="166" t="str">
        <f>IF(LEFT(Berekening!AG29,1)&gt;RIGHT(Berekening!AG29,1),"T",IF(LEFT(Berekening!AG29,1)&lt;RIGHT(Berekening!AG29,1),"U","G"))</f>
        <v>G</v>
      </c>
      <c r="AJ17" s="166" t="str">
        <f>IF(LEFT(Berekening!AH29,1)&gt;RIGHT(Berekening!AH29,1),"T",IF(LEFT(Berekening!AH29,1)&lt;RIGHT(Berekening!AH29,1),"U","G"))</f>
        <v>G</v>
      </c>
      <c r="AK17" s="166" t="str">
        <f>IF(LEFT(Berekening!AI29,1)&gt;RIGHT(Berekening!AI29,1),"T",IF(LEFT(Berekening!AI29,1)&lt;RIGHT(Berekening!AI29,1),"U","G"))</f>
        <v>G</v>
      </c>
      <c r="AL17" s="166" t="str">
        <f>IF(LEFT(Berekening!AJ29,1)&gt;RIGHT(Berekening!AJ29,1),"T",IF(LEFT(Berekening!AJ29,1)&lt;RIGHT(Berekening!AJ29,1),"U","G"))</f>
        <v>G</v>
      </c>
      <c r="AM17" s="166" t="str">
        <f>IF(LEFT(Berekening!AK29,1)&gt;RIGHT(Berekening!AK29,1),"T",IF(LEFT(Berekening!AK29,1)&lt;RIGHT(Berekening!AK29,1),"U","G"))</f>
        <v>G</v>
      </c>
      <c r="AN17" s="166" t="str">
        <f>IF(LEFT(Berekening!AL29,1)&gt;RIGHT(Berekening!AL29,1),"T",IF(LEFT(Berekening!AL29,1)&lt;RIGHT(Berekening!AL29,1),"U","G"))</f>
        <v>G</v>
      </c>
      <c r="AO17" s="166" t="str">
        <f>IF(LEFT(Berekening!AM29,1)&gt;RIGHT(Berekening!AM29,1),"T",IF(LEFT(Berekening!AM29,1)&lt;RIGHT(Berekening!AM29,1),"U","G"))</f>
        <v>G</v>
      </c>
      <c r="AP17" s="166" t="str">
        <f>IF(LEFT(Berekening!AN29,1)&gt;RIGHT(Berekening!AN29,1),"T",IF(LEFT(Berekening!AN29,1)&lt;RIGHT(Berekening!AN29,1),"U","G"))</f>
        <v>G</v>
      </c>
      <c r="AQ17" s="166" t="str">
        <f>IF(LEFT(Berekening!AO29,1)&gt;RIGHT(Berekening!AO29,1),"T",IF(LEFT(Berekening!AO29,1)&lt;RIGHT(Berekening!AO29,1),"U","G"))</f>
        <v>G</v>
      </c>
      <c r="AR17" s="166" t="str">
        <f>IF(LEFT(Berekening!AP29,1)&gt;RIGHT(Berekening!AP29,1),"T",IF(LEFT(Berekening!AP29,1)&lt;RIGHT(Berekening!AP29,1),"U","G"))</f>
        <v>G</v>
      </c>
      <c r="AS17" s="166" t="str">
        <f>IF(LEFT(Berekening!AQ29,1)&gt;RIGHT(Berekening!AQ29,1),"T",IF(LEFT(Berekening!AQ29,1)&lt;RIGHT(Berekening!AQ29,1),"U","G"))</f>
        <v>G</v>
      </c>
      <c r="AT17" s="166" t="str">
        <f>IF(LEFT(Berekening!AR29,1)&gt;RIGHT(Berekening!AR29,1),"T",IF(LEFT(Berekening!AR29,1)&lt;RIGHT(Berekening!AR29,1),"U","G"))</f>
        <v>G</v>
      </c>
      <c r="AU17" s="166" t="str">
        <f>IF(LEFT(Berekening!AS29,1)&gt;RIGHT(Berekening!AS29,1),"T",IF(LEFT(Berekening!AS29,1)&lt;RIGHT(Berekening!AS29,1),"U","G"))</f>
        <v>G</v>
      </c>
      <c r="AV17" s="166" t="str">
        <f>IF(LEFT(Berekening!AT29,1)&gt;RIGHT(Berekening!AT29,1),"T",IF(LEFT(Berekening!AT29,1)&lt;RIGHT(Berekening!AT29,1),"U","G"))</f>
        <v>G</v>
      </c>
    </row>
    <row r="18" spans="3:48">
      <c r="C18" s="163" t="s">
        <v>2630</v>
      </c>
      <c r="D18" s="164" t="s">
        <v>2971</v>
      </c>
      <c r="E18" s="165" t="s">
        <v>2661</v>
      </c>
      <c r="G18" s="166" t="str">
        <f>IF(LEFT(Berekening!E30,1)&gt;RIGHT(Berekening!E30,1),"T",IF(LEFT(Berekening!E30,1)&lt;RIGHT(Berekening!E30,1),"U","G"))</f>
        <v>U</v>
      </c>
      <c r="H18" s="166" t="str">
        <f>IF(LEFT(Berekening!F30,1)&gt;RIGHT(Berekening!F30,1),"T",IF(LEFT(Berekening!F30,1)&lt;RIGHT(Berekening!F30,1),"U","G"))</f>
        <v>U</v>
      </c>
      <c r="I18" s="166" t="str">
        <f>IF(LEFT(Berekening!G30,1)&gt;RIGHT(Berekening!G30,1),"T",IF(LEFT(Berekening!G30,1)&lt;RIGHT(Berekening!G30,1),"U","G"))</f>
        <v>G</v>
      </c>
      <c r="J18" s="166" t="str">
        <f>IF(LEFT(Berekening!H30,1)&gt;RIGHT(Berekening!H30,1),"T",IF(LEFT(Berekening!H30,1)&lt;RIGHT(Berekening!H30,1),"U","G"))</f>
        <v>U</v>
      </c>
      <c r="K18" s="166" t="str">
        <f>IF(LEFT(Berekening!I30,1)&gt;RIGHT(Berekening!I30,1),"T",IF(LEFT(Berekening!I30,1)&lt;RIGHT(Berekening!I30,1),"U","G"))</f>
        <v>U</v>
      </c>
      <c r="L18" s="166" t="str">
        <f>IF(LEFT(Berekening!J30,1)&gt;RIGHT(Berekening!J30,1),"T",IF(LEFT(Berekening!J30,1)&lt;RIGHT(Berekening!J30,1),"U","G"))</f>
        <v>G</v>
      </c>
      <c r="M18" s="166" t="str">
        <f>IF(LEFT(Berekening!K30,1)&gt;RIGHT(Berekening!K30,1),"T",IF(LEFT(Berekening!K30,1)&lt;RIGHT(Berekening!K30,1),"U","G"))</f>
        <v>U</v>
      </c>
      <c r="N18" s="166" t="str">
        <f>IF(LEFT(Berekening!L30,1)&gt;RIGHT(Berekening!L30,1),"T",IF(LEFT(Berekening!L30,1)&lt;RIGHT(Berekening!L30,1),"U","G"))</f>
        <v>G</v>
      </c>
      <c r="O18" s="166" t="str">
        <f>IF(LEFT(Berekening!M30,1)&gt;RIGHT(Berekening!M30,1),"T",IF(LEFT(Berekening!M30,1)&lt;RIGHT(Berekening!M30,1),"U","G"))</f>
        <v>G</v>
      </c>
      <c r="P18" s="166" t="str">
        <f>IF(LEFT(Berekening!N30,1)&gt;RIGHT(Berekening!N30,1),"T",IF(LEFT(Berekening!N30,1)&lt;RIGHT(Berekening!N30,1),"U","G"))</f>
        <v>U</v>
      </c>
      <c r="Q18" s="166" t="str">
        <f>IF(LEFT(Berekening!O30,1)&gt;RIGHT(Berekening!O30,1),"T",IF(LEFT(Berekening!O30,1)&lt;RIGHT(Berekening!O30,1),"U","G"))</f>
        <v>U</v>
      </c>
      <c r="R18" s="166" t="str">
        <f>IF(LEFT(Berekening!P30,1)&gt;RIGHT(Berekening!P30,1),"T",IF(LEFT(Berekening!P30,1)&lt;RIGHT(Berekening!P30,1),"U","G"))</f>
        <v>G</v>
      </c>
      <c r="S18" s="166" t="str">
        <f>IF(LEFT(Berekening!Q30,1)&gt;RIGHT(Berekening!Q30,1),"T",IF(LEFT(Berekening!Q30,1)&lt;RIGHT(Berekening!Q30,1),"U","G"))</f>
        <v>U</v>
      </c>
      <c r="T18" s="166" t="str">
        <f>IF(LEFT(Berekening!R30,1)&gt;RIGHT(Berekening!R30,1),"T",IF(LEFT(Berekening!R30,1)&lt;RIGHT(Berekening!R30,1),"U","G"))</f>
        <v>U</v>
      </c>
      <c r="U18" s="166" t="str">
        <f>IF(LEFT(Berekening!S30,1)&gt;RIGHT(Berekening!S30,1),"T",IF(LEFT(Berekening!S30,1)&lt;RIGHT(Berekening!S30,1),"U","G"))</f>
        <v>U</v>
      </c>
      <c r="V18" s="166" t="str">
        <f>IF(LEFT(Berekening!T30,1)&gt;RIGHT(Berekening!T30,1),"T",IF(LEFT(Berekening!T30,1)&lt;RIGHT(Berekening!T30,1),"U","G"))</f>
        <v>U</v>
      </c>
      <c r="W18" s="166" t="str">
        <f>IF(LEFT(Berekening!U30,1)&gt;RIGHT(Berekening!U30,1),"T",IF(LEFT(Berekening!U30,1)&lt;RIGHT(Berekening!U30,1),"U","G"))</f>
        <v>G</v>
      </c>
      <c r="X18" s="166" t="str">
        <f>IF(LEFT(Berekening!V30,1)&gt;RIGHT(Berekening!V30,1),"T",IF(LEFT(Berekening!V30,1)&lt;RIGHT(Berekening!V30,1),"U","G"))</f>
        <v>G</v>
      </c>
      <c r="Y18" s="166" t="str">
        <f>IF(LEFT(Berekening!W30,1)&gt;RIGHT(Berekening!W30,1),"T",IF(LEFT(Berekening!W30,1)&lt;RIGHT(Berekening!W30,1),"U","G"))</f>
        <v>G</v>
      </c>
      <c r="Z18" s="166" t="str">
        <f>IF(LEFT(Berekening!X30,1)&gt;RIGHT(Berekening!X30,1),"T",IF(LEFT(Berekening!X30,1)&lt;RIGHT(Berekening!X30,1),"U","G"))</f>
        <v>G</v>
      </c>
      <c r="AA18" s="166" t="str">
        <f>IF(LEFT(Berekening!Y30,1)&gt;RIGHT(Berekening!Y30,1),"T",IF(LEFT(Berekening!Y30,1)&lt;RIGHT(Berekening!Y30,1),"U","G"))</f>
        <v>G</v>
      </c>
      <c r="AB18" s="166" t="str">
        <f>IF(LEFT(Berekening!Z30,1)&gt;RIGHT(Berekening!Z30,1),"T",IF(LEFT(Berekening!Z30,1)&lt;RIGHT(Berekening!Z30,1),"U","G"))</f>
        <v>G</v>
      </c>
      <c r="AC18" s="166" t="str">
        <f>IF(LEFT(Berekening!AA30,1)&gt;RIGHT(Berekening!AA30,1),"T",IF(LEFT(Berekening!AA30,1)&lt;RIGHT(Berekening!AA30,1),"U","G"))</f>
        <v>G</v>
      </c>
      <c r="AD18" s="166" t="str">
        <f>IF(LEFT(Berekening!AB30,1)&gt;RIGHT(Berekening!AB30,1),"T",IF(LEFT(Berekening!AB30,1)&lt;RIGHT(Berekening!AB30,1),"U","G"))</f>
        <v>G</v>
      </c>
      <c r="AE18" s="166" t="str">
        <f>IF(LEFT(Berekening!AC30,1)&gt;RIGHT(Berekening!AC30,1),"T",IF(LEFT(Berekening!AC30,1)&lt;RIGHT(Berekening!AC30,1),"U","G"))</f>
        <v>G</v>
      </c>
      <c r="AF18" s="166" t="str">
        <f>IF(LEFT(Berekening!AD30,1)&gt;RIGHT(Berekening!AD30,1),"T",IF(LEFT(Berekening!AD30,1)&lt;RIGHT(Berekening!AD30,1),"U","G"))</f>
        <v>G</v>
      </c>
      <c r="AG18" s="166" t="str">
        <f>IF(LEFT(Berekening!AE30,1)&gt;RIGHT(Berekening!AE30,1),"T",IF(LEFT(Berekening!AE30,1)&lt;RIGHT(Berekening!AE30,1),"U","G"))</f>
        <v>G</v>
      </c>
      <c r="AH18" s="166" t="str">
        <f>IF(LEFT(Berekening!AF30,1)&gt;RIGHT(Berekening!AF30,1),"T",IF(LEFT(Berekening!AF30,1)&lt;RIGHT(Berekening!AF30,1),"U","G"))</f>
        <v>G</v>
      </c>
      <c r="AI18" s="166" t="str">
        <f>IF(LEFT(Berekening!AG30,1)&gt;RIGHT(Berekening!AG30,1),"T",IF(LEFT(Berekening!AG30,1)&lt;RIGHT(Berekening!AG30,1),"U","G"))</f>
        <v>G</v>
      </c>
      <c r="AJ18" s="166" t="str">
        <f>IF(LEFT(Berekening!AH30,1)&gt;RIGHT(Berekening!AH30,1),"T",IF(LEFT(Berekening!AH30,1)&lt;RIGHT(Berekening!AH30,1),"U","G"))</f>
        <v>G</v>
      </c>
      <c r="AK18" s="166" t="str">
        <f>IF(LEFT(Berekening!AI30,1)&gt;RIGHT(Berekening!AI30,1),"T",IF(LEFT(Berekening!AI30,1)&lt;RIGHT(Berekening!AI30,1),"U","G"))</f>
        <v>G</v>
      </c>
      <c r="AL18" s="166" t="str">
        <f>IF(LEFT(Berekening!AJ30,1)&gt;RIGHT(Berekening!AJ30,1),"T",IF(LEFT(Berekening!AJ30,1)&lt;RIGHT(Berekening!AJ30,1),"U","G"))</f>
        <v>G</v>
      </c>
      <c r="AM18" s="166" t="str">
        <f>IF(LEFT(Berekening!AK30,1)&gt;RIGHT(Berekening!AK30,1),"T",IF(LEFT(Berekening!AK30,1)&lt;RIGHT(Berekening!AK30,1),"U","G"))</f>
        <v>G</v>
      </c>
      <c r="AN18" s="166" t="str">
        <f>IF(LEFT(Berekening!AL30,1)&gt;RIGHT(Berekening!AL30,1),"T",IF(LEFT(Berekening!AL30,1)&lt;RIGHT(Berekening!AL30,1),"U","G"))</f>
        <v>G</v>
      </c>
      <c r="AO18" s="166" t="str">
        <f>IF(LEFT(Berekening!AM30,1)&gt;RIGHT(Berekening!AM30,1),"T",IF(LEFT(Berekening!AM30,1)&lt;RIGHT(Berekening!AM30,1),"U","G"))</f>
        <v>G</v>
      </c>
      <c r="AP18" s="166" t="str">
        <f>IF(LEFT(Berekening!AN30,1)&gt;RIGHT(Berekening!AN30,1),"T",IF(LEFT(Berekening!AN30,1)&lt;RIGHT(Berekening!AN30,1),"U","G"))</f>
        <v>G</v>
      </c>
      <c r="AQ18" s="166" t="str">
        <f>IF(LEFT(Berekening!AO30,1)&gt;RIGHT(Berekening!AO30,1),"T",IF(LEFT(Berekening!AO30,1)&lt;RIGHT(Berekening!AO30,1),"U","G"))</f>
        <v>G</v>
      </c>
      <c r="AR18" s="166" t="str">
        <f>IF(LEFT(Berekening!AP30,1)&gt;RIGHT(Berekening!AP30,1),"T",IF(LEFT(Berekening!AP30,1)&lt;RIGHT(Berekening!AP30,1),"U","G"))</f>
        <v>G</v>
      </c>
      <c r="AS18" s="166" t="str">
        <f>IF(LEFT(Berekening!AQ30,1)&gt;RIGHT(Berekening!AQ30,1),"T",IF(LEFT(Berekening!AQ30,1)&lt;RIGHT(Berekening!AQ30,1),"U","G"))</f>
        <v>G</v>
      </c>
      <c r="AT18" s="166" t="str">
        <f>IF(LEFT(Berekening!AR30,1)&gt;RIGHT(Berekening!AR30,1),"T",IF(LEFT(Berekening!AR30,1)&lt;RIGHT(Berekening!AR30,1),"U","G"))</f>
        <v>G</v>
      </c>
      <c r="AU18" s="166" t="str">
        <f>IF(LEFT(Berekening!AS30,1)&gt;RIGHT(Berekening!AS30,1),"T",IF(LEFT(Berekening!AS30,1)&lt;RIGHT(Berekening!AS30,1),"U","G"))</f>
        <v>G</v>
      </c>
      <c r="AV18" s="166" t="str">
        <f>IF(LEFT(Berekening!AT30,1)&gt;RIGHT(Berekening!AT30,1),"T",IF(LEFT(Berekening!AT30,1)&lt;RIGHT(Berekening!AT30,1),"U","G"))</f>
        <v>G</v>
      </c>
    </row>
    <row r="19" spans="3:48">
      <c r="C19" s="163" t="s">
        <v>1206</v>
      </c>
      <c r="D19" s="164" t="s">
        <v>2971</v>
      </c>
      <c r="E19" s="165" t="s">
        <v>1856</v>
      </c>
      <c r="G19" s="166" t="str">
        <f>IF(LEFT(Berekening!E31,1)&gt;RIGHT(Berekening!E31,1),"T",IF(LEFT(Berekening!E31,1)&lt;RIGHT(Berekening!E31,1),"U","G"))</f>
        <v>U</v>
      </c>
      <c r="H19" s="166" t="str">
        <f>IF(LEFT(Berekening!F31,1)&gt;RIGHT(Berekening!F31,1),"T",IF(LEFT(Berekening!F31,1)&lt;RIGHT(Berekening!F31,1),"U","G"))</f>
        <v>U</v>
      </c>
      <c r="I19" s="166" t="str">
        <f>IF(LEFT(Berekening!G31,1)&gt;RIGHT(Berekening!G31,1),"T",IF(LEFT(Berekening!G31,1)&lt;RIGHT(Berekening!G31,1),"U","G"))</f>
        <v>U</v>
      </c>
      <c r="J19" s="166" t="str">
        <f>IF(LEFT(Berekening!H31,1)&gt;RIGHT(Berekening!H31,1),"T",IF(LEFT(Berekening!H31,1)&lt;RIGHT(Berekening!H31,1),"U","G"))</f>
        <v>U</v>
      </c>
      <c r="K19" s="166" t="str">
        <f>IF(LEFT(Berekening!I31,1)&gt;RIGHT(Berekening!I31,1),"T",IF(LEFT(Berekening!I31,1)&lt;RIGHT(Berekening!I31,1),"U","G"))</f>
        <v>G</v>
      </c>
      <c r="L19" s="166" t="str">
        <f>IF(LEFT(Berekening!J31,1)&gt;RIGHT(Berekening!J31,1),"T",IF(LEFT(Berekening!J31,1)&lt;RIGHT(Berekening!J31,1),"U","G"))</f>
        <v>U</v>
      </c>
      <c r="M19" s="166" t="str">
        <f>IF(LEFT(Berekening!K31,1)&gt;RIGHT(Berekening!K31,1),"T",IF(LEFT(Berekening!K31,1)&lt;RIGHT(Berekening!K31,1),"U","G"))</f>
        <v>U</v>
      </c>
      <c r="N19" s="166" t="str">
        <f>IF(LEFT(Berekening!L31,1)&gt;RIGHT(Berekening!L31,1),"T",IF(LEFT(Berekening!L31,1)&lt;RIGHT(Berekening!L31,1),"U","G"))</f>
        <v>U</v>
      </c>
      <c r="O19" s="166" t="str">
        <f>IF(LEFT(Berekening!M31,1)&gt;RIGHT(Berekening!M31,1),"T",IF(LEFT(Berekening!M31,1)&lt;RIGHT(Berekening!M31,1),"U","G"))</f>
        <v>U</v>
      </c>
      <c r="P19" s="166" t="str">
        <f>IF(LEFT(Berekening!N31,1)&gt;RIGHT(Berekening!N31,1),"T",IF(LEFT(Berekening!N31,1)&lt;RIGHT(Berekening!N31,1),"U","G"))</f>
        <v>U</v>
      </c>
      <c r="Q19" s="166" t="str">
        <f>IF(LEFT(Berekening!O31,1)&gt;RIGHT(Berekening!O31,1),"T",IF(LEFT(Berekening!O31,1)&lt;RIGHT(Berekening!O31,1),"U","G"))</f>
        <v>U</v>
      </c>
      <c r="R19" s="166" t="str">
        <f>IF(LEFT(Berekening!P31,1)&gt;RIGHT(Berekening!P31,1),"T",IF(LEFT(Berekening!P31,1)&lt;RIGHT(Berekening!P31,1),"U","G"))</f>
        <v>U</v>
      </c>
      <c r="S19" s="166" t="str">
        <f>IF(LEFT(Berekening!Q31,1)&gt;RIGHT(Berekening!Q31,1),"T",IF(LEFT(Berekening!Q31,1)&lt;RIGHT(Berekening!Q31,1),"U","G"))</f>
        <v>U</v>
      </c>
      <c r="T19" s="166" t="str">
        <f>IF(LEFT(Berekening!R31,1)&gt;RIGHT(Berekening!R31,1),"T",IF(LEFT(Berekening!R31,1)&lt;RIGHT(Berekening!R31,1),"U","G"))</f>
        <v>U</v>
      </c>
      <c r="U19" s="166" t="str">
        <f>IF(LEFT(Berekening!S31,1)&gt;RIGHT(Berekening!S31,1),"T",IF(LEFT(Berekening!S31,1)&lt;RIGHT(Berekening!S31,1),"U","G"))</f>
        <v>U</v>
      </c>
      <c r="V19" s="166" t="str">
        <f>IF(LEFT(Berekening!T31,1)&gt;RIGHT(Berekening!T31,1),"T",IF(LEFT(Berekening!T31,1)&lt;RIGHT(Berekening!T31,1),"U","G"))</f>
        <v>G</v>
      </c>
      <c r="W19" s="166" t="str">
        <f>IF(LEFT(Berekening!U31,1)&gt;RIGHT(Berekening!U31,1),"T",IF(LEFT(Berekening!U31,1)&lt;RIGHT(Berekening!U31,1),"U","G"))</f>
        <v>G</v>
      </c>
      <c r="X19" s="166" t="str">
        <f>IF(LEFT(Berekening!V31,1)&gt;RIGHT(Berekening!V31,1),"T",IF(LEFT(Berekening!V31,1)&lt;RIGHT(Berekening!V31,1),"U","G"))</f>
        <v>G</v>
      </c>
      <c r="Y19" s="166" t="str">
        <f>IF(LEFT(Berekening!W31,1)&gt;RIGHT(Berekening!W31,1),"T",IF(LEFT(Berekening!W31,1)&lt;RIGHT(Berekening!W31,1),"U","G"))</f>
        <v>G</v>
      </c>
      <c r="Z19" s="166" t="str">
        <f>IF(LEFT(Berekening!X31,1)&gt;RIGHT(Berekening!X31,1),"T",IF(LEFT(Berekening!X31,1)&lt;RIGHT(Berekening!X31,1),"U","G"))</f>
        <v>G</v>
      </c>
      <c r="AA19" s="166" t="str">
        <f>IF(LEFT(Berekening!Y31,1)&gt;RIGHT(Berekening!Y31,1),"T",IF(LEFT(Berekening!Y31,1)&lt;RIGHT(Berekening!Y31,1),"U","G"))</f>
        <v>G</v>
      </c>
      <c r="AB19" s="166" t="str">
        <f>IF(LEFT(Berekening!Z31,1)&gt;RIGHT(Berekening!Z31,1),"T",IF(LEFT(Berekening!Z31,1)&lt;RIGHT(Berekening!Z31,1),"U","G"))</f>
        <v>G</v>
      </c>
      <c r="AC19" s="166" t="str">
        <f>IF(LEFT(Berekening!AA31,1)&gt;RIGHT(Berekening!AA31,1),"T",IF(LEFT(Berekening!AA31,1)&lt;RIGHT(Berekening!AA31,1),"U","G"))</f>
        <v>G</v>
      </c>
      <c r="AD19" s="166" t="str">
        <f>IF(LEFT(Berekening!AB31,1)&gt;RIGHT(Berekening!AB31,1),"T",IF(LEFT(Berekening!AB31,1)&lt;RIGHT(Berekening!AB31,1),"U","G"))</f>
        <v>G</v>
      </c>
      <c r="AE19" s="166" t="str">
        <f>IF(LEFT(Berekening!AC31,1)&gt;RIGHT(Berekening!AC31,1),"T",IF(LEFT(Berekening!AC31,1)&lt;RIGHT(Berekening!AC31,1),"U","G"))</f>
        <v>G</v>
      </c>
      <c r="AF19" s="166" t="str">
        <f>IF(LEFT(Berekening!AD31,1)&gt;RIGHT(Berekening!AD31,1),"T",IF(LEFT(Berekening!AD31,1)&lt;RIGHT(Berekening!AD31,1),"U","G"))</f>
        <v>G</v>
      </c>
      <c r="AG19" s="166" t="str">
        <f>IF(LEFT(Berekening!AE31,1)&gt;RIGHT(Berekening!AE31,1),"T",IF(LEFT(Berekening!AE31,1)&lt;RIGHT(Berekening!AE31,1),"U","G"))</f>
        <v>G</v>
      </c>
      <c r="AH19" s="166" t="str">
        <f>IF(LEFT(Berekening!AF31,1)&gt;RIGHT(Berekening!AF31,1),"T",IF(LEFT(Berekening!AF31,1)&lt;RIGHT(Berekening!AF31,1),"U","G"))</f>
        <v>G</v>
      </c>
      <c r="AI19" s="166" t="str">
        <f>IF(LEFT(Berekening!AG31,1)&gt;RIGHT(Berekening!AG31,1),"T",IF(LEFT(Berekening!AG31,1)&lt;RIGHT(Berekening!AG31,1),"U","G"))</f>
        <v>G</v>
      </c>
      <c r="AJ19" s="166" t="str">
        <f>IF(LEFT(Berekening!AH31,1)&gt;RIGHT(Berekening!AH31,1),"T",IF(LEFT(Berekening!AH31,1)&lt;RIGHT(Berekening!AH31,1),"U","G"))</f>
        <v>G</v>
      </c>
      <c r="AK19" s="166" t="str">
        <f>IF(LEFT(Berekening!AI31,1)&gt;RIGHT(Berekening!AI31,1),"T",IF(LEFT(Berekening!AI31,1)&lt;RIGHT(Berekening!AI31,1),"U","G"))</f>
        <v>G</v>
      </c>
      <c r="AL19" s="166" t="str">
        <f>IF(LEFT(Berekening!AJ31,1)&gt;RIGHT(Berekening!AJ31,1),"T",IF(LEFT(Berekening!AJ31,1)&lt;RIGHT(Berekening!AJ31,1),"U","G"))</f>
        <v>G</v>
      </c>
      <c r="AM19" s="166" t="str">
        <f>IF(LEFT(Berekening!AK31,1)&gt;RIGHT(Berekening!AK31,1),"T",IF(LEFT(Berekening!AK31,1)&lt;RIGHT(Berekening!AK31,1),"U","G"))</f>
        <v>G</v>
      </c>
      <c r="AN19" s="166" t="str">
        <f>IF(LEFT(Berekening!AL31,1)&gt;RIGHT(Berekening!AL31,1),"T",IF(LEFT(Berekening!AL31,1)&lt;RIGHT(Berekening!AL31,1),"U","G"))</f>
        <v>G</v>
      </c>
      <c r="AO19" s="166" t="str">
        <f>IF(LEFT(Berekening!AM31,1)&gt;RIGHT(Berekening!AM31,1),"T",IF(LEFT(Berekening!AM31,1)&lt;RIGHT(Berekening!AM31,1),"U","G"))</f>
        <v>G</v>
      </c>
      <c r="AP19" s="166" t="str">
        <f>IF(LEFT(Berekening!AN31,1)&gt;RIGHT(Berekening!AN31,1),"T",IF(LEFT(Berekening!AN31,1)&lt;RIGHT(Berekening!AN31,1),"U","G"))</f>
        <v>G</v>
      </c>
      <c r="AQ19" s="166" t="str">
        <f>IF(LEFT(Berekening!AO31,1)&gt;RIGHT(Berekening!AO31,1),"T",IF(LEFT(Berekening!AO31,1)&lt;RIGHT(Berekening!AO31,1),"U","G"))</f>
        <v>G</v>
      </c>
      <c r="AR19" s="166" t="str">
        <f>IF(LEFT(Berekening!AP31,1)&gt;RIGHT(Berekening!AP31,1),"T",IF(LEFT(Berekening!AP31,1)&lt;RIGHT(Berekening!AP31,1),"U","G"))</f>
        <v>G</v>
      </c>
      <c r="AS19" s="166" t="str">
        <f>IF(LEFT(Berekening!AQ31,1)&gt;RIGHT(Berekening!AQ31,1),"T",IF(LEFT(Berekening!AQ31,1)&lt;RIGHT(Berekening!AQ31,1),"U","G"))</f>
        <v>G</v>
      </c>
      <c r="AT19" s="166" t="str">
        <f>IF(LEFT(Berekening!AR31,1)&gt;RIGHT(Berekening!AR31,1),"T",IF(LEFT(Berekening!AR31,1)&lt;RIGHT(Berekening!AR31,1),"U","G"))</f>
        <v>G</v>
      </c>
      <c r="AU19" s="166" t="str">
        <f>IF(LEFT(Berekening!AS31,1)&gt;RIGHT(Berekening!AS31,1),"T",IF(LEFT(Berekening!AS31,1)&lt;RIGHT(Berekening!AS31,1),"U","G"))</f>
        <v>G</v>
      </c>
      <c r="AV19" s="166" t="str">
        <f>IF(LEFT(Berekening!AT31,1)&gt;RIGHT(Berekening!AT31,1),"T",IF(LEFT(Berekening!AT31,1)&lt;RIGHT(Berekening!AT31,1),"U","G"))</f>
        <v>G</v>
      </c>
    </row>
    <row r="20" spans="3:48">
      <c r="C20" s="163" t="s">
        <v>1077</v>
      </c>
      <c r="D20" s="164" t="s">
        <v>2971</v>
      </c>
      <c r="E20" s="165" t="s">
        <v>1113</v>
      </c>
      <c r="G20" s="166" t="str">
        <f>IF(LEFT(Berekening!E32,1)&gt;RIGHT(Berekening!E32,1),"T",IF(LEFT(Berekening!E32,1)&lt;RIGHT(Berekening!E32,1),"U","G"))</f>
        <v>T</v>
      </c>
      <c r="H20" s="166" t="str">
        <f>IF(LEFT(Berekening!F32,1)&gt;RIGHT(Berekening!F32,1),"T",IF(LEFT(Berekening!F32,1)&lt;RIGHT(Berekening!F32,1),"U","G"))</f>
        <v>T</v>
      </c>
      <c r="I20" s="166" t="str">
        <f>IF(LEFT(Berekening!G32,1)&gt;RIGHT(Berekening!G32,1),"T",IF(LEFT(Berekening!G32,1)&lt;RIGHT(Berekening!G32,1),"U","G"))</f>
        <v>G</v>
      </c>
      <c r="J20" s="166" t="str">
        <f>IF(LEFT(Berekening!H32,1)&gt;RIGHT(Berekening!H32,1),"T",IF(LEFT(Berekening!H32,1)&lt;RIGHT(Berekening!H32,1),"U","G"))</f>
        <v>G</v>
      </c>
      <c r="K20" s="166" t="str">
        <f>IF(LEFT(Berekening!I32,1)&gt;RIGHT(Berekening!I32,1),"T",IF(LEFT(Berekening!I32,1)&lt;RIGHT(Berekening!I32,1),"U","G"))</f>
        <v>T</v>
      </c>
      <c r="L20" s="166" t="str">
        <f>IF(LEFT(Berekening!J32,1)&gt;RIGHT(Berekening!J32,1),"T",IF(LEFT(Berekening!J32,1)&lt;RIGHT(Berekening!J32,1),"U","G"))</f>
        <v>T</v>
      </c>
      <c r="M20" s="166" t="str">
        <f>IF(LEFT(Berekening!K32,1)&gt;RIGHT(Berekening!K32,1),"T",IF(LEFT(Berekening!K32,1)&lt;RIGHT(Berekening!K32,1),"U","G"))</f>
        <v>T</v>
      </c>
      <c r="N20" s="166" t="str">
        <f>IF(LEFT(Berekening!L32,1)&gt;RIGHT(Berekening!L32,1),"T",IF(LEFT(Berekening!L32,1)&lt;RIGHT(Berekening!L32,1),"U","G"))</f>
        <v>T</v>
      </c>
      <c r="O20" s="166" t="str">
        <f>IF(LEFT(Berekening!M32,1)&gt;RIGHT(Berekening!M32,1),"T",IF(LEFT(Berekening!M32,1)&lt;RIGHT(Berekening!M32,1),"U","G"))</f>
        <v>T</v>
      </c>
      <c r="P20" s="166" t="str">
        <f>IF(LEFT(Berekening!N32,1)&gt;RIGHT(Berekening!N32,1),"T",IF(LEFT(Berekening!N32,1)&lt;RIGHT(Berekening!N32,1),"U","G"))</f>
        <v>T</v>
      </c>
      <c r="Q20" s="166" t="str">
        <f>IF(LEFT(Berekening!O32,1)&gt;RIGHT(Berekening!O32,1),"T",IF(LEFT(Berekening!O32,1)&lt;RIGHT(Berekening!O32,1),"U","G"))</f>
        <v>G</v>
      </c>
      <c r="R20" s="166" t="str">
        <f>IF(LEFT(Berekening!P32,1)&gt;RIGHT(Berekening!P32,1),"T",IF(LEFT(Berekening!P32,1)&lt;RIGHT(Berekening!P32,1),"U","G"))</f>
        <v>T</v>
      </c>
      <c r="S20" s="166" t="str">
        <f>IF(LEFT(Berekening!Q32,1)&gt;RIGHT(Berekening!Q32,1),"T",IF(LEFT(Berekening!Q32,1)&lt;RIGHT(Berekening!Q32,1),"U","G"))</f>
        <v>T</v>
      </c>
      <c r="T20" s="166" t="str">
        <f>IF(LEFT(Berekening!R32,1)&gt;RIGHT(Berekening!R32,1),"T",IF(LEFT(Berekening!R32,1)&lt;RIGHT(Berekening!R32,1),"U","G"))</f>
        <v>G</v>
      </c>
      <c r="U20" s="166" t="str">
        <f>IF(LEFT(Berekening!S32,1)&gt;RIGHT(Berekening!S32,1),"T",IF(LEFT(Berekening!S32,1)&lt;RIGHT(Berekening!S32,1),"U","G"))</f>
        <v>T</v>
      </c>
      <c r="V20" s="166" t="str">
        <f>IF(LEFT(Berekening!T32,1)&gt;RIGHT(Berekening!T32,1),"T",IF(LEFT(Berekening!T32,1)&lt;RIGHT(Berekening!T32,1),"U","G"))</f>
        <v>T</v>
      </c>
      <c r="W20" s="166" t="str">
        <f>IF(LEFT(Berekening!U32,1)&gt;RIGHT(Berekening!U32,1),"T",IF(LEFT(Berekening!U32,1)&lt;RIGHT(Berekening!U32,1),"U","G"))</f>
        <v>G</v>
      </c>
      <c r="X20" s="166" t="str">
        <f>IF(LEFT(Berekening!V32,1)&gt;RIGHT(Berekening!V32,1),"T",IF(LEFT(Berekening!V32,1)&lt;RIGHT(Berekening!V32,1),"U","G"))</f>
        <v>G</v>
      </c>
      <c r="Y20" s="166" t="str">
        <f>IF(LEFT(Berekening!W32,1)&gt;RIGHT(Berekening!W32,1),"T",IF(LEFT(Berekening!W32,1)&lt;RIGHT(Berekening!W32,1),"U","G"))</f>
        <v>G</v>
      </c>
      <c r="Z20" s="166" t="str">
        <f>IF(LEFT(Berekening!X32,1)&gt;RIGHT(Berekening!X32,1),"T",IF(LEFT(Berekening!X32,1)&lt;RIGHT(Berekening!X32,1),"U","G"))</f>
        <v>G</v>
      </c>
      <c r="AA20" s="166" t="str">
        <f>IF(LEFT(Berekening!Y32,1)&gt;RIGHT(Berekening!Y32,1),"T",IF(LEFT(Berekening!Y32,1)&lt;RIGHT(Berekening!Y32,1),"U","G"))</f>
        <v>G</v>
      </c>
      <c r="AB20" s="166" t="str">
        <f>IF(LEFT(Berekening!Z32,1)&gt;RIGHT(Berekening!Z32,1),"T",IF(LEFT(Berekening!Z32,1)&lt;RIGHT(Berekening!Z32,1),"U","G"))</f>
        <v>G</v>
      </c>
      <c r="AC20" s="166" t="str">
        <f>IF(LEFT(Berekening!AA32,1)&gt;RIGHT(Berekening!AA32,1),"T",IF(LEFT(Berekening!AA32,1)&lt;RIGHT(Berekening!AA32,1),"U","G"))</f>
        <v>G</v>
      </c>
      <c r="AD20" s="166" t="str">
        <f>IF(LEFT(Berekening!AB32,1)&gt;RIGHT(Berekening!AB32,1),"T",IF(LEFT(Berekening!AB32,1)&lt;RIGHT(Berekening!AB32,1),"U","G"))</f>
        <v>G</v>
      </c>
      <c r="AE20" s="166" t="str">
        <f>IF(LEFT(Berekening!AC32,1)&gt;RIGHT(Berekening!AC32,1),"T",IF(LEFT(Berekening!AC32,1)&lt;RIGHT(Berekening!AC32,1),"U","G"))</f>
        <v>G</v>
      </c>
      <c r="AF20" s="166" t="str">
        <f>IF(LEFT(Berekening!AD32,1)&gt;RIGHT(Berekening!AD32,1),"T",IF(LEFT(Berekening!AD32,1)&lt;RIGHT(Berekening!AD32,1),"U","G"))</f>
        <v>G</v>
      </c>
      <c r="AG20" s="166" t="str">
        <f>IF(LEFT(Berekening!AE32,1)&gt;RIGHT(Berekening!AE32,1),"T",IF(LEFT(Berekening!AE32,1)&lt;RIGHT(Berekening!AE32,1),"U","G"))</f>
        <v>G</v>
      </c>
      <c r="AH20" s="166" t="str">
        <f>IF(LEFT(Berekening!AF32,1)&gt;RIGHT(Berekening!AF32,1),"T",IF(LEFT(Berekening!AF32,1)&lt;RIGHT(Berekening!AF32,1),"U","G"))</f>
        <v>G</v>
      </c>
      <c r="AI20" s="166" t="str">
        <f>IF(LEFT(Berekening!AG32,1)&gt;RIGHT(Berekening!AG32,1),"T",IF(LEFT(Berekening!AG32,1)&lt;RIGHT(Berekening!AG32,1),"U","G"))</f>
        <v>G</v>
      </c>
      <c r="AJ20" s="166" t="str">
        <f>IF(LEFT(Berekening!AH32,1)&gt;RIGHT(Berekening!AH32,1),"T",IF(LEFT(Berekening!AH32,1)&lt;RIGHT(Berekening!AH32,1),"U","G"))</f>
        <v>G</v>
      </c>
      <c r="AK20" s="166" t="str">
        <f>IF(LEFT(Berekening!AI32,1)&gt;RIGHT(Berekening!AI32,1),"T",IF(LEFT(Berekening!AI32,1)&lt;RIGHT(Berekening!AI32,1),"U","G"))</f>
        <v>G</v>
      </c>
      <c r="AL20" s="166" t="str">
        <f>IF(LEFT(Berekening!AJ32,1)&gt;RIGHT(Berekening!AJ32,1),"T",IF(LEFT(Berekening!AJ32,1)&lt;RIGHT(Berekening!AJ32,1),"U","G"))</f>
        <v>G</v>
      </c>
      <c r="AM20" s="166" t="str">
        <f>IF(LEFT(Berekening!AK32,1)&gt;RIGHT(Berekening!AK32,1),"T",IF(LEFT(Berekening!AK32,1)&lt;RIGHT(Berekening!AK32,1),"U","G"))</f>
        <v>G</v>
      </c>
      <c r="AN20" s="166" t="str">
        <f>IF(LEFT(Berekening!AL32,1)&gt;RIGHT(Berekening!AL32,1),"T",IF(LEFT(Berekening!AL32,1)&lt;RIGHT(Berekening!AL32,1),"U","G"))</f>
        <v>G</v>
      </c>
      <c r="AO20" s="166" t="str">
        <f>IF(LEFT(Berekening!AM32,1)&gt;RIGHT(Berekening!AM32,1),"T",IF(LEFT(Berekening!AM32,1)&lt;RIGHT(Berekening!AM32,1),"U","G"))</f>
        <v>G</v>
      </c>
      <c r="AP20" s="166" t="str">
        <f>IF(LEFT(Berekening!AN32,1)&gt;RIGHT(Berekening!AN32,1),"T",IF(LEFT(Berekening!AN32,1)&lt;RIGHT(Berekening!AN32,1),"U","G"))</f>
        <v>G</v>
      </c>
      <c r="AQ20" s="166" t="str">
        <f>IF(LEFT(Berekening!AO32,1)&gt;RIGHT(Berekening!AO32,1),"T",IF(LEFT(Berekening!AO32,1)&lt;RIGHT(Berekening!AO32,1),"U","G"))</f>
        <v>G</v>
      </c>
      <c r="AR20" s="166" t="str">
        <f>IF(LEFT(Berekening!AP32,1)&gt;RIGHT(Berekening!AP32,1),"T",IF(LEFT(Berekening!AP32,1)&lt;RIGHT(Berekening!AP32,1),"U","G"))</f>
        <v>G</v>
      </c>
      <c r="AS20" s="166" t="str">
        <f>IF(LEFT(Berekening!AQ32,1)&gt;RIGHT(Berekening!AQ32,1),"T",IF(LEFT(Berekening!AQ32,1)&lt;RIGHT(Berekening!AQ32,1),"U","G"))</f>
        <v>G</v>
      </c>
      <c r="AT20" s="166" t="str">
        <f>IF(LEFT(Berekening!AR32,1)&gt;RIGHT(Berekening!AR32,1),"T",IF(LEFT(Berekening!AR32,1)&lt;RIGHT(Berekening!AR32,1),"U","G"))</f>
        <v>G</v>
      </c>
      <c r="AU20" s="166" t="str">
        <f>IF(LEFT(Berekening!AS32,1)&gt;RIGHT(Berekening!AS32,1),"T",IF(LEFT(Berekening!AS32,1)&lt;RIGHT(Berekening!AS32,1),"U","G"))</f>
        <v>G</v>
      </c>
      <c r="AV20" s="166" t="str">
        <f>IF(LEFT(Berekening!AT32,1)&gt;RIGHT(Berekening!AT32,1),"T",IF(LEFT(Berekening!AT32,1)&lt;RIGHT(Berekening!AT32,1),"U","G"))</f>
        <v>G</v>
      </c>
    </row>
    <row r="21" spans="3:48">
      <c r="C21" s="163" t="s">
        <v>1433</v>
      </c>
      <c r="D21" s="164" t="s">
        <v>2971</v>
      </c>
      <c r="E21" s="165" t="s">
        <v>1235</v>
      </c>
      <c r="G21" s="166" t="str">
        <f>IF(LEFT(Berekening!E33,1)&gt;RIGHT(Berekening!E33,1),"T",IF(LEFT(Berekening!E33,1)&lt;RIGHT(Berekening!E33,1),"U","G"))</f>
        <v>U</v>
      </c>
      <c r="H21" s="166" t="str">
        <f>IF(LEFT(Berekening!F33,1)&gt;RIGHT(Berekening!F33,1),"T",IF(LEFT(Berekening!F33,1)&lt;RIGHT(Berekening!F33,1),"U","G"))</f>
        <v>U</v>
      </c>
      <c r="I21" s="166" t="str">
        <f>IF(LEFT(Berekening!G33,1)&gt;RIGHT(Berekening!G33,1),"T",IF(LEFT(Berekening!G33,1)&lt;RIGHT(Berekening!G33,1),"U","G"))</f>
        <v>U</v>
      </c>
      <c r="J21" s="166" t="str">
        <f>IF(LEFT(Berekening!H33,1)&gt;RIGHT(Berekening!H33,1),"T",IF(LEFT(Berekening!H33,1)&lt;RIGHT(Berekening!H33,1),"U","G"))</f>
        <v>U</v>
      </c>
      <c r="K21" s="166" t="str">
        <f>IF(LEFT(Berekening!I33,1)&gt;RIGHT(Berekening!I33,1),"T",IF(LEFT(Berekening!I33,1)&lt;RIGHT(Berekening!I33,1),"U","G"))</f>
        <v>U</v>
      </c>
      <c r="L21" s="166" t="str">
        <f>IF(LEFT(Berekening!J33,1)&gt;RIGHT(Berekening!J33,1),"T",IF(LEFT(Berekening!J33,1)&lt;RIGHT(Berekening!J33,1),"U","G"))</f>
        <v>U</v>
      </c>
      <c r="M21" s="166" t="str">
        <f>IF(LEFT(Berekening!K33,1)&gt;RIGHT(Berekening!K33,1),"T",IF(LEFT(Berekening!K33,1)&lt;RIGHT(Berekening!K33,1),"U","G"))</f>
        <v>U</v>
      </c>
      <c r="N21" s="166" t="str">
        <f>IF(LEFT(Berekening!L33,1)&gt;RIGHT(Berekening!L33,1),"T",IF(LEFT(Berekening!L33,1)&lt;RIGHT(Berekening!L33,1),"U","G"))</f>
        <v>U</v>
      </c>
      <c r="O21" s="166" t="str">
        <f>IF(LEFT(Berekening!M33,1)&gt;RIGHT(Berekening!M33,1),"T",IF(LEFT(Berekening!M33,1)&lt;RIGHT(Berekening!M33,1),"U","G"))</f>
        <v>U</v>
      </c>
      <c r="P21" s="166" t="str">
        <f>IF(LEFT(Berekening!N33,1)&gt;RIGHT(Berekening!N33,1),"T",IF(LEFT(Berekening!N33,1)&lt;RIGHT(Berekening!N33,1),"U","G"))</f>
        <v>U</v>
      </c>
      <c r="Q21" s="166" t="str">
        <f>IF(LEFT(Berekening!O33,1)&gt;RIGHT(Berekening!O33,1),"T",IF(LEFT(Berekening!O33,1)&lt;RIGHT(Berekening!O33,1),"U","G"))</f>
        <v>G</v>
      </c>
      <c r="R21" s="166" t="str">
        <f>IF(LEFT(Berekening!P33,1)&gt;RIGHT(Berekening!P33,1),"T",IF(LEFT(Berekening!P33,1)&lt;RIGHT(Berekening!P33,1),"U","G"))</f>
        <v>U</v>
      </c>
      <c r="S21" s="166" t="str">
        <f>IF(LEFT(Berekening!Q33,1)&gt;RIGHT(Berekening!Q33,1),"T",IF(LEFT(Berekening!Q33,1)&lt;RIGHT(Berekening!Q33,1),"U","G"))</f>
        <v>U</v>
      </c>
      <c r="T21" s="166" t="str">
        <f>IF(LEFT(Berekening!R33,1)&gt;RIGHT(Berekening!R33,1),"T",IF(LEFT(Berekening!R33,1)&lt;RIGHT(Berekening!R33,1),"U","G"))</f>
        <v>G</v>
      </c>
      <c r="U21" s="166" t="str">
        <f>IF(LEFT(Berekening!S33,1)&gt;RIGHT(Berekening!S33,1),"T",IF(LEFT(Berekening!S33,1)&lt;RIGHT(Berekening!S33,1),"U","G"))</f>
        <v>T</v>
      </c>
      <c r="V21" s="166" t="str">
        <f>IF(LEFT(Berekening!T33,1)&gt;RIGHT(Berekening!T33,1),"T",IF(LEFT(Berekening!T33,1)&lt;RIGHT(Berekening!T33,1),"U","G"))</f>
        <v>U</v>
      </c>
      <c r="W21" s="166" t="str">
        <f>IF(LEFT(Berekening!U33,1)&gt;RIGHT(Berekening!U33,1),"T",IF(LEFT(Berekening!U33,1)&lt;RIGHT(Berekening!U33,1),"U","G"))</f>
        <v>G</v>
      </c>
      <c r="X21" s="166" t="str">
        <f>IF(LEFT(Berekening!V33,1)&gt;RIGHT(Berekening!V33,1),"T",IF(LEFT(Berekening!V33,1)&lt;RIGHT(Berekening!V33,1),"U","G"))</f>
        <v>G</v>
      </c>
      <c r="Y21" s="166" t="str">
        <f>IF(LEFT(Berekening!W33,1)&gt;RIGHT(Berekening!W33,1),"T",IF(LEFT(Berekening!W33,1)&lt;RIGHT(Berekening!W33,1),"U","G"))</f>
        <v>G</v>
      </c>
      <c r="Z21" s="166" t="str">
        <f>IF(LEFT(Berekening!X33,1)&gt;RIGHT(Berekening!X33,1),"T",IF(LEFT(Berekening!X33,1)&lt;RIGHT(Berekening!X33,1),"U","G"))</f>
        <v>G</v>
      </c>
      <c r="AA21" s="166" t="str">
        <f>IF(LEFT(Berekening!Y33,1)&gt;RIGHT(Berekening!Y33,1),"T",IF(LEFT(Berekening!Y33,1)&lt;RIGHT(Berekening!Y33,1),"U","G"))</f>
        <v>G</v>
      </c>
      <c r="AB21" s="166" t="str">
        <f>IF(LEFT(Berekening!Z33,1)&gt;RIGHT(Berekening!Z33,1),"T",IF(LEFT(Berekening!Z33,1)&lt;RIGHT(Berekening!Z33,1),"U","G"))</f>
        <v>G</v>
      </c>
      <c r="AC21" s="166" t="str">
        <f>IF(LEFT(Berekening!AA33,1)&gt;RIGHT(Berekening!AA33,1),"T",IF(LEFT(Berekening!AA33,1)&lt;RIGHT(Berekening!AA33,1),"U","G"))</f>
        <v>G</v>
      </c>
      <c r="AD21" s="166" t="str">
        <f>IF(LEFT(Berekening!AB33,1)&gt;RIGHT(Berekening!AB33,1),"T",IF(LEFT(Berekening!AB33,1)&lt;RIGHT(Berekening!AB33,1),"U","G"))</f>
        <v>G</v>
      </c>
      <c r="AE21" s="166" t="str">
        <f>IF(LEFT(Berekening!AC33,1)&gt;RIGHT(Berekening!AC33,1),"T",IF(LEFT(Berekening!AC33,1)&lt;RIGHT(Berekening!AC33,1),"U","G"))</f>
        <v>G</v>
      </c>
      <c r="AF21" s="166" t="str">
        <f>IF(LEFT(Berekening!AD33,1)&gt;RIGHT(Berekening!AD33,1),"T",IF(LEFT(Berekening!AD33,1)&lt;RIGHT(Berekening!AD33,1),"U","G"))</f>
        <v>G</v>
      </c>
      <c r="AG21" s="166" t="str">
        <f>IF(LEFT(Berekening!AE33,1)&gt;RIGHT(Berekening!AE33,1),"T",IF(LEFT(Berekening!AE33,1)&lt;RIGHT(Berekening!AE33,1),"U","G"))</f>
        <v>G</v>
      </c>
      <c r="AH21" s="166" t="str">
        <f>IF(LEFT(Berekening!AF33,1)&gt;RIGHT(Berekening!AF33,1),"T",IF(LEFT(Berekening!AF33,1)&lt;RIGHT(Berekening!AF33,1),"U","G"))</f>
        <v>G</v>
      </c>
      <c r="AI21" s="166" t="str">
        <f>IF(LEFT(Berekening!AG33,1)&gt;RIGHT(Berekening!AG33,1),"T",IF(LEFT(Berekening!AG33,1)&lt;RIGHT(Berekening!AG33,1),"U","G"))</f>
        <v>G</v>
      </c>
      <c r="AJ21" s="166" t="str">
        <f>IF(LEFT(Berekening!AH33,1)&gt;RIGHT(Berekening!AH33,1),"T",IF(LEFT(Berekening!AH33,1)&lt;RIGHT(Berekening!AH33,1),"U","G"))</f>
        <v>G</v>
      </c>
      <c r="AK21" s="166" t="str">
        <f>IF(LEFT(Berekening!AI33,1)&gt;RIGHT(Berekening!AI33,1),"T",IF(LEFT(Berekening!AI33,1)&lt;RIGHT(Berekening!AI33,1),"U","G"))</f>
        <v>G</v>
      </c>
      <c r="AL21" s="166" t="str">
        <f>IF(LEFT(Berekening!AJ33,1)&gt;RIGHT(Berekening!AJ33,1),"T",IF(LEFT(Berekening!AJ33,1)&lt;RIGHT(Berekening!AJ33,1),"U","G"))</f>
        <v>G</v>
      </c>
      <c r="AM21" s="166" t="str">
        <f>IF(LEFT(Berekening!AK33,1)&gt;RIGHT(Berekening!AK33,1),"T",IF(LEFT(Berekening!AK33,1)&lt;RIGHT(Berekening!AK33,1),"U","G"))</f>
        <v>G</v>
      </c>
      <c r="AN21" s="166" t="str">
        <f>IF(LEFT(Berekening!AL33,1)&gt;RIGHT(Berekening!AL33,1),"T",IF(LEFT(Berekening!AL33,1)&lt;RIGHT(Berekening!AL33,1),"U","G"))</f>
        <v>G</v>
      </c>
      <c r="AO21" s="166" t="str">
        <f>IF(LEFT(Berekening!AM33,1)&gt;RIGHT(Berekening!AM33,1),"T",IF(LEFT(Berekening!AM33,1)&lt;RIGHT(Berekening!AM33,1),"U","G"))</f>
        <v>G</v>
      </c>
      <c r="AP21" s="166" t="str">
        <f>IF(LEFT(Berekening!AN33,1)&gt;RIGHT(Berekening!AN33,1),"T",IF(LEFT(Berekening!AN33,1)&lt;RIGHT(Berekening!AN33,1),"U","G"))</f>
        <v>G</v>
      </c>
      <c r="AQ21" s="166" t="str">
        <f>IF(LEFT(Berekening!AO33,1)&gt;RIGHT(Berekening!AO33,1),"T",IF(LEFT(Berekening!AO33,1)&lt;RIGHT(Berekening!AO33,1),"U","G"))</f>
        <v>G</v>
      </c>
      <c r="AR21" s="166" t="str">
        <f>IF(LEFT(Berekening!AP33,1)&gt;RIGHT(Berekening!AP33,1),"T",IF(LEFT(Berekening!AP33,1)&lt;RIGHT(Berekening!AP33,1),"U","G"))</f>
        <v>G</v>
      </c>
      <c r="AS21" s="166" t="str">
        <f>IF(LEFT(Berekening!AQ33,1)&gt;RIGHT(Berekening!AQ33,1),"T",IF(LEFT(Berekening!AQ33,1)&lt;RIGHT(Berekening!AQ33,1),"U","G"))</f>
        <v>G</v>
      </c>
      <c r="AT21" s="166" t="str">
        <f>IF(LEFT(Berekening!AR33,1)&gt;RIGHT(Berekening!AR33,1),"T",IF(LEFT(Berekening!AR33,1)&lt;RIGHT(Berekening!AR33,1),"U","G"))</f>
        <v>G</v>
      </c>
      <c r="AU21" s="166" t="str">
        <f>IF(LEFT(Berekening!AS33,1)&gt;RIGHT(Berekening!AS33,1),"T",IF(LEFT(Berekening!AS33,1)&lt;RIGHT(Berekening!AS33,1),"U","G"))</f>
        <v>G</v>
      </c>
      <c r="AV21" s="166" t="str">
        <f>IF(LEFT(Berekening!AT33,1)&gt;RIGHT(Berekening!AT33,1),"T",IF(LEFT(Berekening!AT33,1)&lt;RIGHT(Berekening!AT33,1),"U","G"))</f>
        <v>G</v>
      </c>
    </row>
    <row r="22" spans="3:48">
      <c r="C22" s="163" t="s">
        <v>1822</v>
      </c>
      <c r="D22" s="164" t="s">
        <v>2971</v>
      </c>
      <c r="E22" s="165" t="s">
        <v>1755</v>
      </c>
      <c r="G22" s="166" t="str">
        <f>IF(LEFT(Berekening!E34,1)&gt;RIGHT(Berekening!E34,1),"T",IF(LEFT(Berekening!E34,1)&lt;RIGHT(Berekening!E34,1),"U","G"))</f>
        <v>G</v>
      </c>
      <c r="H22" s="166" t="str">
        <f>IF(LEFT(Berekening!F34,1)&gt;RIGHT(Berekening!F34,1),"T",IF(LEFT(Berekening!F34,1)&lt;RIGHT(Berekening!F34,1),"U","G"))</f>
        <v>U</v>
      </c>
      <c r="I22" s="166" t="str">
        <f>IF(LEFT(Berekening!G34,1)&gt;RIGHT(Berekening!G34,1),"T",IF(LEFT(Berekening!G34,1)&lt;RIGHT(Berekening!G34,1),"U","G"))</f>
        <v>T</v>
      </c>
      <c r="J22" s="166" t="str">
        <f>IF(LEFT(Berekening!H34,1)&gt;RIGHT(Berekening!H34,1),"T",IF(LEFT(Berekening!H34,1)&lt;RIGHT(Berekening!H34,1),"U","G"))</f>
        <v>G</v>
      </c>
      <c r="K22" s="166" t="str">
        <f>IF(LEFT(Berekening!I34,1)&gt;RIGHT(Berekening!I34,1),"T",IF(LEFT(Berekening!I34,1)&lt;RIGHT(Berekening!I34,1),"U","G"))</f>
        <v>U</v>
      </c>
      <c r="L22" s="166" t="str">
        <f>IF(LEFT(Berekening!J34,1)&gt;RIGHT(Berekening!J34,1),"T",IF(LEFT(Berekening!J34,1)&lt;RIGHT(Berekening!J34,1),"U","G"))</f>
        <v>U</v>
      </c>
      <c r="M22" s="166" t="str">
        <f>IF(LEFT(Berekening!K34,1)&gt;RIGHT(Berekening!K34,1),"T",IF(LEFT(Berekening!K34,1)&lt;RIGHT(Berekening!K34,1),"U","G"))</f>
        <v>U</v>
      </c>
      <c r="N22" s="166" t="str">
        <f>IF(LEFT(Berekening!L34,1)&gt;RIGHT(Berekening!L34,1),"T",IF(LEFT(Berekening!L34,1)&lt;RIGHT(Berekening!L34,1),"U","G"))</f>
        <v>U</v>
      </c>
      <c r="O22" s="166" t="str">
        <f>IF(LEFT(Berekening!M34,1)&gt;RIGHT(Berekening!M34,1),"T",IF(LEFT(Berekening!M34,1)&lt;RIGHT(Berekening!M34,1),"U","G"))</f>
        <v>T</v>
      </c>
      <c r="P22" s="166" t="str">
        <f>IF(LEFT(Berekening!N34,1)&gt;RIGHT(Berekening!N34,1),"T",IF(LEFT(Berekening!N34,1)&lt;RIGHT(Berekening!N34,1),"U","G"))</f>
        <v>G</v>
      </c>
      <c r="Q22" s="166" t="str">
        <f>IF(LEFT(Berekening!O34,1)&gt;RIGHT(Berekening!O34,1),"T",IF(LEFT(Berekening!O34,1)&lt;RIGHT(Berekening!O34,1),"U","G"))</f>
        <v>U</v>
      </c>
      <c r="R22" s="166" t="str">
        <f>IF(LEFT(Berekening!P34,1)&gt;RIGHT(Berekening!P34,1),"T",IF(LEFT(Berekening!P34,1)&lt;RIGHT(Berekening!P34,1),"U","G"))</f>
        <v>U</v>
      </c>
      <c r="S22" s="166" t="str">
        <f>IF(LEFT(Berekening!Q34,1)&gt;RIGHT(Berekening!Q34,1),"T",IF(LEFT(Berekening!Q34,1)&lt;RIGHT(Berekening!Q34,1),"U","G"))</f>
        <v>U</v>
      </c>
      <c r="T22" s="166" t="str">
        <f>IF(LEFT(Berekening!R34,1)&gt;RIGHT(Berekening!R34,1),"T",IF(LEFT(Berekening!R34,1)&lt;RIGHT(Berekening!R34,1),"U","G"))</f>
        <v>T</v>
      </c>
      <c r="U22" s="166" t="str">
        <f>IF(LEFT(Berekening!S34,1)&gt;RIGHT(Berekening!S34,1),"T",IF(LEFT(Berekening!S34,1)&lt;RIGHT(Berekening!S34,1),"U","G"))</f>
        <v>T</v>
      </c>
      <c r="V22" s="166" t="str">
        <f>IF(LEFT(Berekening!T34,1)&gt;RIGHT(Berekening!T34,1),"T",IF(LEFT(Berekening!T34,1)&lt;RIGHT(Berekening!T34,1),"U","G"))</f>
        <v>G</v>
      </c>
      <c r="W22" s="166" t="str">
        <f>IF(LEFT(Berekening!U34,1)&gt;RIGHT(Berekening!U34,1),"T",IF(LEFT(Berekening!U34,1)&lt;RIGHT(Berekening!U34,1),"U","G"))</f>
        <v>G</v>
      </c>
      <c r="X22" s="166" t="str">
        <f>IF(LEFT(Berekening!V34,1)&gt;RIGHT(Berekening!V34,1),"T",IF(LEFT(Berekening!V34,1)&lt;RIGHT(Berekening!V34,1),"U","G"))</f>
        <v>G</v>
      </c>
      <c r="Y22" s="166" t="str">
        <f>IF(LEFT(Berekening!W34,1)&gt;RIGHT(Berekening!W34,1),"T",IF(LEFT(Berekening!W34,1)&lt;RIGHT(Berekening!W34,1),"U","G"))</f>
        <v>G</v>
      </c>
      <c r="Z22" s="166" t="str">
        <f>IF(LEFT(Berekening!X34,1)&gt;RIGHT(Berekening!X34,1),"T",IF(LEFT(Berekening!X34,1)&lt;RIGHT(Berekening!X34,1),"U","G"))</f>
        <v>G</v>
      </c>
      <c r="AA22" s="166" t="str">
        <f>IF(LEFT(Berekening!Y34,1)&gt;RIGHT(Berekening!Y34,1),"T",IF(LEFT(Berekening!Y34,1)&lt;RIGHT(Berekening!Y34,1),"U","G"))</f>
        <v>G</v>
      </c>
      <c r="AB22" s="166" t="str">
        <f>IF(LEFT(Berekening!Z34,1)&gt;RIGHT(Berekening!Z34,1),"T",IF(LEFT(Berekening!Z34,1)&lt;RIGHT(Berekening!Z34,1),"U","G"))</f>
        <v>G</v>
      </c>
      <c r="AC22" s="166" t="str">
        <f>IF(LEFT(Berekening!AA34,1)&gt;RIGHT(Berekening!AA34,1),"T",IF(LEFT(Berekening!AA34,1)&lt;RIGHT(Berekening!AA34,1),"U","G"))</f>
        <v>G</v>
      </c>
      <c r="AD22" s="166" t="str">
        <f>IF(LEFT(Berekening!AB34,1)&gt;RIGHT(Berekening!AB34,1),"T",IF(LEFT(Berekening!AB34,1)&lt;RIGHT(Berekening!AB34,1),"U","G"))</f>
        <v>G</v>
      </c>
      <c r="AE22" s="166" t="str">
        <f>IF(LEFT(Berekening!AC34,1)&gt;RIGHT(Berekening!AC34,1),"T",IF(LEFT(Berekening!AC34,1)&lt;RIGHT(Berekening!AC34,1),"U","G"))</f>
        <v>G</v>
      </c>
      <c r="AF22" s="166" t="str">
        <f>IF(LEFT(Berekening!AD34,1)&gt;RIGHT(Berekening!AD34,1),"T",IF(LEFT(Berekening!AD34,1)&lt;RIGHT(Berekening!AD34,1),"U","G"))</f>
        <v>G</v>
      </c>
      <c r="AG22" s="166" t="str">
        <f>IF(LEFT(Berekening!AE34,1)&gt;RIGHT(Berekening!AE34,1),"T",IF(LEFT(Berekening!AE34,1)&lt;RIGHT(Berekening!AE34,1),"U","G"))</f>
        <v>G</v>
      </c>
      <c r="AH22" s="166" t="str">
        <f>IF(LEFT(Berekening!AF34,1)&gt;RIGHT(Berekening!AF34,1),"T",IF(LEFT(Berekening!AF34,1)&lt;RIGHT(Berekening!AF34,1),"U","G"))</f>
        <v>G</v>
      </c>
      <c r="AI22" s="166" t="str">
        <f>IF(LEFT(Berekening!AG34,1)&gt;RIGHT(Berekening!AG34,1),"T",IF(LEFT(Berekening!AG34,1)&lt;RIGHT(Berekening!AG34,1),"U","G"))</f>
        <v>G</v>
      </c>
      <c r="AJ22" s="166" t="str">
        <f>IF(LEFT(Berekening!AH34,1)&gt;RIGHT(Berekening!AH34,1),"T",IF(LEFT(Berekening!AH34,1)&lt;RIGHT(Berekening!AH34,1),"U","G"))</f>
        <v>G</v>
      </c>
      <c r="AK22" s="166" t="str">
        <f>IF(LEFT(Berekening!AI34,1)&gt;RIGHT(Berekening!AI34,1),"T",IF(LEFT(Berekening!AI34,1)&lt;RIGHT(Berekening!AI34,1),"U","G"))</f>
        <v>G</v>
      </c>
      <c r="AL22" s="166" t="str">
        <f>IF(LEFT(Berekening!AJ34,1)&gt;RIGHT(Berekening!AJ34,1),"T",IF(LEFT(Berekening!AJ34,1)&lt;RIGHT(Berekening!AJ34,1),"U","G"))</f>
        <v>G</v>
      </c>
      <c r="AM22" s="166" t="str">
        <f>IF(LEFT(Berekening!AK34,1)&gt;RIGHT(Berekening!AK34,1),"T",IF(LEFT(Berekening!AK34,1)&lt;RIGHT(Berekening!AK34,1),"U","G"))</f>
        <v>G</v>
      </c>
      <c r="AN22" s="166" t="str">
        <f>IF(LEFT(Berekening!AL34,1)&gt;RIGHT(Berekening!AL34,1),"T",IF(LEFT(Berekening!AL34,1)&lt;RIGHT(Berekening!AL34,1),"U","G"))</f>
        <v>G</v>
      </c>
      <c r="AO22" s="166" t="str">
        <f>IF(LEFT(Berekening!AM34,1)&gt;RIGHT(Berekening!AM34,1),"T",IF(LEFT(Berekening!AM34,1)&lt;RIGHT(Berekening!AM34,1),"U","G"))</f>
        <v>G</v>
      </c>
      <c r="AP22" s="166" t="str">
        <f>IF(LEFT(Berekening!AN34,1)&gt;RIGHT(Berekening!AN34,1),"T",IF(LEFT(Berekening!AN34,1)&lt;RIGHT(Berekening!AN34,1),"U","G"))</f>
        <v>G</v>
      </c>
      <c r="AQ22" s="166" t="str">
        <f>IF(LEFT(Berekening!AO34,1)&gt;RIGHT(Berekening!AO34,1),"T",IF(LEFT(Berekening!AO34,1)&lt;RIGHT(Berekening!AO34,1),"U","G"))</f>
        <v>G</v>
      </c>
      <c r="AR22" s="166" t="str">
        <f>IF(LEFT(Berekening!AP34,1)&gt;RIGHT(Berekening!AP34,1),"T",IF(LEFT(Berekening!AP34,1)&lt;RIGHT(Berekening!AP34,1),"U","G"))</f>
        <v>G</v>
      </c>
      <c r="AS22" s="166" t="str">
        <f>IF(LEFT(Berekening!AQ34,1)&gt;RIGHT(Berekening!AQ34,1),"T",IF(LEFT(Berekening!AQ34,1)&lt;RIGHT(Berekening!AQ34,1),"U","G"))</f>
        <v>G</v>
      </c>
      <c r="AT22" s="166" t="str">
        <f>IF(LEFT(Berekening!AR34,1)&gt;RIGHT(Berekening!AR34,1),"T",IF(LEFT(Berekening!AR34,1)&lt;RIGHT(Berekening!AR34,1),"U","G"))</f>
        <v>G</v>
      </c>
      <c r="AU22" s="166" t="str">
        <f>IF(LEFT(Berekening!AS34,1)&gt;RIGHT(Berekening!AS34,1),"T",IF(LEFT(Berekening!AS34,1)&lt;RIGHT(Berekening!AS34,1),"U","G"))</f>
        <v>G</v>
      </c>
      <c r="AV22" s="166" t="str">
        <f>IF(LEFT(Berekening!AT34,1)&gt;RIGHT(Berekening!AT34,1),"T",IF(LEFT(Berekening!AT34,1)&lt;RIGHT(Berekening!AT34,1),"U","G"))</f>
        <v>G</v>
      </c>
    </row>
    <row r="23" spans="3:48">
      <c r="C23" s="163" t="s">
        <v>1324</v>
      </c>
      <c r="D23" s="164" t="s">
        <v>2971</v>
      </c>
      <c r="E23" s="165" t="s">
        <v>1789</v>
      </c>
      <c r="G23" s="166" t="str">
        <f>IF(LEFT(Berekening!E35,1)&gt;RIGHT(Berekening!E35,1),"T",IF(LEFT(Berekening!E35,1)&lt;RIGHT(Berekening!E35,1),"U","G"))</f>
        <v>G</v>
      </c>
      <c r="H23" s="166" t="str">
        <f>IF(LEFT(Berekening!F35,1)&gt;RIGHT(Berekening!F35,1),"T",IF(LEFT(Berekening!F35,1)&lt;RIGHT(Berekening!F35,1),"U","G"))</f>
        <v>U</v>
      </c>
      <c r="I23" s="166" t="str">
        <f>IF(LEFT(Berekening!G35,1)&gt;RIGHT(Berekening!G35,1),"T",IF(LEFT(Berekening!G35,1)&lt;RIGHT(Berekening!G35,1),"U","G"))</f>
        <v>U</v>
      </c>
      <c r="J23" s="166" t="str">
        <f>IF(LEFT(Berekening!H35,1)&gt;RIGHT(Berekening!H35,1),"T",IF(LEFT(Berekening!H35,1)&lt;RIGHT(Berekening!H35,1),"U","G"))</f>
        <v>U</v>
      </c>
      <c r="K23" s="166" t="str">
        <f>IF(LEFT(Berekening!I35,1)&gt;RIGHT(Berekening!I35,1),"T",IF(LEFT(Berekening!I35,1)&lt;RIGHT(Berekening!I35,1),"U","G"))</f>
        <v>G</v>
      </c>
      <c r="L23" s="166" t="str">
        <f>IF(LEFT(Berekening!J35,1)&gt;RIGHT(Berekening!J35,1),"T",IF(LEFT(Berekening!J35,1)&lt;RIGHT(Berekening!J35,1),"U","G"))</f>
        <v>U</v>
      </c>
      <c r="M23" s="166" t="str">
        <f>IF(LEFT(Berekening!K35,1)&gt;RIGHT(Berekening!K35,1),"T",IF(LEFT(Berekening!K35,1)&lt;RIGHT(Berekening!K35,1),"U","G"))</f>
        <v>U</v>
      </c>
      <c r="N23" s="166" t="str">
        <f>IF(LEFT(Berekening!L35,1)&gt;RIGHT(Berekening!L35,1),"T",IF(LEFT(Berekening!L35,1)&lt;RIGHT(Berekening!L35,1),"U","G"))</f>
        <v>U</v>
      </c>
      <c r="O23" s="166" t="str">
        <f>IF(LEFT(Berekening!M35,1)&gt;RIGHT(Berekening!M35,1),"T",IF(LEFT(Berekening!M35,1)&lt;RIGHT(Berekening!M35,1),"U","G"))</f>
        <v>U</v>
      </c>
      <c r="P23" s="166" t="str">
        <f>IF(LEFT(Berekening!N35,1)&gt;RIGHT(Berekening!N35,1),"T",IF(LEFT(Berekening!N35,1)&lt;RIGHT(Berekening!N35,1),"U","G"))</f>
        <v>U</v>
      </c>
      <c r="Q23" s="166" t="str">
        <f>IF(LEFT(Berekening!O35,1)&gt;RIGHT(Berekening!O35,1),"T",IF(LEFT(Berekening!O35,1)&lt;RIGHT(Berekening!O35,1),"U","G"))</f>
        <v>G</v>
      </c>
      <c r="R23" s="166" t="str">
        <f>IF(LEFT(Berekening!P35,1)&gt;RIGHT(Berekening!P35,1),"T",IF(LEFT(Berekening!P35,1)&lt;RIGHT(Berekening!P35,1),"U","G"))</f>
        <v>U</v>
      </c>
      <c r="S23" s="166" t="str">
        <f>IF(LEFT(Berekening!Q35,1)&gt;RIGHT(Berekening!Q35,1),"T",IF(LEFT(Berekening!Q35,1)&lt;RIGHT(Berekening!Q35,1),"U","G"))</f>
        <v>U</v>
      </c>
      <c r="T23" s="166" t="str">
        <f>IF(LEFT(Berekening!R35,1)&gt;RIGHT(Berekening!R35,1),"T",IF(LEFT(Berekening!R35,1)&lt;RIGHT(Berekening!R35,1),"U","G"))</f>
        <v>U</v>
      </c>
      <c r="U23" s="166" t="str">
        <f>IF(LEFT(Berekening!S35,1)&gt;RIGHT(Berekening!S35,1),"T",IF(LEFT(Berekening!S35,1)&lt;RIGHT(Berekening!S35,1),"U","G"))</f>
        <v>T</v>
      </c>
      <c r="V23" s="166" t="str">
        <f>IF(LEFT(Berekening!T35,1)&gt;RIGHT(Berekening!T35,1),"T",IF(LEFT(Berekening!T35,1)&lt;RIGHT(Berekening!T35,1),"U","G"))</f>
        <v>U</v>
      </c>
      <c r="W23" s="166" t="str">
        <f>IF(LEFT(Berekening!U35,1)&gt;RIGHT(Berekening!U35,1),"T",IF(LEFT(Berekening!U35,1)&lt;RIGHT(Berekening!U35,1),"U","G"))</f>
        <v>G</v>
      </c>
      <c r="X23" s="166" t="str">
        <f>IF(LEFT(Berekening!V35,1)&gt;RIGHT(Berekening!V35,1),"T",IF(LEFT(Berekening!V35,1)&lt;RIGHT(Berekening!V35,1),"U","G"))</f>
        <v>G</v>
      </c>
      <c r="Y23" s="166" t="str">
        <f>IF(LEFT(Berekening!W35,1)&gt;RIGHT(Berekening!W35,1),"T",IF(LEFT(Berekening!W35,1)&lt;RIGHT(Berekening!W35,1),"U","G"))</f>
        <v>G</v>
      </c>
      <c r="Z23" s="166" t="str">
        <f>IF(LEFT(Berekening!X35,1)&gt;RIGHT(Berekening!X35,1),"T",IF(LEFT(Berekening!X35,1)&lt;RIGHT(Berekening!X35,1),"U","G"))</f>
        <v>G</v>
      </c>
      <c r="AA23" s="166" t="str">
        <f>IF(LEFT(Berekening!Y35,1)&gt;RIGHT(Berekening!Y35,1),"T",IF(LEFT(Berekening!Y35,1)&lt;RIGHT(Berekening!Y35,1),"U","G"))</f>
        <v>G</v>
      </c>
      <c r="AB23" s="166" t="str">
        <f>IF(LEFT(Berekening!Z35,1)&gt;RIGHT(Berekening!Z35,1),"T",IF(LEFT(Berekening!Z35,1)&lt;RIGHT(Berekening!Z35,1),"U","G"))</f>
        <v>G</v>
      </c>
      <c r="AC23" s="166" t="str">
        <f>IF(LEFT(Berekening!AA35,1)&gt;RIGHT(Berekening!AA35,1),"T",IF(LEFT(Berekening!AA35,1)&lt;RIGHT(Berekening!AA35,1),"U","G"))</f>
        <v>G</v>
      </c>
      <c r="AD23" s="166" t="str">
        <f>IF(LEFT(Berekening!AB35,1)&gt;RIGHT(Berekening!AB35,1),"T",IF(LEFT(Berekening!AB35,1)&lt;RIGHT(Berekening!AB35,1),"U","G"))</f>
        <v>G</v>
      </c>
      <c r="AE23" s="166" t="str">
        <f>IF(LEFT(Berekening!AC35,1)&gt;RIGHT(Berekening!AC35,1),"T",IF(LEFT(Berekening!AC35,1)&lt;RIGHT(Berekening!AC35,1),"U","G"))</f>
        <v>G</v>
      </c>
      <c r="AF23" s="166" t="str">
        <f>IF(LEFT(Berekening!AD35,1)&gt;RIGHT(Berekening!AD35,1),"T",IF(LEFT(Berekening!AD35,1)&lt;RIGHT(Berekening!AD35,1),"U","G"))</f>
        <v>G</v>
      </c>
      <c r="AG23" s="166" t="str">
        <f>IF(LEFT(Berekening!AE35,1)&gt;RIGHT(Berekening!AE35,1),"T",IF(LEFT(Berekening!AE35,1)&lt;RIGHT(Berekening!AE35,1),"U","G"))</f>
        <v>G</v>
      </c>
      <c r="AH23" s="166" t="str">
        <f>IF(LEFT(Berekening!AF35,1)&gt;RIGHT(Berekening!AF35,1),"T",IF(LEFT(Berekening!AF35,1)&lt;RIGHT(Berekening!AF35,1),"U","G"))</f>
        <v>G</v>
      </c>
      <c r="AI23" s="166" t="str">
        <f>IF(LEFT(Berekening!AG35,1)&gt;RIGHT(Berekening!AG35,1),"T",IF(LEFT(Berekening!AG35,1)&lt;RIGHT(Berekening!AG35,1),"U","G"))</f>
        <v>G</v>
      </c>
      <c r="AJ23" s="166" t="str">
        <f>IF(LEFT(Berekening!AH35,1)&gt;RIGHT(Berekening!AH35,1),"T",IF(LEFT(Berekening!AH35,1)&lt;RIGHT(Berekening!AH35,1),"U","G"))</f>
        <v>G</v>
      </c>
      <c r="AK23" s="166" t="str">
        <f>IF(LEFT(Berekening!AI35,1)&gt;RIGHT(Berekening!AI35,1),"T",IF(LEFT(Berekening!AI35,1)&lt;RIGHT(Berekening!AI35,1),"U","G"))</f>
        <v>G</v>
      </c>
      <c r="AL23" s="166" t="str">
        <f>IF(LEFT(Berekening!AJ35,1)&gt;RIGHT(Berekening!AJ35,1),"T",IF(LEFT(Berekening!AJ35,1)&lt;RIGHT(Berekening!AJ35,1),"U","G"))</f>
        <v>G</v>
      </c>
      <c r="AM23" s="166" t="str">
        <f>IF(LEFT(Berekening!AK35,1)&gt;RIGHT(Berekening!AK35,1),"T",IF(LEFT(Berekening!AK35,1)&lt;RIGHT(Berekening!AK35,1),"U","G"))</f>
        <v>G</v>
      </c>
      <c r="AN23" s="166" t="str">
        <f>IF(LEFT(Berekening!AL35,1)&gt;RIGHT(Berekening!AL35,1),"T",IF(LEFT(Berekening!AL35,1)&lt;RIGHT(Berekening!AL35,1),"U","G"))</f>
        <v>G</v>
      </c>
      <c r="AO23" s="166" t="str">
        <f>IF(LEFT(Berekening!AM35,1)&gt;RIGHT(Berekening!AM35,1),"T",IF(LEFT(Berekening!AM35,1)&lt;RIGHT(Berekening!AM35,1),"U","G"))</f>
        <v>G</v>
      </c>
      <c r="AP23" s="166" t="str">
        <f>IF(LEFT(Berekening!AN35,1)&gt;RIGHT(Berekening!AN35,1),"T",IF(LEFT(Berekening!AN35,1)&lt;RIGHT(Berekening!AN35,1),"U","G"))</f>
        <v>G</v>
      </c>
      <c r="AQ23" s="166" t="str">
        <f>IF(LEFT(Berekening!AO35,1)&gt;RIGHT(Berekening!AO35,1),"T",IF(LEFT(Berekening!AO35,1)&lt;RIGHT(Berekening!AO35,1),"U","G"))</f>
        <v>G</v>
      </c>
      <c r="AR23" s="166" t="str">
        <f>IF(LEFT(Berekening!AP35,1)&gt;RIGHT(Berekening!AP35,1),"T",IF(LEFT(Berekening!AP35,1)&lt;RIGHT(Berekening!AP35,1),"U","G"))</f>
        <v>G</v>
      </c>
      <c r="AS23" s="166" t="str">
        <f>IF(LEFT(Berekening!AQ35,1)&gt;RIGHT(Berekening!AQ35,1),"T",IF(LEFT(Berekening!AQ35,1)&lt;RIGHT(Berekening!AQ35,1),"U","G"))</f>
        <v>G</v>
      </c>
      <c r="AT23" s="166" t="str">
        <f>IF(LEFT(Berekening!AR35,1)&gt;RIGHT(Berekening!AR35,1),"T",IF(LEFT(Berekening!AR35,1)&lt;RIGHT(Berekening!AR35,1),"U","G"))</f>
        <v>G</v>
      </c>
      <c r="AU23" s="166" t="str">
        <f>IF(LEFT(Berekening!AS35,1)&gt;RIGHT(Berekening!AS35,1),"T",IF(LEFT(Berekening!AS35,1)&lt;RIGHT(Berekening!AS35,1),"U","G"))</f>
        <v>G</v>
      </c>
      <c r="AV23" s="166" t="str">
        <f>IF(LEFT(Berekening!AT35,1)&gt;RIGHT(Berekening!AT35,1),"T",IF(LEFT(Berekening!AT35,1)&lt;RIGHT(Berekening!AT35,1),"U","G"))</f>
        <v>G</v>
      </c>
    </row>
    <row r="24" spans="3:48">
      <c r="C24" s="163" t="s">
        <v>2689</v>
      </c>
      <c r="D24" s="164" t="s">
        <v>2971</v>
      </c>
      <c r="E24" s="165" t="s">
        <v>1647</v>
      </c>
      <c r="G24" s="166" t="str">
        <f>IF(LEFT(Berekening!E36,1)&gt;RIGHT(Berekening!E36,1),"T",IF(LEFT(Berekening!E36,1)&lt;RIGHT(Berekening!E36,1),"U","G"))</f>
        <v>U</v>
      </c>
      <c r="H24" s="166" t="str">
        <f>IF(LEFT(Berekening!F36,1)&gt;RIGHT(Berekening!F36,1),"T",IF(LEFT(Berekening!F36,1)&lt;RIGHT(Berekening!F36,1),"U","G"))</f>
        <v>U</v>
      </c>
      <c r="I24" s="166" t="str">
        <f>IF(LEFT(Berekening!G36,1)&gt;RIGHT(Berekening!G36,1),"T",IF(LEFT(Berekening!G36,1)&lt;RIGHT(Berekening!G36,1),"U","G"))</f>
        <v>U</v>
      </c>
      <c r="J24" s="166" t="str">
        <f>IF(LEFT(Berekening!H36,1)&gt;RIGHT(Berekening!H36,1),"T",IF(LEFT(Berekening!H36,1)&lt;RIGHT(Berekening!H36,1),"U","G"))</f>
        <v>U</v>
      </c>
      <c r="K24" s="166" t="str">
        <f>IF(LEFT(Berekening!I36,1)&gt;RIGHT(Berekening!I36,1),"T",IF(LEFT(Berekening!I36,1)&lt;RIGHT(Berekening!I36,1),"U","G"))</f>
        <v>U</v>
      </c>
      <c r="L24" s="166" t="str">
        <f>IF(LEFT(Berekening!J36,1)&gt;RIGHT(Berekening!J36,1),"T",IF(LEFT(Berekening!J36,1)&lt;RIGHT(Berekening!J36,1),"U","G"))</f>
        <v>G</v>
      </c>
      <c r="M24" s="166" t="str">
        <f>IF(LEFT(Berekening!K36,1)&gt;RIGHT(Berekening!K36,1),"T",IF(LEFT(Berekening!K36,1)&lt;RIGHT(Berekening!K36,1),"U","G"))</f>
        <v>U</v>
      </c>
      <c r="N24" s="166" t="str">
        <f>IF(LEFT(Berekening!L36,1)&gt;RIGHT(Berekening!L36,1),"T",IF(LEFT(Berekening!L36,1)&lt;RIGHT(Berekening!L36,1),"U","G"))</f>
        <v>U</v>
      </c>
      <c r="O24" s="166" t="str">
        <f>IF(LEFT(Berekening!M36,1)&gt;RIGHT(Berekening!M36,1),"T",IF(LEFT(Berekening!M36,1)&lt;RIGHT(Berekening!M36,1),"U","G"))</f>
        <v>U</v>
      </c>
      <c r="P24" s="166" t="str">
        <f>IF(LEFT(Berekening!N36,1)&gt;RIGHT(Berekening!N36,1),"T",IF(LEFT(Berekening!N36,1)&lt;RIGHT(Berekening!N36,1),"U","G"))</f>
        <v>U</v>
      </c>
      <c r="Q24" s="166" t="str">
        <f>IF(LEFT(Berekening!O36,1)&gt;RIGHT(Berekening!O36,1),"T",IF(LEFT(Berekening!O36,1)&lt;RIGHT(Berekening!O36,1),"U","G"))</f>
        <v>G</v>
      </c>
      <c r="R24" s="166" t="str">
        <f>IF(LEFT(Berekening!P36,1)&gt;RIGHT(Berekening!P36,1),"T",IF(LEFT(Berekening!P36,1)&lt;RIGHT(Berekening!P36,1),"U","G"))</f>
        <v>U</v>
      </c>
      <c r="S24" s="166" t="str">
        <f>IF(LEFT(Berekening!Q36,1)&gt;RIGHT(Berekening!Q36,1),"T",IF(LEFT(Berekening!Q36,1)&lt;RIGHT(Berekening!Q36,1),"U","G"))</f>
        <v>U</v>
      </c>
      <c r="T24" s="166" t="str">
        <f>IF(LEFT(Berekening!R36,1)&gt;RIGHT(Berekening!R36,1),"T",IF(LEFT(Berekening!R36,1)&lt;RIGHT(Berekening!R36,1),"U","G"))</f>
        <v>U</v>
      </c>
      <c r="U24" s="166" t="str">
        <f>IF(LEFT(Berekening!S36,1)&gt;RIGHT(Berekening!S36,1),"T",IF(LEFT(Berekening!S36,1)&lt;RIGHT(Berekening!S36,1),"U","G"))</f>
        <v>U</v>
      </c>
      <c r="V24" s="166" t="str">
        <f>IF(LEFT(Berekening!T36,1)&gt;RIGHT(Berekening!T36,1),"T",IF(LEFT(Berekening!T36,1)&lt;RIGHT(Berekening!T36,1),"U","G"))</f>
        <v>U</v>
      </c>
      <c r="W24" s="166" t="str">
        <f>IF(LEFT(Berekening!U36,1)&gt;RIGHT(Berekening!U36,1),"T",IF(LEFT(Berekening!U36,1)&lt;RIGHT(Berekening!U36,1),"U","G"))</f>
        <v>G</v>
      </c>
      <c r="X24" s="166" t="str">
        <f>IF(LEFT(Berekening!V36,1)&gt;RIGHT(Berekening!V36,1),"T",IF(LEFT(Berekening!V36,1)&lt;RIGHT(Berekening!V36,1),"U","G"))</f>
        <v>G</v>
      </c>
      <c r="Y24" s="166" t="str">
        <f>IF(LEFT(Berekening!W36,1)&gt;RIGHT(Berekening!W36,1),"T",IF(LEFT(Berekening!W36,1)&lt;RIGHT(Berekening!W36,1),"U","G"))</f>
        <v>G</v>
      </c>
      <c r="Z24" s="166" t="str">
        <f>IF(LEFT(Berekening!X36,1)&gt;RIGHT(Berekening!X36,1),"T",IF(LEFT(Berekening!X36,1)&lt;RIGHT(Berekening!X36,1),"U","G"))</f>
        <v>G</v>
      </c>
      <c r="AA24" s="166" t="str">
        <f>IF(LEFT(Berekening!Y36,1)&gt;RIGHT(Berekening!Y36,1),"T",IF(LEFT(Berekening!Y36,1)&lt;RIGHT(Berekening!Y36,1),"U","G"))</f>
        <v>G</v>
      </c>
      <c r="AB24" s="166" t="str">
        <f>IF(LEFT(Berekening!Z36,1)&gt;RIGHT(Berekening!Z36,1),"T",IF(LEFT(Berekening!Z36,1)&lt;RIGHT(Berekening!Z36,1),"U","G"))</f>
        <v>G</v>
      </c>
      <c r="AC24" s="166" t="str">
        <f>IF(LEFT(Berekening!AA36,1)&gt;RIGHT(Berekening!AA36,1),"T",IF(LEFT(Berekening!AA36,1)&lt;RIGHT(Berekening!AA36,1),"U","G"))</f>
        <v>G</v>
      </c>
      <c r="AD24" s="166" t="str">
        <f>IF(LEFT(Berekening!AB36,1)&gt;RIGHT(Berekening!AB36,1),"T",IF(LEFT(Berekening!AB36,1)&lt;RIGHT(Berekening!AB36,1),"U","G"))</f>
        <v>G</v>
      </c>
      <c r="AE24" s="166" t="str">
        <f>IF(LEFT(Berekening!AC36,1)&gt;RIGHT(Berekening!AC36,1),"T",IF(LEFT(Berekening!AC36,1)&lt;RIGHT(Berekening!AC36,1),"U","G"))</f>
        <v>G</v>
      </c>
      <c r="AF24" s="166" t="str">
        <f>IF(LEFT(Berekening!AD36,1)&gt;RIGHT(Berekening!AD36,1),"T",IF(LEFT(Berekening!AD36,1)&lt;RIGHT(Berekening!AD36,1),"U","G"))</f>
        <v>G</v>
      </c>
      <c r="AG24" s="166" t="str">
        <f>IF(LEFT(Berekening!AE36,1)&gt;RIGHT(Berekening!AE36,1),"T",IF(LEFT(Berekening!AE36,1)&lt;RIGHT(Berekening!AE36,1),"U","G"))</f>
        <v>G</v>
      </c>
      <c r="AH24" s="166" t="str">
        <f>IF(LEFT(Berekening!AF36,1)&gt;RIGHT(Berekening!AF36,1),"T",IF(LEFT(Berekening!AF36,1)&lt;RIGHT(Berekening!AF36,1),"U","G"))</f>
        <v>G</v>
      </c>
      <c r="AI24" s="166" t="str">
        <f>IF(LEFT(Berekening!AG36,1)&gt;RIGHT(Berekening!AG36,1),"T",IF(LEFT(Berekening!AG36,1)&lt;RIGHT(Berekening!AG36,1),"U","G"))</f>
        <v>G</v>
      </c>
      <c r="AJ24" s="166" t="str">
        <f>IF(LEFT(Berekening!AH36,1)&gt;RIGHT(Berekening!AH36,1),"T",IF(LEFT(Berekening!AH36,1)&lt;RIGHT(Berekening!AH36,1),"U","G"))</f>
        <v>G</v>
      </c>
      <c r="AK24" s="166" t="str">
        <f>IF(LEFT(Berekening!AI36,1)&gt;RIGHT(Berekening!AI36,1),"T",IF(LEFT(Berekening!AI36,1)&lt;RIGHT(Berekening!AI36,1),"U","G"))</f>
        <v>G</v>
      </c>
      <c r="AL24" s="166" t="str">
        <f>IF(LEFT(Berekening!AJ36,1)&gt;RIGHT(Berekening!AJ36,1),"T",IF(LEFT(Berekening!AJ36,1)&lt;RIGHT(Berekening!AJ36,1),"U","G"))</f>
        <v>G</v>
      </c>
      <c r="AM24" s="166" t="str">
        <f>IF(LEFT(Berekening!AK36,1)&gt;RIGHT(Berekening!AK36,1),"T",IF(LEFT(Berekening!AK36,1)&lt;RIGHT(Berekening!AK36,1),"U","G"))</f>
        <v>G</v>
      </c>
      <c r="AN24" s="166" t="str">
        <f>IF(LEFT(Berekening!AL36,1)&gt;RIGHT(Berekening!AL36,1),"T",IF(LEFT(Berekening!AL36,1)&lt;RIGHT(Berekening!AL36,1),"U","G"))</f>
        <v>G</v>
      </c>
      <c r="AO24" s="166" t="str">
        <f>IF(LEFT(Berekening!AM36,1)&gt;RIGHT(Berekening!AM36,1),"T",IF(LEFT(Berekening!AM36,1)&lt;RIGHT(Berekening!AM36,1),"U","G"))</f>
        <v>G</v>
      </c>
      <c r="AP24" s="166" t="str">
        <f>IF(LEFT(Berekening!AN36,1)&gt;RIGHT(Berekening!AN36,1),"T",IF(LEFT(Berekening!AN36,1)&lt;RIGHT(Berekening!AN36,1),"U","G"))</f>
        <v>G</v>
      </c>
      <c r="AQ24" s="166" t="str">
        <f>IF(LEFT(Berekening!AO36,1)&gt;RIGHT(Berekening!AO36,1),"T",IF(LEFT(Berekening!AO36,1)&lt;RIGHT(Berekening!AO36,1),"U","G"))</f>
        <v>G</v>
      </c>
      <c r="AR24" s="166" t="str">
        <f>IF(LEFT(Berekening!AP36,1)&gt;RIGHT(Berekening!AP36,1),"T",IF(LEFT(Berekening!AP36,1)&lt;RIGHT(Berekening!AP36,1),"U","G"))</f>
        <v>G</v>
      </c>
      <c r="AS24" s="166" t="str">
        <f>IF(LEFT(Berekening!AQ36,1)&gt;RIGHT(Berekening!AQ36,1),"T",IF(LEFT(Berekening!AQ36,1)&lt;RIGHT(Berekening!AQ36,1),"U","G"))</f>
        <v>G</v>
      </c>
      <c r="AT24" s="166" t="str">
        <f>IF(LEFT(Berekening!AR36,1)&gt;RIGHT(Berekening!AR36,1),"T",IF(LEFT(Berekening!AR36,1)&lt;RIGHT(Berekening!AR36,1),"U","G"))</f>
        <v>G</v>
      </c>
      <c r="AU24" s="166" t="str">
        <f>IF(LEFT(Berekening!AS36,1)&gt;RIGHT(Berekening!AS36,1),"T",IF(LEFT(Berekening!AS36,1)&lt;RIGHT(Berekening!AS36,1),"U","G"))</f>
        <v>G</v>
      </c>
      <c r="AV24" s="166" t="str">
        <f>IF(LEFT(Berekening!AT36,1)&gt;RIGHT(Berekening!AT36,1),"T",IF(LEFT(Berekening!AT36,1)&lt;RIGHT(Berekening!AT36,1),"U","G"))</f>
        <v>G</v>
      </c>
    </row>
    <row r="25" spans="3:48">
      <c r="C25" s="163" t="s">
        <v>1262</v>
      </c>
      <c r="D25" s="164" t="s">
        <v>2971</v>
      </c>
      <c r="E25" s="165" t="s">
        <v>1132</v>
      </c>
      <c r="G25" s="166" t="str">
        <f>IF(LEFT(Berekening!E37,1)&gt;RIGHT(Berekening!E37,1),"T",IF(LEFT(Berekening!E37,1)&lt;RIGHT(Berekening!E37,1),"U","G"))</f>
        <v>U</v>
      </c>
      <c r="H25" s="166" t="str">
        <f>IF(LEFT(Berekening!F37,1)&gt;RIGHT(Berekening!F37,1),"T",IF(LEFT(Berekening!F37,1)&lt;RIGHT(Berekening!F37,1),"U","G"))</f>
        <v>U</v>
      </c>
      <c r="I25" s="166" t="str">
        <f>IF(LEFT(Berekening!G37,1)&gt;RIGHT(Berekening!G37,1),"T",IF(LEFT(Berekening!G37,1)&lt;RIGHT(Berekening!G37,1),"U","G"))</f>
        <v>U</v>
      </c>
      <c r="J25" s="166" t="str">
        <f>IF(LEFT(Berekening!H37,1)&gt;RIGHT(Berekening!H37,1),"T",IF(LEFT(Berekening!H37,1)&lt;RIGHT(Berekening!H37,1),"U","G"))</f>
        <v>U</v>
      </c>
      <c r="K25" s="166" t="str">
        <f>IF(LEFT(Berekening!I37,1)&gt;RIGHT(Berekening!I37,1),"T",IF(LEFT(Berekening!I37,1)&lt;RIGHT(Berekening!I37,1),"U","G"))</f>
        <v>U</v>
      </c>
      <c r="L25" s="166" t="str">
        <f>IF(LEFT(Berekening!J37,1)&gt;RIGHT(Berekening!J37,1),"T",IF(LEFT(Berekening!J37,1)&lt;RIGHT(Berekening!J37,1),"U","G"))</f>
        <v>U</v>
      </c>
      <c r="M25" s="166" t="str">
        <f>IF(LEFT(Berekening!K37,1)&gt;RIGHT(Berekening!K37,1),"T",IF(LEFT(Berekening!K37,1)&lt;RIGHT(Berekening!K37,1),"U","G"))</f>
        <v>U</v>
      </c>
      <c r="N25" s="166" t="str">
        <f>IF(LEFT(Berekening!L37,1)&gt;RIGHT(Berekening!L37,1),"T",IF(LEFT(Berekening!L37,1)&lt;RIGHT(Berekening!L37,1),"U","G"))</f>
        <v>U</v>
      </c>
      <c r="O25" s="166" t="str">
        <f>IF(LEFT(Berekening!M37,1)&gt;RIGHT(Berekening!M37,1),"T",IF(LEFT(Berekening!M37,1)&lt;RIGHT(Berekening!M37,1),"U","G"))</f>
        <v>U</v>
      </c>
      <c r="P25" s="166" t="str">
        <f>IF(LEFT(Berekening!N37,1)&gt;RIGHT(Berekening!N37,1),"T",IF(LEFT(Berekening!N37,1)&lt;RIGHT(Berekening!N37,1),"U","G"))</f>
        <v>U</v>
      </c>
      <c r="Q25" s="166" t="str">
        <f>IF(LEFT(Berekening!O37,1)&gt;RIGHT(Berekening!O37,1),"T",IF(LEFT(Berekening!O37,1)&lt;RIGHT(Berekening!O37,1),"U","G"))</f>
        <v>U</v>
      </c>
      <c r="R25" s="166" t="str">
        <f>IF(LEFT(Berekening!P37,1)&gt;RIGHT(Berekening!P37,1),"T",IF(LEFT(Berekening!P37,1)&lt;RIGHT(Berekening!P37,1),"U","G"))</f>
        <v>U</v>
      </c>
      <c r="S25" s="166" t="str">
        <f>IF(LEFT(Berekening!Q37,1)&gt;RIGHT(Berekening!Q37,1),"T",IF(LEFT(Berekening!Q37,1)&lt;RIGHT(Berekening!Q37,1),"U","G"))</f>
        <v>U</v>
      </c>
      <c r="T25" s="166" t="str">
        <f>IF(LEFT(Berekening!R37,1)&gt;RIGHT(Berekening!R37,1),"T",IF(LEFT(Berekening!R37,1)&lt;RIGHT(Berekening!R37,1),"U","G"))</f>
        <v>U</v>
      </c>
      <c r="U25" s="166" t="str">
        <f>IF(LEFT(Berekening!S37,1)&gt;RIGHT(Berekening!S37,1),"T",IF(LEFT(Berekening!S37,1)&lt;RIGHT(Berekening!S37,1),"U","G"))</f>
        <v>U</v>
      </c>
      <c r="V25" s="166" t="str">
        <f>IF(LEFT(Berekening!T37,1)&gt;RIGHT(Berekening!T37,1),"T",IF(LEFT(Berekening!T37,1)&lt;RIGHT(Berekening!T37,1),"U","G"))</f>
        <v>U</v>
      </c>
      <c r="W25" s="166" t="str">
        <f>IF(LEFT(Berekening!U37,1)&gt;RIGHT(Berekening!U37,1),"T",IF(LEFT(Berekening!U37,1)&lt;RIGHT(Berekening!U37,1),"U","G"))</f>
        <v>G</v>
      </c>
      <c r="X25" s="166" t="str">
        <f>IF(LEFT(Berekening!V37,1)&gt;RIGHT(Berekening!V37,1),"T",IF(LEFT(Berekening!V37,1)&lt;RIGHT(Berekening!V37,1),"U","G"))</f>
        <v>G</v>
      </c>
      <c r="Y25" s="166" t="str">
        <f>IF(LEFT(Berekening!W37,1)&gt;RIGHT(Berekening!W37,1),"T",IF(LEFT(Berekening!W37,1)&lt;RIGHT(Berekening!W37,1),"U","G"))</f>
        <v>G</v>
      </c>
      <c r="Z25" s="166" t="str">
        <f>IF(LEFT(Berekening!X37,1)&gt;RIGHT(Berekening!X37,1),"T",IF(LEFT(Berekening!X37,1)&lt;RIGHT(Berekening!X37,1),"U","G"))</f>
        <v>G</v>
      </c>
      <c r="AA25" s="166" t="str">
        <f>IF(LEFT(Berekening!Y37,1)&gt;RIGHT(Berekening!Y37,1),"T",IF(LEFT(Berekening!Y37,1)&lt;RIGHT(Berekening!Y37,1),"U","G"))</f>
        <v>G</v>
      </c>
      <c r="AB25" s="166" t="str">
        <f>IF(LEFT(Berekening!Z37,1)&gt;RIGHT(Berekening!Z37,1),"T",IF(LEFT(Berekening!Z37,1)&lt;RIGHT(Berekening!Z37,1),"U","G"))</f>
        <v>G</v>
      </c>
      <c r="AC25" s="166" t="str">
        <f>IF(LEFT(Berekening!AA37,1)&gt;RIGHT(Berekening!AA37,1),"T",IF(LEFT(Berekening!AA37,1)&lt;RIGHT(Berekening!AA37,1),"U","G"))</f>
        <v>G</v>
      </c>
      <c r="AD25" s="166" t="str">
        <f>IF(LEFT(Berekening!AB37,1)&gt;RIGHT(Berekening!AB37,1),"T",IF(LEFT(Berekening!AB37,1)&lt;RIGHT(Berekening!AB37,1),"U","G"))</f>
        <v>G</v>
      </c>
      <c r="AE25" s="166" t="str">
        <f>IF(LEFT(Berekening!AC37,1)&gt;RIGHT(Berekening!AC37,1),"T",IF(LEFT(Berekening!AC37,1)&lt;RIGHT(Berekening!AC37,1),"U","G"))</f>
        <v>G</v>
      </c>
      <c r="AF25" s="166" t="str">
        <f>IF(LEFT(Berekening!AD37,1)&gt;RIGHT(Berekening!AD37,1),"T",IF(LEFT(Berekening!AD37,1)&lt;RIGHT(Berekening!AD37,1),"U","G"))</f>
        <v>G</v>
      </c>
      <c r="AG25" s="166" t="str">
        <f>IF(LEFT(Berekening!AE37,1)&gt;RIGHT(Berekening!AE37,1),"T",IF(LEFT(Berekening!AE37,1)&lt;RIGHT(Berekening!AE37,1),"U","G"))</f>
        <v>G</v>
      </c>
      <c r="AH25" s="166" t="str">
        <f>IF(LEFT(Berekening!AF37,1)&gt;RIGHT(Berekening!AF37,1),"T",IF(LEFT(Berekening!AF37,1)&lt;RIGHT(Berekening!AF37,1),"U","G"))</f>
        <v>G</v>
      </c>
      <c r="AI25" s="166" t="str">
        <f>IF(LEFT(Berekening!AG37,1)&gt;RIGHT(Berekening!AG37,1),"T",IF(LEFT(Berekening!AG37,1)&lt;RIGHT(Berekening!AG37,1),"U","G"))</f>
        <v>G</v>
      </c>
      <c r="AJ25" s="166" t="str">
        <f>IF(LEFT(Berekening!AH37,1)&gt;RIGHT(Berekening!AH37,1),"T",IF(LEFT(Berekening!AH37,1)&lt;RIGHT(Berekening!AH37,1),"U","G"))</f>
        <v>G</v>
      </c>
      <c r="AK25" s="166" t="str">
        <f>IF(LEFT(Berekening!AI37,1)&gt;RIGHT(Berekening!AI37,1),"T",IF(LEFT(Berekening!AI37,1)&lt;RIGHT(Berekening!AI37,1),"U","G"))</f>
        <v>G</v>
      </c>
      <c r="AL25" s="166" t="str">
        <f>IF(LEFT(Berekening!AJ37,1)&gt;RIGHT(Berekening!AJ37,1),"T",IF(LEFT(Berekening!AJ37,1)&lt;RIGHT(Berekening!AJ37,1),"U","G"))</f>
        <v>G</v>
      </c>
      <c r="AM25" s="166" t="str">
        <f>IF(LEFT(Berekening!AK37,1)&gt;RIGHT(Berekening!AK37,1),"T",IF(LEFT(Berekening!AK37,1)&lt;RIGHT(Berekening!AK37,1),"U","G"))</f>
        <v>G</v>
      </c>
      <c r="AN25" s="166" t="str">
        <f>IF(LEFT(Berekening!AL37,1)&gt;RIGHT(Berekening!AL37,1),"T",IF(LEFT(Berekening!AL37,1)&lt;RIGHT(Berekening!AL37,1),"U","G"))</f>
        <v>G</v>
      </c>
      <c r="AO25" s="166" t="str">
        <f>IF(LEFT(Berekening!AM37,1)&gt;RIGHT(Berekening!AM37,1),"T",IF(LEFT(Berekening!AM37,1)&lt;RIGHT(Berekening!AM37,1),"U","G"))</f>
        <v>G</v>
      </c>
      <c r="AP25" s="166" t="str">
        <f>IF(LEFT(Berekening!AN37,1)&gt;RIGHT(Berekening!AN37,1),"T",IF(LEFT(Berekening!AN37,1)&lt;RIGHT(Berekening!AN37,1),"U","G"))</f>
        <v>G</v>
      </c>
      <c r="AQ25" s="166" t="str">
        <f>IF(LEFT(Berekening!AO37,1)&gt;RIGHT(Berekening!AO37,1),"T",IF(LEFT(Berekening!AO37,1)&lt;RIGHT(Berekening!AO37,1),"U","G"))</f>
        <v>G</v>
      </c>
      <c r="AR25" s="166" t="str">
        <f>IF(LEFT(Berekening!AP37,1)&gt;RIGHT(Berekening!AP37,1),"T",IF(LEFT(Berekening!AP37,1)&lt;RIGHT(Berekening!AP37,1),"U","G"))</f>
        <v>G</v>
      </c>
      <c r="AS25" s="166" t="str">
        <f>IF(LEFT(Berekening!AQ37,1)&gt;RIGHT(Berekening!AQ37,1),"T",IF(LEFT(Berekening!AQ37,1)&lt;RIGHT(Berekening!AQ37,1),"U","G"))</f>
        <v>G</v>
      </c>
      <c r="AT25" s="166" t="str">
        <f>IF(LEFT(Berekening!AR37,1)&gt;RIGHT(Berekening!AR37,1),"T",IF(LEFT(Berekening!AR37,1)&lt;RIGHT(Berekening!AR37,1),"U","G"))</f>
        <v>G</v>
      </c>
      <c r="AU25" s="166" t="str">
        <f>IF(LEFT(Berekening!AS37,1)&gt;RIGHT(Berekening!AS37,1),"T",IF(LEFT(Berekening!AS37,1)&lt;RIGHT(Berekening!AS37,1),"U","G"))</f>
        <v>G</v>
      </c>
      <c r="AV25" s="166" t="str">
        <f>IF(LEFT(Berekening!AT37,1)&gt;RIGHT(Berekening!AT37,1),"T",IF(LEFT(Berekening!AT37,1)&lt;RIGHT(Berekening!AT37,1),"U","G"))</f>
        <v>G</v>
      </c>
    </row>
    <row r="26" spans="3:48">
      <c r="C26" s="163" t="s">
        <v>1889</v>
      </c>
      <c r="D26" s="164" t="s">
        <v>2971</v>
      </c>
      <c r="E26" s="165" t="s">
        <v>1043</v>
      </c>
      <c r="G26" s="166" t="str">
        <f>IF(LEFT(Berekening!E38,1)&gt;RIGHT(Berekening!E38,1),"T",IF(LEFT(Berekening!E38,1)&lt;RIGHT(Berekening!E38,1),"U","G"))</f>
        <v>T</v>
      </c>
      <c r="H26" s="166" t="str">
        <f>IF(LEFT(Berekening!F38,1)&gt;RIGHT(Berekening!F38,1),"T",IF(LEFT(Berekening!F38,1)&lt;RIGHT(Berekening!F38,1),"U","G"))</f>
        <v>T</v>
      </c>
      <c r="I26" s="166" t="str">
        <f>IF(LEFT(Berekening!G38,1)&gt;RIGHT(Berekening!G38,1),"T",IF(LEFT(Berekening!G38,1)&lt;RIGHT(Berekening!G38,1),"U","G"))</f>
        <v>T</v>
      </c>
      <c r="J26" s="166" t="str">
        <f>IF(LEFT(Berekening!H38,1)&gt;RIGHT(Berekening!H38,1),"T",IF(LEFT(Berekening!H38,1)&lt;RIGHT(Berekening!H38,1),"U","G"))</f>
        <v>T</v>
      </c>
      <c r="K26" s="166" t="str">
        <f>IF(LEFT(Berekening!I38,1)&gt;RIGHT(Berekening!I38,1),"T",IF(LEFT(Berekening!I38,1)&lt;RIGHT(Berekening!I38,1),"U","G"))</f>
        <v>T</v>
      </c>
      <c r="L26" s="166" t="str">
        <f>IF(LEFT(Berekening!J38,1)&gt;RIGHT(Berekening!J38,1),"T",IF(LEFT(Berekening!J38,1)&lt;RIGHT(Berekening!J38,1),"U","G"))</f>
        <v>G</v>
      </c>
      <c r="M26" s="166" t="str">
        <f>IF(LEFT(Berekening!K38,1)&gt;RIGHT(Berekening!K38,1),"T",IF(LEFT(Berekening!K38,1)&lt;RIGHT(Berekening!K38,1),"U","G"))</f>
        <v>T</v>
      </c>
      <c r="N26" s="166" t="str">
        <f>IF(LEFT(Berekening!L38,1)&gt;RIGHT(Berekening!L38,1),"T",IF(LEFT(Berekening!L38,1)&lt;RIGHT(Berekening!L38,1),"U","G"))</f>
        <v>T</v>
      </c>
      <c r="O26" s="166" t="str">
        <f>IF(LEFT(Berekening!M38,1)&gt;RIGHT(Berekening!M38,1),"T",IF(LEFT(Berekening!M38,1)&lt;RIGHT(Berekening!M38,1),"U","G"))</f>
        <v>T</v>
      </c>
      <c r="P26" s="166" t="str">
        <f>IF(LEFT(Berekening!N38,1)&gt;RIGHT(Berekening!N38,1),"T",IF(LEFT(Berekening!N38,1)&lt;RIGHT(Berekening!N38,1),"U","G"))</f>
        <v>T</v>
      </c>
      <c r="Q26" s="166" t="str">
        <f>IF(LEFT(Berekening!O38,1)&gt;RIGHT(Berekening!O38,1),"T",IF(LEFT(Berekening!O38,1)&lt;RIGHT(Berekening!O38,1),"U","G"))</f>
        <v>T</v>
      </c>
      <c r="R26" s="166" t="str">
        <f>IF(LEFT(Berekening!P38,1)&gt;RIGHT(Berekening!P38,1),"T",IF(LEFT(Berekening!P38,1)&lt;RIGHT(Berekening!P38,1),"U","G"))</f>
        <v>T</v>
      </c>
      <c r="S26" s="166" t="str">
        <f>IF(LEFT(Berekening!Q38,1)&gt;RIGHT(Berekening!Q38,1),"T",IF(LEFT(Berekening!Q38,1)&lt;RIGHT(Berekening!Q38,1),"U","G"))</f>
        <v>T</v>
      </c>
      <c r="T26" s="166" t="str">
        <f>IF(LEFT(Berekening!R38,1)&gt;RIGHT(Berekening!R38,1),"T",IF(LEFT(Berekening!R38,1)&lt;RIGHT(Berekening!R38,1),"U","G"))</f>
        <v>T</v>
      </c>
      <c r="U26" s="166" t="str">
        <f>IF(LEFT(Berekening!S38,1)&gt;RIGHT(Berekening!S38,1),"T",IF(LEFT(Berekening!S38,1)&lt;RIGHT(Berekening!S38,1),"U","G"))</f>
        <v>T</v>
      </c>
      <c r="V26" s="166" t="str">
        <f>IF(LEFT(Berekening!T38,1)&gt;RIGHT(Berekening!T38,1),"T",IF(LEFT(Berekening!T38,1)&lt;RIGHT(Berekening!T38,1),"U","G"))</f>
        <v>T</v>
      </c>
      <c r="W26" s="166" t="str">
        <f>IF(LEFT(Berekening!U38,1)&gt;RIGHT(Berekening!U38,1),"T",IF(LEFT(Berekening!U38,1)&lt;RIGHT(Berekening!U38,1),"U","G"))</f>
        <v>G</v>
      </c>
      <c r="X26" s="166" t="str">
        <f>IF(LEFT(Berekening!V38,1)&gt;RIGHT(Berekening!V38,1),"T",IF(LEFT(Berekening!V38,1)&lt;RIGHT(Berekening!V38,1),"U","G"))</f>
        <v>G</v>
      </c>
      <c r="Y26" s="166" t="str">
        <f>IF(LEFT(Berekening!W38,1)&gt;RIGHT(Berekening!W38,1),"T",IF(LEFT(Berekening!W38,1)&lt;RIGHT(Berekening!W38,1),"U","G"))</f>
        <v>G</v>
      </c>
      <c r="Z26" s="166" t="str">
        <f>IF(LEFT(Berekening!X38,1)&gt;RIGHT(Berekening!X38,1),"T",IF(LEFT(Berekening!X38,1)&lt;RIGHT(Berekening!X38,1),"U","G"))</f>
        <v>G</v>
      </c>
      <c r="AA26" s="166" t="str">
        <f>IF(LEFT(Berekening!Y38,1)&gt;RIGHT(Berekening!Y38,1),"T",IF(LEFT(Berekening!Y38,1)&lt;RIGHT(Berekening!Y38,1),"U","G"))</f>
        <v>G</v>
      </c>
      <c r="AB26" s="166" t="str">
        <f>IF(LEFT(Berekening!Z38,1)&gt;RIGHT(Berekening!Z38,1),"T",IF(LEFT(Berekening!Z38,1)&lt;RIGHT(Berekening!Z38,1),"U","G"))</f>
        <v>G</v>
      </c>
      <c r="AC26" s="166" t="str">
        <f>IF(LEFT(Berekening!AA38,1)&gt;RIGHT(Berekening!AA38,1),"T",IF(LEFT(Berekening!AA38,1)&lt;RIGHT(Berekening!AA38,1),"U","G"))</f>
        <v>G</v>
      </c>
      <c r="AD26" s="166" t="str">
        <f>IF(LEFT(Berekening!AB38,1)&gt;RIGHT(Berekening!AB38,1),"T",IF(LEFT(Berekening!AB38,1)&lt;RIGHT(Berekening!AB38,1),"U","G"))</f>
        <v>G</v>
      </c>
      <c r="AE26" s="166" t="str">
        <f>IF(LEFT(Berekening!AC38,1)&gt;RIGHT(Berekening!AC38,1),"T",IF(LEFT(Berekening!AC38,1)&lt;RIGHT(Berekening!AC38,1),"U","G"))</f>
        <v>G</v>
      </c>
      <c r="AF26" s="166" t="str">
        <f>IF(LEFT(Berekening!AD38,1)&gt;RIGHT(Berekening!AD38,1),"T",IF(LEFT(Berekening!AD38,1)&lt;RIGHT(Berekening!AD38,1),"U","G"))</f>
        <v>G</v>
      </c>
      <c r="AG26" s="166" t="str">
        <f>IF(LEFT(Berekening!AE38,1)&gt;RIGHT(Berekening!AE38,1),"T",IF(LEFT(Berekening!AE38,1)&lt;RIGHT(Berekening!AE38,1),"U","G"))</f>
        <v>G</v>
      </c>
      <c r="AH26" s="166" t="str">
        <f>IF(LEFT(Berekening!AF38,1)&gt;RIGHT(Berekening!AF38,1),"T",IF(LEFT(Berekening!AF38,1)&lt;RIGHT(Berekening!AF38,1),"U","G"))</f>
        <v>G</v>
      </c>
      <c r="AI26" s="166" t="str">
        <f>IF(LEFT(Berekening!AG38,1)&gt;RIGHT(Berekening!AG38,1),"T",IF(LEFT(Berekening!AG38,1)&lt;RIGHT(Berekening!AG38,1),"U","G"))</f>
        <v>G</v>
      </c>
      <c r="AJ26" s="166" t="str">
        <f>IF(LEFT(Berekening!AH38,1)&gt;RIGHT(Berekening!AH38,1),"T",IF(LEFT(Berekening!AH38,1)&lt;RIGHT(Berekening!AH38,1),"U","G"))</f>
        <v>G</v>
      </c>
      <c r="AK26" s="166" t="str">
        <f>IF(LEFT(Berekening!AI38,1)&gt;RIGHT(Berekening!AI38,1),"T",IF(LEFT(Berekening!AI38,1)&lt;RIGHT(Berekening!AI38,1),"U","G"))</f>
        <v>G</v>
      </c>
      <c r="AL26" s="166" t="str">
        <f>IF(LEFT(Berekening!AJ38,1)&gt;RIGHT(Berekening!AJ38,1),"T",IF(LEFT(Berekening!AJ38,1)&lt;RIGHT(Berekening!AJ38,1),"U","G"))</f>
        <v>G</v>
      </c>
      <c r="AM26" s="166" t="str">
        <f>IF(LEFT(Berekening!AK38,1)&gt;RIGHT(Berekening!AK38,1),"T",IF(LEFT(Berekening!AK38,1)&lt;RIGHT(Berekening!AK38,1),"U","G"))</f>
        <v>G</v>
      </c>
      <c r="AN26" s="166" t="str">
        <f>IF(LEFT(Berekening!AL38,1)&gt;RIGHT(Berekening!AL38,1),"T",IF(LEFT(Berekening!AL38,1)&lt;RIGHT(Berekening!AL38,1),"U","G"))</f>
        <v>G</v>
      </c>
      <c r="AO26" s="166" t="str">
        <f>IF(LEFT(Berekening!AM38,1)&gt;RIGHT(Berekening!AM38,1),"T",IF(LEFT(Berekening!AM38,1)&lt;RIGHT(Berekening!AM38,1),"U","G"))</f>
        <v>G</v>
      </c>
      <c r="AP26" s="166" t="str">
        <f>IF(LEFT(Berekening!AN38,1)&gt;RIGHT(Berekening!AN38,1),"T",IF(LEFT(Berekening!AN38,1)&lt;RIGHT(Berekening!AN38,1),"U","G"))</f>
        <v>G</v>
      </c>
      <c r="AQ26" s="166" t="str">
        <f>IF(LEFT(Berekening!AO38,1)&gt;RIGHT(Berekening!AO38,1),"T",IF(LEFT(Berekening!AO38,1)&lt;RIGHT(Berekening!AO38,1),"U","G"))</f>
        <v>G</v>
      </c>
      <c r="AR26" s="166" t="str">
        <f>IF(LEFT(Berekening!AP38,1)&gt;RIGHT(Berekening!AP38,1),"T",IF(LEFT(Berekening!AP38,1)&lt;RIGHT(Berekening!AP38,1),"U","G"))</f>
        <v>G</v>
      </c>
      <c r="AS26" s="166" t="str">
        <f>IF(LEFT(Berekening!AQ38,1)&gt;RIGHT(Berekening!AQ38,1),"T",IF(LEFT(Berekening!AQ38,1)&lt;RIGHT(Berekening!AQ38,1),"U","G"))</f>
        <v>G</v>
      </c>
      <c r="AT26" s="166" t="str">
        <f>IF(LEFT(Berekening!AR38,1)&gt;RIGHT(Berekening!AR38,1),"T",IF(LEFT(Berekening!AR38,1)&lt;RIGHT(Berekening!AR38,1),"U","G"))</f>
        <v>G</v>
      </c>
      <c r="AU26" s="166" t="str">
        <f>IF(LEFT(Berekening!AS38,1)&gt;RIGHT(Berekening!AS38,1),"T",IF(LEFT(Berekening!AS38,1)&lt;RIGHT(Berekening!AS38,1),"U","G"))</f>
        <v>G</v>
      </c>
      <c r="AV26" s="166" t="str">
        <f>IF(LEFT(Berekening!AT38,1)&gt;RIGHT(Berekening!AT38,1),"T",IF(LEFT(Berekening!AT38,1)&lt;RIGHT(Berekening!AT38,1),"U","G"))</f>
        <v>G</v>
      </c>
    </row>
    <row r="27" spans="3:48">
      <c r="C27" s="163" t="s">
        <v>1608</v>
      </c>
      <c r="D27" s="164" t="s">
        <v>2971</v>
      </c>
      <c r="E27" s="165" t="s">
        <v>1468</v>
      </c>
      <c r="G27" s="166" t="str">
        <f>IF(LEFT(Berekening!E39,1)&gt;RIGHT(Berekening!E39,1),"T",IF(LEFT(Berekening!E39,1)&lt;RIGHT(Berekening!E39,1),"U","G"))</f>
        <v>U</v>
      </c>
      <c r="H27" s="166" t="str">
        <f>IF(LEFT(Berekening!F39,1)&gt;RIGHT(Berekening!F39,1),"T",IF(LEFT(Berekening!F39,1)&lt;RIGHT(Berekening!F39,1),"U","G"))</f>
        <v>U</v>
      </c>
      <c r="I27" s="166" t="str">
        <f>IF(LEFT(Berekening!G39,1)&gt;RIGHT(Berekening!G39,1),"T",IF(LEFT(Berekening!G39,1)&lt;RIGHT(Berekening!G39,1),"U","G"))</f>
        <v>U</v>
      </c>
      <c r="J27" s="166" t="str">
        <f>IF(LEFT(Berekening!H39,1)&gt;RIGHT(Berekening!H39,1),"T",IF(LEFT(Berekening!H39,1)&lt;RIGHT(Berekening!H39,1),"U","G"))</f>
        <v>U</v>
      </c>
      <c r="K27" s="166" t="str">
        <f>IF(LEFT(Berekening!I39,1)&gt;RIGHT(Berekening!I39,1),"T",IF(LEFT(Berekening!I39,1)&lt;RIGHT(Berekening!I39,1),"U","G"))</f>
        <v>G</v>
      </c>
      <c r="L27" s="166" t="str">
        <f>IF(LEFT(Berekening!J39,1)&gt;RIGHT(Berekening!J39,1),"T",IF(LEFT(Berekening!J39,1)&lt;RIGHT(Berekening!J39,1),"U","G"))</f>
        <v>G</v>
      </c>
      <c r="M27" s="166" t="str">
        <f>IF(LEFT(Berekening!K39,1)&gt;RIGHT(Berekening!K39,1),"T",IF(LEFT(Berekening!K39,1)&lt;RIGHT(Berekening!K39,1),"U","G"))</f>
        <v>U</v>
      </c>
      <c r="N27" s="166" t="str">
        <f>IF(LEFT(Berekening!L39,1)&gt;RIGHT(Berekening!L39,1),"T",IF(LEFT(Berekening!L39,1)&lt;RIGHT(Berekening!L39,1),"U","G"))</f>
        <v>U</v>
      </c>
      <c r="O27" s="166" t="str">
        <f>IF(LEFT(Berekening!M39,1)&gt;RIGHT(Berekening!M39,1),"T",IF(LEFT(Berekening!M39,1)&lt;RIGHT(Berekening!M39,1),"U","G"))</f>
        <v>U</v>
      </c>
      <c r="P27" s="166" t="str">
        <f>IF(LEFT(Berekening!N39,1)&gt;RIGHT(Berekening!N39,1),"T",IF(LEFT(Berekening!N39,1)&lt;RIGHT(Berekening!N39,1),"U","G"))</f>
        <v>U</v>
      </c>
      <c r="Q27" s="166" t="str">
        <f>IF(LEFT(Berekening!O39,1)&gt;RIGHT(Berekening!O39,1),"T",IF(LEFT(Berekening!O39,1)&lt;RIGHT(Berekening!O39,1),"U","G"))</f>
        <v>U</v>
      </c>
      <c r="R27" s="166" t="str">
        <f>IF(LEFT(Berekening!P39,1)&gt;RIGHT(Berekening!P39,1),"T",IF(LEFT(Berekening!P39,1)&lt;RIGHT(Berekening!P39,1),"U","G"))</f>
        <v>G</v>
      </c>
      <c r="S27" s="166" t="str">
        <f>IF(LEFT(Berekening!Q39,1)&gt;RIGHT(Berekening!Q39,1),"T",IF(LEFT(Berekening!Q39,1)&lt;RIGHT(Berekening!Q39,1),"U","G"))</f>
        <v>U</v>
      </c>
      <c r="T27" s="166" t="str">
        <f>IF(LEFT(Berekening!R39,1)&gt;RIGHT(Berekening!R39,1),"T",IF(LEFT(Berekening!R39,1)&lt;RIGHT(Berekening!R39,1),"U","G"))</f>
        <v>U</v>
      </c>
      <c r="U27" s="166" t="str">
        <f>IF(LEFT(Berekening!S39,1)&gt;RIGHT(Berekening!S39,1),"T",IF(LEFT(Berekening!S39,1)&lt;RIGHT(Berekening!S39,1),"U","G"))</f>
        <v>U</v>
      </c>
      <c r="V27" s="166" t="str">
        <f>IF(LEFT(Berekening!T39,1)&gt;RIGHT(Berekening!T39,1),"T",IF(LEFT(Berekening!T39,1)&lt;RIGHT(Berekening!T39,1),"U","G"))</f>
        <v>U</v>
      </c>
      <c r="W27" s="166" t="str">
        <f>IF(LEFT(Berekening!U39,1)&gt;RIGHT(Berekening!U39,1),"T",IF(LEFT(Berekening!U39,1)&lt;RIGHT(Berekening!U39,1),"U","G"))</f>
        <v>G</v>
      </c>
      <c r="X27" s="166" t="str">
        <f>IF(LEFT(Berekening!V39,1)&gt;RIGHT(Berekening!V39,1),"T",IF(LEFT(Berekening!V39,1)&lt;RIGHT(Berekening!V39,1),"U","G"))</f>
        <v>G</v>
      </c>
      <c r="Y27" s="166" t="str">
        <f>IF(LEFT(Berekening!W39,1)&gt;RIGHT(Berekening!W39,1),"T",IF(LEFT(Berekening!W39,1)&lt;RIGHT(Berekening!W39,1),"U","G"))</f>
        <v>G</v>
      </c>
      <c r="Z27" s="166" t="str">
        <f>IF(LEFT(Berekening!X39,1)&gt;RIGHT(Berekening!X39,1),"T",IF(LEFT(Berekening!X39,1)&lt;RIGHT(Berekening!X39,1),"U","G"))</f>
        <v>G</v>
      </c>
      <c r="AA27" s="166" t="str">
        <f>IF(LEFT(Berekening!Y39,1)&gt;RIGHT(Berekening!Y39,1),"T",IF(LEFT(Berekening!Y39,1)&lt;RIGHT(Berekening!Y39,1),"U","G"))</f>
        <v>G</v>
      </c>
      <c r="AB27" s="166" t="str">
        <f>IF(LEFT(Berekening!Z39,1)&gt;RIGHT(Berekening!Z39,1),"T",IF(LEFT(Berekening!Z39,1)&lt;RIGHT(Berekening!Z39,1),"U","G"))</f>
        <v>G</v>
      </c>
      <c r="AC27" s="166" t="str">
        <f>IF(LEFT(Berekening!AA39,1)&gt;RIGHT(Berekening!AA39,1),"T",IF(LEFT(Berekening!AA39,1)&lt;RIGHT(Berekening!AA39,1),"U","G"))</f>
        <v>G</v>
      </c>
      <c r="AD27" s="166" t="str">
        <f>IF(LEFT(Berekening!AB39,1)&gt;RIGHT(Berekening!AB39,1),"T",IF(LEFT(Berekening!AB39,1)&lt;RIGHT(Berekening!AB39,1),"U","G"))</f>
        <v>G</v>
      </c>
      <c r="AE27" s="166" t="str">
        <f>IF(LEFT(Berekening!AC39,1)&gt;RIGHT(Berekening!AC39,1),"T",IF(LEFT(Berekening!AC39,1)&lt;RIGHT(Berekening!AC39,1),"U","G"))</f>
        <v>G</v>
      </c>
      <c r="AF27" s="166" t="str">
        <f>IF(LEFT(Berekening!AD39,1)&gt;RIGHT(Berekening!AD39,1),"T",IF(LEFT(Berekening!AD39,1)&lt;RIGHT(Berekening!AD39,1),"U","G"))</f>
        <v>G</v>
      </c>
      <c r="AG27" s="166" t="str">
        <f>IF(LEFT(Berekening!AE39,1)&gt;RIGHT(Berekening!AE39,1),"T",IF(LEFT(Berekening!AE39,1)&lt;RIGHT(Berekening!AE39,1),"U","G"))</f>
        <v>G</v>
      </c>
      <c r="AH27" s="166" t="str">
        <f>IF(LEFT(Berekening!AF39,1)&gt;RIGHT(Berekening!AF39,1),"T",IF(LEFT(Berekening!AF39,1)&lt;RIGHT(Berekening!AF39,1),"U","G"))</f>
        <v>G</v>
      </c>
      <c r="AI27" s="166" t="str">
        <f>IF(LEFT(Berekening!AG39,1)&gt;RIGHT(Berekening!AG39,1),"T",IF(LEFT(Berekening!AG39,1)&lt;RIGHT(Berekening!AG39,1),"U","G"))</f>
        <v>G</v>
      </c>
      <c r="AJ27" s="166" t="str">
        <f>IF(LEFT(Berekening!AH39,1)&gt;RIGHT(Berekening!AH39,1),"T",IF(LEFT(Berekening!AH39,1)&lt;RIGHT(Berekening!AH39,1),"U","G"))</f>
        <v>G</v>
      </c>
      <c r="AK27" s="166" t="str">
        <f>IF(LEFT(Berekening!AI39,1)&gt;RIGHT(Berekening!AI39,1),"T",IF(LEFT(Berekening!AI39,1)&lt;RIGHT(Berekening!AI39,1),"U","G"))</f>
        <v>G</v>
      </c>
      <c r="AL27" s="166" t="str">
        <f>IF(LEFT(Berekening!AJ39,1)&gt;RIGHT(Berekening!AJ39,1),"T",IF(LEFT(Berekening!AJ39,1)&lt;RIGHT(Berekening!AJ39,1),"U","G"))</f>
        <v>G</v>
      </c>
      <c r="AM27" s="166" t="str">
        <f>IF(LEFT(Berekening!AK39,1)&gt;RIGHT(Berekening!AK39,1),"T",IF(LEFT(Berekening!AK39,1)&lt;RIGHT(Berekening!AK39,1),"U","G"))</f>
        <v>G</v>
      </c>
      <c r="AN27" s="166" t="str">
        <f>IF(LEFT(Berekening!AL39,1)&gt;RIGHT(Berekening!AL39,1),"T",IF(LEFT(Berekening!AL39,1)&lt;RIGHT(Berekening!AL39,1),"U","G"))</f>
        <v>G</v>
      </c>
      <c r="AO27" s="166" t="str">
        <f>IF(LEFT(Berekening!AM39,1)&gt;RIGHT(Berekening!AM39,1),"T",IF(LEFT(Berekening!AM39,1)&lt;RIGHT(Berekening!AM39,1),"U","G"))</f>
        <v>G</v>
      </c>
      <c r="AP27" s="166" t="str">
        <f>IF(LEFT(Berekening!AN39,1)&gt;RIGHT(Berekening!AN39,1),"T",IF(LEFT(Berekening!AN39,1)&lt;RIGHT(Berekening!AN39,1),"U","G"))</f>
        <v>G</v>
      </c>
      <c r="AQ27" s="166" t="str">
        <f>IF(LEFT(Berekening!AO39,1)&gt;RIGHT(Berekening!AO39,1),"T",IF(LEFT(Berekening!AO39,1)&lt;RIGHT(Berekening!AO39,1),"U","G"))</f>
        <v>G</v>
      </c>
      <c r="AR27" s="166" t="str">
        <f>IF(LEFT(Berekening!AP39,1)&gt;RIGHT(Berekening!AP39,1),"T",IF(LEFT(Berekening!AP39,1)&lt;RIGHT(Berekening!AP39,1),"U","G"))</f>
        <v>G</v>
      </c>
      <c r="AS27" s="166" t="str">
        <f>IF(LEFT(Berekening!AQ39,1)&gt;RIGHT(Berekening!AQ39,1),"T",IF(LEFT(Berekening!AQ39,1)&lt;RIGHT(Berekening!AQ39,1),"U","G"))</f>
        <v>G</v>
      </c>
      <c r="AT27" s="166" t="str">
        <f>IF(LEFT(Berekening!AR39,1)&gt;RIGHT(Berekening!AR39,1),"T",IF(LEFT(Berekening!AR39,1)&lt;RIGHT(Berekening!AR39,1),"U","G"))</f>
        <v>G</v>
      </c>
      <c r="AU27" s="166" t="str">
        <f>IF(LEFT(Berekening!AS39,1)&gt;RIGHT(Berekening!AS39,1),"T",IF(LEFT(Berekening!AS39,1)&lt;RIGHT(Berekening!AS39,1),"U","G"))</f>
        <v>G</v>
      </c>
      <c r="AV27" s="166" t="str">
        <f>IF(LEFT(Berekening!AT39,1)&gt;RIGHT(Berekening!AT39,1),"T",IF(LEFT(Berekening!AT39,1)&lt;RIGHT(Berekening!AT39,1),"U","G"))</f>
        <v>G</v>
      </c>
    </row>
    <row r="28" spans="3:48">
      <c r="C28" s="163" t="s">
        <v>1399</v>
      </c>
      <c r="D28" s="164" t="s">
        <v>2971</v>
      </c>
      <c r="E28" s="165" t="s">
        <v>1168</v>
      </c>
      <c r="G28" s="166" t="str">
        <f>IF(LEFT(Berekening!E40,1)&gt;RIGHT(Berekening!E40,1),"T",IF(LEFT(Berekening!E40,1)&lt;RIGHT(Berekening!E40,1),"U","G"))</f>
        <v>T</v>
      </c>
      <c r="H28" s="166" t="str">
        <f>IF(LEFT(Berekening!F40,1)&gt;RIGHT(Berekening!F40,1),"T",IF(LEFT(Berekening!F40,1)&lt;RIGHT(Berekening!F40,1),"U","G"))</f>
        <v>T</v>
      </c>
      <c r="I28" s="166" t="str">
        <f>IF(LEFT(Berekening!G40,1)&gt;RIGHT(Berekening!G40,1),"T",IF(LEFT(Berekening!G40,1)&lt;RIGHT(Berekening!G40,1),"U","G"))</f>
        <v>T</v>
      </c>
      <c r="J28" s="166" t="str">
        <f>IF(LEFT(Berekening!H40,1)&gt;RIGHT(Berekening!H40,1),"T",IF(LEFT(Berekening!H40,1)&lt;RIGHT(Berekening!H40,1),"U","G"))</f>
        <v>U</v>
      </c>
      <c r="K28" s="166" t="str">
        <f>IF(LEFT(Berekening!I40,1)&gt;RIGHT(Berekening!I40,1),"T",IF(LEFT(Berekening!I40,1)&lt;RIGHT(Berekening!I40,1),"U","G"))</f>
        <v>G</v>
      </c>
      <c r="L28" s="166" t="str">
        <f>IF(LEFT(Berekening!J40,1)&gt;RIGHT(Berekening!J40,1),"T",IF(LEFT(Berekening!J40,1)&lt;RIGHT(Berekening!J40,1),"U","G"))</f>
        <v>U</v>
      </c>
      <c r="M28" s="166" t="str">
        <f>IF(LEFT(Berekening!K40,1)&gt;RIGHT(Berekening!K40,1),"T",IF(LEFT(Berekening!K40,1)&lt;RIGHT(Berekening!K40,1),"U","G"))</f>
        <v>U</v>
      </c>
      <c r="N28" s="166" t="str">
        <f>IF(LEFT(Berekening!L40,1)&gt;RIGHT(Berekening!L40,1),"T",IF(LEFT(Berekening!L40,1)&lt;RIGHT(Berekening!L40,1),"U","G"))</f>
        <v>T</v>
      </c>
      <c r="O28" s="166" t="str">
        <f>IF(LEFT(Berekening!M40,1)&gt;RIGHT(Berekening!M40,1),"T",IF(LEFT(Berekening!M40,1)&lt;RIGHT(Berekening!M40,1),"U","G"))</f>
        <v>T</v>
      </c>
      <c r="P28" s="166" t="str">
        <f>IF(LEFT(Berekening!N40,1)&gt;RIGHT(Berekening!N40,1),"T",IF(LEFT(Berekening!N40,1)&lt;RIGHT(Berekening!N40,1),"U","G"))</f>
        <v>G</v>
      </c>
      <c r="Q28" s="166" t="str">
        <f>IF(LEFT(Berekening!O40,1)&gt;RIGHT(Berekening!O40,1),"T",IF(LEFT(Berekening!O40,1)&lt;RIGHT(Berekening!O40,1),"U","G"))</f>
        <v>T</v>
      </c>
      <c r="R28" s="166" t="str">
        <f>IF(LEFT(Berekening!P40,1)&gt;RIGHT(Berekening!P40,1),"T",IF(LEFT(Berekening!P40,1)&lt;RIGHT(Berekening!P40,1),"U","G"))</f>
        <v>U</v>
      </c>
      <c r="S28" s="166" t="str">
        <f>IF(LEFT(Berekening!Q40,1)&gt;RIGHT(Berekening!Q40,1),"T",IF(LEFT(Berekening!Q40,1)&lt;RIGHT(Berekening!Q40,1),"U","G"))</f>
        <v>G</v>
      </c>
      <c r="T28" s="166" t="str">
        <f>IF(LEFT(Berekening!R40,1)&gt;RIGHT(Berekening!R40,1),"T",IF(LEFT(Berekening!R40,1)&lt;RIGHT(Berekening!R40,1),"U","G"))</f>
        <v>G</v>
      </c>
      <c r="U28" s="166" t="str">
        <f>IF(LEFT(Berekening!S40,1)&gt;RIGHT(Berekening!S40,1),"T",IF(LEFT(Berekening!S40,1)&lt;RIGHT(Berekening!S40,1),"U","G"))</f>
        <v>T</v>
      </c>
      <c r="V28" s="166" t="str">
        <f>IF(LEFT(Berekening!T40,1)&gt;RIGHT(Berekening!T40,1),"T",IF(LEFT(Berekening!T40,1)&lt;RIGHT(Berekening!T40,1),"U","G"))</f>
        <v>U</v>
      </c>
      <c r="W28" s="166" t="str">
        <f>IF(LEFT(Berekening!U40,1)&gt;RIGHT(Berekening!U40,1),"T",IF(LEFT(Berekening!U40,1)&lt;RIGHT(Berekening!U40,1),"U","G"))</f>
        <v>G</v>
      </c>
      <c r="X28" s="166" t="str">
        <f>IF(LEFT(Berekening!V40,1)&gt;RIGHT(Berekening!V40,1),"T",IF(LEFT(Berekening!V40,1)&lt;RIGHT(Berekening!V40,1),"U","G"))</f>
        <v>G</v>
      </c>
      <c r="Y28" s="166" t="str">
        <f>IF(LEFT(Berekening!W40,1)&gt;RIGHT(Berekening!W40,1),"T",IF(LEFT(Berekening!W40,1)&lt;RIGHT(Berekening!W40,1),"U","G"))</f>
        <v>G</v>
      </c>
      <c r="Z28" s="166" t="str">
        <f>IF(LEFT(Berekening!X40,1)&gt;RIGHT(Berekening!X40,1),"T",IF(LEFT(Berekening!X40,1)&lt;RIGHT(Berekening!X40,1),"U","G"))</f>
        <v>G</v>
      </c>
      <c r="AA28" s="166" t="str">
        <f>IF(LEFT(Berekening!Y40,1)&gt;RIGHT(Berekening!Y40,1),"T",IF(LEFT(Berekening!Y40,1)&lt;RIGHT(Berekening!Y40,1),"U","G"))</f>
        <v>G</v>
      </c>
      <c r="AB28" s="166" t="str">
        <f>IF(LEFT(Berekening!Z40,1)&gt;RIGHT(Berekening!Z40,1),"T",IF(LEFT(Berekening!Z40,1)&lt;RIGHT(Berekening!Z40,1),"U","G"))</f>
        <v>G</v>
      </c>
      <c r="AC28" s="166" t="str">
        <f>IF(LEFT(Berekening!AA40,1)&gt;RIGHT(Berekening!AA40,1),"T",IF(LEFT(Berekening!AA40,1)&lt;RIGHT(Berekening!AA40,1),"U","G"))</f>
        <v>G</v>
      </c>
      <c r="AD28" s="166" t="str">
        <f>IF(LEFT(Berekening!AB40,1)&gt;RIGHT(Berekening!AB40,1),"T",IF(LEFT(Berekening!AB40,1)&lt;RIGHT(Berekening!AB40,1),"U","G"))</f>
        <v>G</v>
      </c>
      <c r="AE28" s="166" t="str">
        <f>IF(LEFT(Berekening!AC40,1)&gt;RIGHT(Berekening!AC40,1),"T",IF(LEFT(Berekening!AC40,1)&lt;RIGHT(Berekening!AC40,1),"U","G"))</f>
        <v>G</v>
      </c>
      <c r="AF28" s="166" t="str">
        <f>IF(LEFT(Berekening!AD40,1)&gt;RIGHT(Berekening!AD40,1),"T",IF(LEFT(Berekening!AD40,1)&lt;RIGHT(Berekening!AD40,1),"U","G"))</f>
        <v>G</v>
      </c>
      <c r="AG28" s="166" t="str">
        <f>IF(LEFT(Berekening!AE40,1)&gt;RIGHT(Berekening!AE40,1),"T",IF(LEFT(Berekening!AE40,1)&lt;RIGHT(Berekening!AE40,1),"U","G"))</f>
        <v>G</v>
      </c>
      <c r="AH28" s="166" t="str">
        <f>IF(LEFT(Berekening!AF40,1)&gt;RIGHT(Berekening!AF40,1),"T",IF(LEFT(Berekening!AF40,1)&lt;RIGHT(Berekening!AF40,1),"U","G"))</f>
        <v>G</v>
      </c>
      <c r="AI28" s="166" t="str">
        <f>IF(LEFT(Berekening!AG40,1)&gt;RIGHT(Berekening!AG40,1),"T",IF(LEFT(Berekening!AG40,1)&lt;RIGHT(Berekening!AG40,1),"U","G"))</f>
        <v>G</v>
      </c>
      <c r="AJ28" s="166" t="str">
        <f>IF(LEFT(Berekening!AH40,1)&gt;RIGHT(Berekening!AH40,1),"T",IF(LEFT(Berekening!AH40,1)&lt;RIGHT(Berekening!AH40,1),"U","G"))</f>
        <v>G</v>
      </c>
      <c r="AK28" s="166" t="str">
        <f>IF(LEFT(Berekening!AI40,1)&gt;RIGHT(Berekening!AI40,1),"T",IF(LEFT(Berekening!AI40,1)&lt;RIGHT(Berekening!AI40,1),"U","G"))</f>
        <v>G</v>
      </c>
      <c r="AL28" s="166" t="str">
        <f>IF(LEFT(Berekening!AJ40,1)&gt;RIGHT(Berekening!AJ40,1),"T",IF(LEFT(Berekening!AJ40,1)&lt;RIGHT(Berekening!AJ40,1),"U","G"))</f>
        <v>G</v>
      </c>
      <c r="AM28" s="166" t="str">
        <f>IF(LEFT(Berekening!AK40,1)&gt;RIGHT(Berekening!AK40,1),"T",IF(LEFT(Berekening!AK40,1)&lt;RIGHT(Berekening!AK40,1),"U","G"))</f>
        <v>G</v>
      </c>
      <c r="AN28" s="166" t="str">
        <f>IF(LEFT(Berekening!AL40,1)&gt;RIGHT(Berekening!AL40,1),"T",IF(LEFT(Berekening!AL40,1)&lt;RIGHT(Berekening!AL40,1),"U","G"))</f>
        <v>G</v>
      </c>
      <c r="AO28" s="166" t="str">
        <f>IF(LEFT(Berekening!AM40,1)&gt;RIGHT(Berekening!AM40,1),"T",IF(LEFT(Berekening!AM40,1)&lt;RIGHT(Berekening!AM40,1),"U","G"))</f>
        <v>G</v>
      </c>
      <c r="AP28" s="166" t="str">
        <f>IF(LEFT(Berekening!AN40,1)&gt;RIGHT(Berekening!AN40,1),"T",IF(LEFT(Berekening!AN40,1)&lt;RIGHT(Berekening!AN40,1),"U","G"))</f>
        <v>G</v>
      </c>
      <c r="AQ28" s="166" t="str">
        <f>IF(LEFT(Berekening!AO40,1)&gt;RIGHT(Berekening!AO40,1),"T",IF(LEFT(Berekening!AO40,1)&lt;RIGHT(Berekening!AO40,1),"U","G"))</f>
        <v>G</v>
      </c>
      <c r="AR28" s="166" t="str">
        <f>IF(LEFT(Berekening!AP40,1)&gt;RIGHT(Berekening!AP40,1),"T",IF(LEFT(Berekening!AP40,1)&lt;RIGHT(Berekening!AP40,1),"U","G"))</f>
        <v>G</v>
      </c>
      <c r="AS28" s="166" t="str">
        <f>IF(LEFT(Berekening!AQ40,1)&gt;RIGHT(Berekening!AQ40,1),"T",IF(LEFT(Berekening!AQ40,1)&lt;RIGHT(Berekening!AQ40,1),"U","G"))</f>
        <v>G</v>
      </c>
      <c r="AT28" s="166" t="str">
        <f>IF(LEFT(Berekening!AR40,1)&gt;RIGHT(Berekening!AR40,1),"T",IF(LEFT(Berekening!AR40,1)&lt;RIGHT(Berekening!AR40,1),"U","G"))</f>
        <v>G</v>
      </c>
      <c r="AU28" s="166" t="str">
        <f>IF(LEFT(Berekening!AS40,1)&gt;RIGHT(Berekening!AS40,1),"T",IF(LEFT(Berekening!AS40,1)&lt;RIGHT(Berekening!AS40,1),"U","G"))</f>
        <v>G</v>
      </c>
      <c r="AV28" s="166" t="str">
        <f>IF(LEFT(Berekening!AT40,1)&gt;RIGHT(Berekening!AT40,1),"T",IF(LEFT(Berekening!AT40,1)&lt;RIGHT(Berekening!AT40,1),"U","G"))</f>
        <v>G</v>
      </c>
    </row>
    <row r="29" spans="3:48">
      <c r="C29" s="163" t="s">
        <v>1016</v>
      </c>
      <c r="D29" s="164" t="s">
        <v>2971</v>
      </c>
      <c r="E29" s="165" t="s">
        <v>1077</v>
      </c>
      <c r="G29" s="166" t="str">
        <f>IF(LEFT(Berekening!E41,1)&gt;RIGHT(Berekening!E41,1),"T",IF(LEFT(Berekening!E41,1)&lt;RIGHT(Berekening!E41,1),"U","G"))</f>
        <v>U</v>
      </c>
      <c r="H29" s="166" t="str">
        <f>IF(LEFT(Berekening!F41,1)&gt;RIGHT(Berekening!F41,1),"T",IF(LEFT(Berekening!F41,1)&lt;RIGHT(Berekening!F41,1),"U","G"))</f>
        <v>U</v>
      </c>
      <c r="I29" s="166" t="str">
        <f>IF(LEFT(Berekening!G41,1)&gt;RIGHT(Berekening!G41,1),"T",IF(LEFT(Berekening!G41,1)&lt;RIGHT(Berekening!G41,1),"U","G"))</f>
        <v>U</v>
      </c>
      <c r="J29" s="166" t="str">
        <f>IF(LEFT(Berekening!H41,1)&gt;RIGHT(Berekening!H41,1),"T",IF(LEFT(Berekening!H41,1)&lt;RIGHT(Berekening!H41,1),"U","G"))</f>
        <v>U</v>
      </c>
      <c r="K29" s="166" t="str">
        <f>IF(LEFT(Berekening!I41,1)&gt;RIGHT(Berekening!I41,1),"T",IF(LEFT(Berekening!I41,1)&lt;RIGHT(Berekening!I41,1),"U","G"))</f>
        <v>U</v>
      </c>
      <c r="L29" s="166" t="str">
        <f>IF(LEFT(Berekening!J41,1)&gt;RIGHT(Berekening!J41,1),"T",IF(LEFT(Berekening!J41,1)&lt;RIGHT(Berekening!J41,1),"U","G"))</f>
        <v>U</v>
      </c>
      <c r="M29" s="166" t="str">
        <f>IF(LEFT(Berekening!K41,1)&gt;RIGHT(Berekening!K41,1),"T",IF(LEFT(Berekening!K41,1)&lt;RIGHT(Berekening!K41,1),"U","G"))</f>
        <v>U</v>
      </c>
      <c r="N29" s="166" t="str">
        <f>IF(LEFT(Berekening!L41,1)&gt;RIGHT(Berekening!L41,1),"T",IF(LEFT(Berekening!L41,1)&lt;RIGHT(Berekening!L41,1),"U","G"))</f>
        <v>U</v>
      </c>
      <c r="O29" s="166" t="str">
        <f>IF(LEFT(Berekening!M41,1)&gt;RIGHT(Berekening!M41,1),"T",IF(LEFT(Berekening!M41,1)&lt;RIGHT(Berekening!M41,1),"U","G"))</f>
        <v>U</v>
      </c>
      <c r="P29" s="166" t="str">
        <f>IF(LEFT(Berekening!N41,1)&gt;RIGHT(Berekening!N41,1),"T",IF(LEFT(Berekening!N41,1)&lt;RIGHT(Berekening!N41,1),"U","G"))</f>
        <v>U</v>
      </c>
      <c r="Q29" s="166" t="str">
        <f>IF(LEFT(Berekening!O41,1)&gt;RIGHT(Berekening!O41,1),"T",IF(LEFT(Berekening!O41,1)&lt;RIGHT(Berekening!O41,1),"U","G"))</f>
        <v>U</v>
      </c>
      <c r="R29" s="166" t="str">
        <f>IF(LEFT(Berekening!P41,1)&gt;RIGHT(Berekening!P41,1),"T",IF(LEFT(Berekening!P41,1)&lt;RIGHT(Berekening!P41,1),"U","G"))</f>
        <v>U</v>
      </c>
      <c r="S29" s="166" t="str">
        <f>IF(LEFT(Berekening!Q41,1)&gt;RIGHT(Berekening!Q41,1),"T",IF(LEFT(Berekening!Q41,1)&lt;RIGHT(Berekening!Q41,1),"U","G"))</f>
        <v>U</v>
      </c>
      <c r="T29" s="166" t="str">
        <f>IF(LEFT(Berekening!R41,1)&gt;RIGHT(Berekening!R41,1),"T",IF(LEFT(Berekening!R41,1)&lt;RIGHT(Berekening!R41,1),"U","G"))</f>
        <v>U</v>
      </c>
      <c r="U29" s="166" t="str">
        <f>IF(LEFT(Berekening!S41,1)&gt;RIGHT(Berekening!S41,1),"T",IF(LEFT(Berekening!S41,1)&lt;RIGHT(Berekening!S41,1),"U","G"))</f>
        <v>U</v>
      </c>
      <c r="V29" s="166" t="str">
        <f>IF(LEFT(Berekening!T41,1)&gt;RIGHT(Berekening!T41,1),"T",IF(LEFT(Berekening!T41,1)&lt;RIGHT(Berekening!T41,1),"U","G"))</f>
        <v>U</v>
      </c>
      <c r="W29" s="166" t="str">
        <f>IF(LEFT(Berekening!U41,1)&gt;RIGHT(Berekening!U41,1),"T",IF(LEFT(Berekening!U41,1)&lt;RIGHT(Berekening!U41,1),"U","G"))</f>
        <v>G</v>
      </c>
      <c r="X29" s="166" t="str">
        <f>IF(LEFT(Berekening!V41,1)&gt;RIGHT(Berekening!V41,1),"T",IF(LEFT(Berekening!V41,1)&lt;RIGHT(Berekening!V41,1),"U","G"))</f>
        <v>G</v>
      </c>
      <c r="Y29" s="166" t="str">
        <f>IF(LEFT(Berekening!W41,1)&gt;RIGHT(Berekening!W41,1),"T",IF(LEFT(Berekening!W41,1)&lt;RIGHT(Berekening!W41,1),"U","G"))</f>
        <v>G</v>
      </c>
      <c r="Z29" s="166" t="str">
        <f>IF(LEFT(Berekening!X41,1)&gt;RIGHT(Berekening!X41,1),"T",IF(LEFT(Berekening!X41,1)&lt;RIGHT(Berekening!X41,1),"U","G"))</f>
        <v>G</v>
      </c>
      <c r="AA29" s="166" t="str">
        <f>IF(LEFT(Berekening!Y41,1)&gt;RIGHT(Berekening!Y41,1),"T",IF(LEFT(Berekening!Y41,1)&lt;RIGHT(Berekening!Y41,1),"U","G"))</f>
        <v>G</v>
      </c>
      <c r="AB29" s="166" t="str">
        <f>IF(LEFT(Berekening!Z41,1)&gt;RIGHT(Berekening!Z41,1),"T",IF(LEFT(Berekening!Z41,1)&lt;RIGHT(Berekening!Z41,1),"U","G"))</f>
        <v>G</v>
      </c>
      <c r="AC29" s="166" t="str">
        <f>IF(LEFT(Berekening!AA41,1)&gt;RIGHT(Berekening!AA41,1),"T",IF(LEFT(Berekening!AA41,1)&lt;RIGHT(Berekening!AA41,1),"U","G"))</f>
        <v>G</v>
      </c>
      <c r="AD29" s="166" t="str">
        <f>IF(LEFT(Berekening!AB41,1)&gt;RIGHT(Berekening!AB41,1),"T",IF(LEFT(Berekening!AB41,1)&lt;RIGHT(Berekening!AB41,1),"U","G"))</f>
        <v>G</v>
      </c>
      <c r="AE29" s="166" t="str">
        <f>IF(LEFT(Berekening!AC41,1)&gt;RIGHT(Berekening!AC41,1),"T",IF(LEFT(Berekening!AC41,1)&lt;RIGHT(Berekening!AC41,1),"U","G"))</f>
        <v>G</v>
      </c>
      <c r="AF29" s="166" t="str">
        <f>IF(LEFT(Berekening!AD41,1)&gt;RIGHT(Berekening!AD41,1),"T",IF(LEFT(Berekening!AD41,1)&lt;RIGHT(Berekening!AD41,1),"U","G"))</f>
        <v>G</v>
      </c>
      <c r="AG29" s="166" t="str">
        <f>IF(LEFT(Berekening!AE41,1)&gt;RIGHT(Berekening!AE41,1),"T",IF(LEFT(Berekening!AE41,1)&lt;RIGHT(Berekening!AE41,1),"U","G"))</f>
        <v>G</v>
      </c>
      <c r="AH29" s="166" t="str">
        <f>IF(LEFT(Berekening!AF41,1)&gt;RIGHT(Berekening!AF41,1),"T",IF(LEFT(Berekening!AF41,1)&lt;RIGHT(Berekening!AF41,1),"U","G"))</f>
        <v>G</v>
      </c>
      <c r="AI29" s="166" t="str">
        <f>IF(LEFT(Berekening!AG41,1)&gt;RIGHT(Berekening!AG41,1),"T",IF(LEFT(Berekening!AG41,1)&lt;RIGHT(Berekening!AG41,1),"U","G"))</f>
        <v>G</v>
      </c>
      <c r="AJ29" s="166" t="str">
        <f>IF(LEFT(Berekening!AH41,1)&gt;RIGHT(Berekening!AH41,1),"T",IF(LEFT(Berekening!AH41,1)&lt;RIGHT(Berekening!AH41,1),"U","G"))</f>
        <v>G</v>
      </c>
      <c r="AK29" s="166" t="str">
        <f>IF(LEFT(Berekening!AI41,1)&gt;RIGHT(Berekening!AI41,1),"T",IF(LEFT(Berekening!AI41,1)&lt;RIGHT(Berekening!AI41,1),"U","G"))</f>
        <v>G</v>
      </c>
      <c r="AL29" s="166" t="str">
        <f>IF(LEFT(Berekening!AJ41,1)&gt;RIGHT(Berekening!AJ41,1),"T",IF(LEFT(Berekening!AJ41,1)&lt;RIGHT(Berekening!AJ41,1),"U","G"))</f>
        <v>G</v>
      </c>
      <c r="AM29" s="166" t="str">
        <f>IF(LEFT(Berekening!AK41,1)&gt;RIGHT(Berekening!AK41,1),"T",IF(LEFT(Berekening!AK41,1)&lt;RIGHT(Berekening!AK41,1),"U","G"))</f>
        <v>G</v>
      </c>
      <c r="AN29" s="166" t="str">
        <f>IF(LEFT(Berekening!AL41,1)&gt;RIGHT(Berekening!AL41,1),"T",IF(LEFT(Berekening!AL41,1)&lt;RIGHT(Berekening!AL41,1),"U","G"))</f>
        <v>G</v>
      </c>
      <c r="AO29" s="166" t="str">
        <f>IF(LEFT(Berekening!AM41,1)&gt;RIGHT(Berekening!AM41,1),"T",IF(LEFT(Berekening!AM41,1)&lt;RIGHT(Berekening!AM41,1),"U","G"))</f>
        <v>G</v>
      </c>
      <c r="AP29" s="166" t="str">
        <f>IF(LEFT(Berekening!AN41,1)&gt;RIGHT(Berekening!AN41,1),"T",IF(LEFT(Berekening!AN41,1)&lt;RIGHT(Berekening!AN41,1),"U","G"))</f>
        <v>G</v>
      </c>
      <c r="AQ29" s="166" t="str">
        <f>IF(LEFT(Berekening!AO41,1)&gt;RIGHT(Berekening!AO41,1),"T",IF(LEFT(Berekening!AO41,1)&lt;RIGHT(Berekening!AO41,1),"U","G"))</f>
        <v>G</v>
      </c>
      <c r="AR29" s="166" t="str">
        <f>IF(LEFT(Berekening!AP41,1)&gt;RIGHT(Berekening!AP41,1),"T",IF(LEFT(Berekening!AP41,1)&lt;RIGHT(Berekening!AP41,1),"U","G"))</f>
        <v>G</v>
      </c>
      <c r="AS29" s="166" t="str">
        <f>IF(LEFT(Berekening!AQ41,1)&gt;RIGHT(Berekening!AQ41,1),"T",IF(LEFT(Berekening!AQ41,1)&lt;RIGHT(Berekening!AQ41,1),"U","G"))</f>
        <v>G</v>
      </c>
      <c r="AT29" s="166" t="str">
        <f>IF(LEFT(Berekening!AR41,1)&gt;RIGHT(Berekening!AR41,1),"T",IF(LEFT(Berekening!AR41,1)&lt;RIGHT(Berekening!AR41,1),"U","G"))</f>
        <v>G</v>
      </c>
      <c r="AU29" s="166" t="str">
        <f>IF(LEFT(Berekening!AS41,1)&gt;RIGHT(Berekening!AS41,1),"T",IF(LEFT(Berekening!AS41,1)&lt;RIGHT(Berekening!AS41,1),"U","G"))</f>
        <v>G</v>
      </c>
      <c r="AV29" s="166" t="str">
        <f>IF(LEFT(Berekening!AT41,1)&gt;RIGHT(Berekening!AT41,1),"T",IF(LEFT(Berekening!AT41,1)&lt;RIGHT(Berekening!AT41,1),"U","G"))</f>
        <v>G</v>
      </c>
    </row>
    <row r="30" spans="3:48">
      <c r="C30" s="163" t="s">
        <v>1533</v>
      </c>
      <c r="D30" s="164" t="s">
        <v>2971</v>
      </c>
      <c r="E30" s="165" t="s">
        <v>1113</v>
      </c>
      <c r="G30" s="166" t="str">
        <f>IF(LEFT(Berekening!E42,1)&gt;RIGHT(Berekening!E42,1),"T",IF(LEFT(Berekening!E42,1)&lt;RIGHT(Berekening!E42,1),"U","G"))</f>
        <v>G</v>
      </c>
      <c r="H30" s="166" t="str">
        <f>IF(LEFT(Berekening!F42,1)&gt;RIGHT(Berekening!F42,1),"T",IF(LEFT(Berekening!F42,1)&lt;RIGHT(Berekening!F42,1),"U","G"))</f>
        <v>U</v>
      </c>
      <c r="I30" s="166" t="str">
        <f>IF(LEFT(Berekening!G42,1)&gt;RIGHT(Berekening!G42,1),"T",IF(LEFT(Berekening!G42,1)&lt;RIGHT(Berekening!G42,1),"U","G"))</f>
        <v>T</v>
      </c>
      <c r="J30" s="166" t="str">
        <f>IF(LEFT(Berekening!H42,1)&gt;RIGHT(Berekening!H42,1),"T",IF(LEFT(Berekening!H42,1)&lt;RIGHT(Berekening!H42,1),"U","G"))</f>
        <v>G</v>
      </c>
      <c r="K30" s="166" t="str">
        <f>IF(LEFT(Berekening!I42,1)&gt;RIGHT(Berekening!I42,1),"T",IF(LEFT(Berekening!I42,1)&lt;RIGHT(Berekening!I42,1),"U","G"))</f>
        <v>G</v>
      </c>
      <c r="L30" s="166" t="str">
        <f>IF(LEFT(Berekening!J42,1)&gt;RIGHT(Berekening!J42,1),"T",IF(LEFT(Berekening!J42,1)&lt;RIGHT(Berekening!J42,1),"U","G"))</f>
        <v>T</v>
      </c>
      <c r="M30" s="166" t="str">
        <f>IF(LEFT(Berekening!K42,1)&gt;RIGHT(Berekening!K42,1),"T",IF(LEFT(Berekening!K42,1)&lt;RIGHT(Berekening!K42,1),"U","G"))</f>
        <v>G</v>
      </c>
      <c r="N30" s="166" t="str">
        <f>IF(LEFT(Berekening!L42,1)&gt;RIGHT(Berekening!L42,1),"T",IF(LEFT(Berekening!L42,1)&lt;RIGHT(Berekening!L42,1),"U","G"))</f>
        <v>T</v>
      </c>
      <c r="O30" s="166" t="str">
        <f>IF(LEFT(Berekening!M42,1)&gt;RIGHT(Berekening!M42,1),"T",IF(LEFT(Berekening!M42,1)&lt;RIGHT(Berekening!M42,1),"U","G"))</f>
        <v>G</v>
      </c>
      <c r="P30" s="166" t="str">
        <f>IF(LEFT(Berekening!N42,1)&gt;RIGHT(Berekening!N42,1),"T",IF(LEFT(Berekening!N42,1)&lt;RIGHT(Berekening!N42,1),"U","G"))</f>
        <v>G</v>
      </c>
      <c r="Q30" s="166" t="str">
        <f>IF(LEFT(Berekening!O42,1)&gt;RIGHT(Berekening!O42,1),"T",IF(LEFT(Berekening!O42,1)&lt;RIGHT(Berekening!O42,1),"U","G"))</f>
        <v>U</v>
      </c>
      <c r="R30" s="166" t="str">
        <f>IF(LEFT(Berekening!P42,1)&gt;RIGHT(Berekening!P42,1),"T",IF(LEFT(Berekening!P42,1)&lt;RIGHT(Berekening!P42,1),"U","G"))</f>
        <v>T</v>
      </c>
      <c r="S30" s="166" t="str">
        <f>IF(LEFT(Berekening!Q42,1)&gt;RIGHT(Berekening!Q42,1),"T",IF(LEFT(Berekening!Q42,1)&lt;RIGHT(Berekening!Q42,1),"U","G"))</f>
        <v>G</v>
      </c>
      <c r="T30" s="166" t="str">
        <f>IF(LEFT(Berekening!R42,1)&gt;RIGHT(Berekening!R42,1),"T",IF(LEFT(Berekening!R42,1)&lt;RIGHT(Berekening!R42,1),"U","G"))</f>
        <v>G</v>
      </c>
      <c r="U30" s="166" t="str">
        <f>IF(LEFT(Berekening!S42,1)&gt;RIGHT(Berekening!S42,1),"T",IF(LEFT(Berekening!S42,1)&lt;RIGHT(Berekening!S42,1),"U","G"))</f>
        <v>T</v>
      </c>
      <c r="V30" s="166" t="str">
        <f>IF(LEFT(Berekening!T42,1)&gt;RIGHT(Berekening!T42,1),"T",IF(LEFT(Berekening!T42,1)&lt;RIGHT(Berekening!T42,1),"U","G"))</f>
        <v>G</v>
      </c>
      <c r="W30" s="166" t="str">
        <f>IF(LEFT(Berekening!U42,1)&gt;RIGHT(Berekening!U42,1),"T",IF(LEFT(Berekening!U42,1)&lt;RIGHT(Berekening!U42,1),"U","G"))</f>
        <v>G</v>
      </c>
      <c r="X30" s="166" t="str">
        <f>IF(LEFT(Berekening!V42,1)&gt;RIGHT(Berekening!V42,1),"T",IF(LEFT(Berekening!V42,1)&lt;RIGHT(Berekening!V42,1),"U","G"))</f>
        <v>G</v>
      </c>
      <c r="Y30" s="166" t="str">
        <f>IF(LEFT(Berekening!W42,1)&gt;RIGHT(Berekening!W42,1),"T",IF(LEFT(Berekening!W42,1)&lt;RIGHT(Berekening!W42,1),"U","G"))</f>
        <v>G</v>
      </c>
      <c r="Z30" s="166" t="str">
        <f>IF(LEFT(Berekening!X42,1)&gt;RIGHT(Berekening!X42,1),"T",IF(LEFT(Berekening!X42,1)&lt;RIGHT(Berekening!X42,1),"U","G"))</f>
        <v>G</v>
      </c>
      <c r="AA30" s="166" t="str">
        <f>IF(LEFT(Berekening!Y42,1)&gt;RIGHT(Berekening!Y42,1),"T",IF(LEFT(Berekening!Y42,1)&lt;RIGHT(Berekening!Y42,1),"U","G"))</f>
        <v>G</v>
      </c>
      <c r="AB30" s="166" t="str">
        <f>IF(LEFT(Berekening!Z42,1)&gt;RIGHT(Berekening!Z42,1),"T",IF(LEFT(Berekening!Z42,1)&lt;RIGHT(Berekening!Z42,1),"U","G"))</f>
        <v>G</v>
      </c>
      <c r="AC30" s="166" t="str">
        <f>IF(LEFT(Berekening!AA42,1)&gt;RIGHT(Berekening!AA42,1),"T",IF(LEFT(Berekening!AA42,1)&lt;RIGHT(Berekening!AA42,1),"U","G"))</f>
        <v>G</v>
      </c>
      <c r="AD30" s="166" t="str">
        <f>IF(LEFT(Berekening!AB42,1)&gt;RIGHT(Berekening!AB42,1),"T",IF(LEFT(Berekening!AB42,1)&lt;RIGHT(Berekening!AB42,1),"U","G"))</f>
        <v>G</v>
      </c>
      <c r="AE30" s="166" t="str">
        <f>IF(LEFT(Berekening!AC42,1)&gt;RIGHT(Berekening!AC42,1),"T",IF(LEFT(Berekening!AC42,1)&lt;RIGHT(Berekening!AC42,1),"U","G"))</f>
        <v>G</v>
      </c>
      <c r="AF30" s="166" t="str">
        <f>IF(LEFT(Berekening!AD42,1)&gt;RIGHT(Berekening!AD42,1),"T",IF(LEFT(Berekening!AD42,1)&lt;RIGHT(Berekening!AD42,1),"U","G"))</f>
        <v>G</v>
      </c>
      <c r="AG30" s="166" t="str">
        <f>IF(LEFT(Berekening!AE42,1)&gt;RIGHT(Berekening!AE42,1),"T",IF(LEFT(Berekening!AE42,1)&lt;RIGHT(Berekening!AE42,1),"U","G"))</f>
        <v>G</v>
      </c>
      <c r="AH30" s="166" t="str">
        <f>IF(LEFT(Berekening!AF42,1)&gt;RIGHT(Berekening!AF42,1),"T",IF(LEFT(Berekening!AF42,1)&lt;RIGHT(Berekening!AF42,1),"U","G"))</f>
        <v>G</v>
      </c>
      <c r="AI30" s="166" t="str">
        <f>IF(LEFT(Berekening!AG42,1)&gt;RIGHT(Berekening!AG42,1),"T",IF(LEFT(Berekening!AG42,1)&lt;RIGHT(Berekening!AG42,1),"U","G"))</f>
        <v>G</v>
      </c>
      <c r="AJ30" s="166" t="str">
        <f>IF(LEFT(Berekening!AH42,1)&gt;RIGHT(Berekening!AH42,1),"T",IF(LEFT(Berekening!AH42,1)&lt;RIGHT(Berekening!AH42,1),"U","G"))</f>
        <v>G</v>
      </c>
      <c r="AK30" s="166" t="str">
        <f>IF(LEFT(Berekening!AI42,1)&gt;RIGHT(Berekening!AI42,1),"T",IF(LEFT(Berekening!AI42,1)&lt;RIGHT(Berekening!AI42,1),"U","G"))</f>
        <v>G</v>
      </c>
      <c r="AL30" s="166" t="str">
        <f>IF(LEFT(Berekening!AJ42,1)&gt;RIGHT(Berekening!AJ42,1),"T",IF(LEFT(Berekening!AJ42,1)&lt;RIGHT(Berekening!AJ42,1),"U","G"))</f>
        <v>G</v>
      </c>
      <c r="AM30" s="166" t="str">
        <f>IF(LEFT(Berekening!AK42,1)&gt;RIGHT(Berekening!AK42,1),"T",IF(LEFT(Berekening!AK42,1)&lt;RIGHT(Berekening!AK42,1),"U","G"))</f>
        <v>G</v>
      </c>
      <c r="AN30" s="166" t="str">
        <f>IF(LEFT(Berekening!AL42,1)&gt;RIGHT(Berekening!AL42,1),"T",IF(LEFT(Berekening!AL42,1)&lt;RIGHT(Berekening!AL42,1),"U","G"))</f>
        <v>G</v>
      </c>
      <c r="AO30" s="166" t="str">
        <f>IF(LEFT(Berekening!AM42,1)&gt;RIGHT(Berekening!AM42,1),"T",IF(LEFT(Berekening!AM42,1)&lt;RIGHT(Berekening!AM42,1),"U","G"))</f>
        <v>G</v>
      </c>
      <c r="AP30" s="166" t="str">
        <f>IF(LEFT(Berekening!AN42,1)&gt;RIGHT(Berekening!AN42,1),"T",IF(LEFT(Berekening!AN42,1)&lt;RIGHT(Berekening!AN42,1),"U","G"))</f>
        <v>G</v>
      </c>
      <c r="AQ30" s="166" t="str">
        <f>IF(LEFT(Berekening!AO42,1)&gt;RIGHT(Berekening!AO42,1),"T",IF(LEFT(Berekening!AO42,1)&lt;RIGHT(Berekening!AO42,1),"U","G"))</f>
        <v>G</v>
      </c>
      <c r="AR30" s="166" t="str">
        <f>IF(LEFT(Berekening!AP42,1)&gt;RIGHT(Berekening!AP42,1),"T",IF(LEFT(Berekening!AP42,1)&lt;RIGHT(Berekening!AP42,1),"U","G"))</f>
        <v>G</v>
      </c>
      <c r="AS30" s="166" t="str">
        <f>IF(LEFT(Berekening!AQ42,1)&gt;RIGHT(Berekening!AQ42,1),"T",IF(LEFT(Berekening!AQ42,1)&lt;RIGHT(Berekening!AQ42,1),"U","G"))</f>
        <v>G</v>
      </c>
      <c r="AT30" s="166" t="str">
        <f>IF(LEFT(Berekening!AR42,1)&gt;RIGHT(Berekening!AR42,1),"T",IF(LEFT(Berekening!AR42,1)&lt;RIGHT(Berekening!AR42,1),"U","G"))</f>
        <v>G</v>
      </c>
      <c r="AU30" s="166" t="str">
        <f>IF(LEFT(Berekening!AS42,1)&gt;RIGHT(Berekening!AS42,1),"T",IF(LEFT(Berekening!AS42,1)&lt;RIGHT(Berekening!AS42,1),"U","G"))</f>
        <v>G</v>
      </c>
      <c r="AV30" s="166" t="str">
        <f>IF(LEFT(Berekening!AT42,1)&gt;RIGHT(Berekening!AT42,1),"T",IF(LEFT(Berekening!AT42,1)&lt;RIGHT(Berekening!AT42,1),"U","G"))</f>
        <v>G</v>
      </c>
    </row>
    <row r="31" spans="3:48">
      <c r="C31" s="163" t="s">
        <v>1324</v>
      </c>
      <c r="D31" s="164" t="s">
        <v>2971</v>
      </c>
      <c r="E31" s="165" t="s">
        <v>1755</v>
      </c>
      <c r="G31" s="166" t="str">
        <f>IF(LEFT(Berekening!E43,1)&gt;RIGHT(Berekening!E43,1),"T",IF(LEFT(Berekening!E43,1)&lt;RIGHT(Berekening!E43,1),"U","G"))</f>
        <v>T</v>
      </c>
      <c r="H31" s="166" t="str">
        <f>IF(LEFT(Berekening!F43,1)&gt;RIGHT(Berekening!F43,1),"T",IF(LEFT(Berekening!F43,1)&lt;RIGHT(Berekening!F43,1),"U","G"))</f>
        <v>T</v>
      </c>
      <c r="I31" s="166" t="str">
        <f>IF(LEFT(Berekening!G43,1)&gt;RIGHT(Berekening!G43,1),"T",IF(LEFT(Berekening!G43,1)&lt;RIGHT(Berekening!G43,1),"U","G"))</f>
        <v>T</v>
      </c>
      <c r="J31" s="166" t="str">
        <f>IF(LEFT(Berekening!H43,1)&gt;RIGHT(Berekening!H43,1),"T",IF(LEFT(Berekening!H43,1)&lt;RIGHT(Berekening!H43,1),"U","G"))</f>
        <v>T</v>
      </c>
      <c r="K31" s="166" t="str">
        <f>IF(LEFT(Berekening!I43,1)&gt;RIGHT(Berekening!I43,1),"T",IF(LEFT(Berekening!I43,1)&lt;RIGHT(Berekening!I43,1),"U","G"))</f>
        <v>G</v>
      </c>
      <c r="L31" s="166" t="str">
        <f>IF(LEFT(Berekening!J43,1)&gt;RIGHT(Berekening!J43,1),"T",IF(LEFT(Berekening!J43,1)&lt;RIGHT(Berekening!J43,1),"U","G"))</f>
        <v>G</v>
      </c>
      <c r="M31" s="166" t="str">
        <f>IF(LEFT(Berekening!K43,1)&gt;RIGHT(Berekening!K43,1),"T",IF(LEFT(Berekening!K43,1)&lt;RIGHT(Berekening!K43,1),"U","G"))</f>
        <v>T</v>
      </c>
      <c r="N31" s="166" t="str">
        <f>IF(LEFT(Berekening!L43,1)&gt;RIGHT(Berekening!L43,1),"T",IF(LEFT(Berekening!L43,1)&lt;RIGHT(Berekening!L43,1),"U","G"))</f>
        <v>U</v>
      </c>
      <c r="O31" s="166" t="str">
        <f>IF(LEFT(Berekening!M43,1)&gt;RIGHT(Berekening!M43,1),"T",IF(LEFT(Berekening!M43,1)&lt;RIGHT(Berekening!M43,1),"U","G"))</f>
        <v>T</v>
      </c>
      <c r="P31" s="166" t="str">
        <f>IF(LEFT(Berekening!N43,1)&gt;RIGHT(Berekening!N43,1),"T",IF(LEFT(Berekening!N43,1)&lt;RIGHT(Berekening!N43,1),"U","G"))</f>
        <v>T</v>
      </c>
      <c r="Q31" s="166" t="str">
        <f>IF(LEFT(Berekening!O43,1)&gt;RIGHT(Berekening!O43,1),"T",IF(LEFT(Berekening!O43,1)&lt;RIGHT(Berekening!O43,1),"U","G"))</f>
        <v>T</v>
      </c>
      <c r="R31" s="166" t="str">
        <f>IF(LEFT(Berekening!P43,1)&gt;RIGHT(Berekening!P43,1),"T",IF(LEFT(Berekening!P43,1)&lt;RIGHT(Berekening!P43,1),"U","G"))</f>
        <v>G</v>
      </c>
      <c r="S31" s="166" t="str">
        <f>IF(LEFT(Berekening!Q43,1)&gt;RIGHT(Berekening!Q43,1),"T",IF(LEFT(Berekening!Q43,1)&lt;RIGHT(Berekening!Q43,1),"U","G"))</f>
        <v>G</v>
      </c>
      <c r="T31" s="166" t="str">
        <f>IF(LEFT(Berekening!R43,1)&gt;RIGHT(Berekening!R43,1),"T",IF(LEFT(Berekening!R43,1)&lt;RIGHT(Berekening!R43,1),"U","G"))</f>
        <v>T</v>
      </c>
      <c r="U31" s="166" t="str">
        <f>IF(LEFT(Berekening!S43,1)&gt;RIGHT(Berekening!S43,1),"T",IF(LEFT(Berekening!S43,1)&lt;RIGHT(Berekening!S43,1),"U","G"))</f>
        <v>T</v>
      </c>
      <c r="V31" s="166" t="str">
        <f>IF(LEFT(Berekening!T43,1)&gt;RIGHT(Berekening!T43,1),"T",IF(LEFT(Berekening!T43,1)&lt;RIGHT(Berekening!T43,1),"U","G"))</f>
        <v>G</v>
      </c>
      <c r="W31" s="166" t="str">
        <f>IF(LEFT(Berekening!U43,1)&gt;RIGHT(Berekening!U43,1),"T",IF(LEFT(Berekening!U43,1)&lt;RIGHT(Berekening!U43,1),"U","G"))</f>
        <v>G</v>
      </c>
      <c r="X31" s="166" t="str">
        <f>IF(LEFT(Berekening!V43,1)&gt;RIGHT(Berekening!V43,1),"T",IF(LEFT(Berekening!V43,1)&lt;RIGHT(Berekening!V43,1),"U","G"))</f>
        <v>G</v>
      </c>
      <c r="Y31" s="166" t="str">
        <f>IF(LEFT(Berekening!W43,1)&gt;RIGHT(Berekening!W43,1),"T",IF(LEFT(Berekening!W43,1)&lt;RIGHT(Berekening!W43,1),"U","G"))</f>
        <v>G</v>
      </c>
      <c r="Z31" s="166" t="str">
        <f>IF(LEFT(Berekening!X43,1)&gt;RIGHT(Berekening!X43,1),"T",IF(LEFT(Berekening!X43,1)&lt;RIGHT(Berekening!X43,1),"U","G"))</f>
        <v>G</v>
      </c>
      <c r="AA31" s="166" t="str">
        <f>IF(LEFT(Berekening!Y43,1)&gt;RIGHT(Berekening!Y43,1),"T",IF(LEFT(Berekening!Y43,1)&lt;RIGHT(Berekening!Y43,1),"U","G"))</f>
        <v>G</v>
      </c>
      <c r="AB31" s="166" t="str">
        <f>IF(LEFT(Berekening!Z43,1)&gt;RIGHT(Berekening!Z43,1),"T",IF(LEFT(Berekening!Z43,1)&lt;RIGHT(Berekening!Z43,1),"U","G"))</f>
        <v>G</v>
      </c>
      <c r="AC31" s="166" t="str">
        <f>IF(LEFT(Berekening!AA43,1)&gt;RIGHT(Berekening!AA43,1),"T",IF(LEFT(Berekening!AA43,1)&lt;RIGHT(Berekening!AA43,1),"U","G"))</f>
        <v>G</v>
      </c>
      <c r="AD31" s="166" t="str">
        <f>IF(LEFT(Berekening!AB43,1)&gt;RIGHT(Berekening!AB43,1),"T",IF(LEFT(Berekening!AB43,1)&lt;RIGHT(Berekening!AB43,1),"U","G"))</f>
        <v>G</v>
      </c>
      <c r="AE31" s="166" t="str">
        <f>IF(LEFT(Berekening!AC43,1)&gt;RIGHT(Berekening!AC43,1),"T",IF(LEFT(Berekening!AC43,1)&lt;RIGHT(Berekening!AC43,1),"U","G"))</f>
        <v>G</v>
      </c>
      <c r="AF31" s="166" t="str">
        <f>IF(LEFT(Berekening!AD43,1)&gt;RIGHT(Berekening!AD43,1),"T",IF(LEFT(Berekening!AD43,1)&lt;RIGHT(Berekening!AD43,1),"U","G"))</f>
        <v>G</v>
      </c>
      <c r="AG31" s="166" t="str">
        <f>IF(LEFT(Berekening!AE43,1)&gt;RIGHT(Berekening!AE43,1),"T",IF(LEFT(Berekening!AE43,1)&lt;RIGHT(Berekening!AE43,1),"U","G"))</f>
        <v>G</v>
      </c>
      <c r="AH31" s="166" t="str">
        <f>IF(LEFT(Berekening!AF43,1)&gt;RIGHT(Berekening!AF43,1),"T",IF(LEFT(Berekening!AF43,1)&lt;RIGHT(Berekening!AF43,1),"U","G"))</f>
        <v>G</v>
      </c>
      <c r="AI31" s="166" t="str">
        <f>IF(LEFT(Berekening!AG43,1)&gt;RIGHT(Berekening!AG43,1),"T",IF(LEFT(Berekening!AG43,1)&lt;RIGHT(Berekening!AG43,1),"U","G"))</f>
        <v>G</v>
      </c>
      <c r="AJ31" s="166" t="str">
        <f>IF(LEFT(Berekening!AH43,1)&gt;RIGHT(Berekening!AH43,1),"T",IF(LEFT(Berekening!AH43,1)&lt;RIGHT(Berekening!AH43,1),"U","G"))</f>
        <v>G</v>
      </c>
      <c r="AK31" s="166" t="str">
        <f>IF(LEFT(Berekening!AI43,1)&gt;RIGHT(Berekening!AI43,1),"T",IF(LEFT(Berekening!AI43,1)&lt;RIGHT(Berekening!AI43,1),"U","G"))</f>
        <v>G</v>
      </c>
      <c r="AL31" s="166" t="str">
        <f>IF(LEFT(Berekening!AJ43,1)&gt;RIGHT(Berekening!AJ43,1),"T",IF(LEFT(Berekening!AJ43,1)&lt;RIGHT(Berekening!AJ43,1),"U","G"))</f>
        <v>G</v>
      </c>
      <c r="AM31" s="166" t="str">
        <f>IF(LEFT(Berekening!AK43,1)&gt;RIGHT(Berekening!AK43,1),"T",IF(LEFT(Berekening!AK43,1)&lt;RIGHT(Berekening!AK43,1),"U","G"))</f>
        <v>G</v>
      </c>
      <c r="AN31" s="166" t="str">
        <f>IF(LEFT(Berekening!AL43,1)&gt;RIGHT(Berekening!AL43,1),"T",IF(LEFT(Berekening!AL43,1)&lt;RIGHT(Berekening!AL43,1),"U","G"))</f>
        <v>G</v>
      </c>
      <c r="AO31" s="166" t="str">
        <f>IF(LEFT(Berekening!AM43,1)&gt;RIGHT(Berekening!AM43,1),"T",IF(LEFT(Berekening!AM43,1)&lt;RIGHT(Berekening!AM43,1),"U","G"))</f>
        <v>G</v>
      </c>
      <c r="AP31" s="166" t="str">
        <f>IF(LEFT(Berekening!AN43,1)&gt;RIGHT(Berekening!AN43,1),"T",IF(LEFT(Berekening!AN43,1)&lt;RIGHT(Berekening!AN43,1),"U","G"))</f>
        <v>G</v>
      </c>
      <c r="AQ31" s="166" t="str">
        <f>IF(LEFT(Berekening!AO43,1)&gt;RIGHT(Berekening!AO43,1),"T",IF(LEFT(Berekening!AO43,1)&lt;RIGHT(Berekening!AO43,1),"U","G"))</f>
        <v>G</v>
      </c>
      <c r="AR31" s="166" t="str">
        <f>IF(LEFT(Berekening!AP43,1)&gt;RIGHT(Berekening!AP43,1),"T",IF(LEFT(Berekening!AP43,1)&lt;RIGHT(Berekening!AP43,1),"U","G"))</f>
        <v>G</v>
      </c>
      <c r="AS31" s="166" t="str">
        <f>IF(LEFT(Berekening!AQ43,1)&gt;RIGHT(Berekening!AQ43,1),"T",IF(LEFT(Berekening!AQ43,1)&lt;RIGHT(Berekening!AQ43,1),"U","G"))</f>
        <v>G</v>
      </c>
      <c r="AT31" s="166" t="str">
        <f>IF(LEFT(Berekening!AR43,1)&gt;RIGHT(Berekening!AR43,1),"T",IF(LEFT(Berekening!AR43,1)&lt;RIGHT(Berekening!AR43,1),"U","G"))</f>
        <v>G</v>
      </c>
      <c r="AU31" s="166" t="str">
        <f>IF(LEFT(Berekening!AS43,1)&gt;RIGHT(Berekening!AS43,1),"T",IF(LEFT(Berekening!AS43,1)&lt;RIGHT(Berekening!AS43,1),"U","G"))</f>
        <v>G</v>
      </c>
      <c r="AV31" s="166" t="str">
        <f>IF(LEFT(Berekening!AT43,1)&gt;RIGHT(Berekening!AT43,1),"T",IF(LEFT(Berekening!AT43,1)&lt;RIGHT(Berekening!AT43,1),"U","G"))</f>
        <v>G</v>
      </c>
    </row>
    <row r="32" spans="3:48">
      <c r="C32" s="163" t="s">
        <v>1789</v>
      </c>
      <c r="D32" s="164" t="s">
        <v>2971</v>
      </c>
      <c r="E32" s="165" t="s">
        <v>1822</v>
      </c>
      <c r="G32" s="166" t="str">
        <f>IF(LEFT(Berekening!E44,1)&gt;RIGHT(Berekening!E44,1),"T",IF(LEFT(Berekening!E44,1)&lt;RIGHT(Berekening!E44,1),"U","G"))</f>
        <v>T</v>
      </c>
      <c r="H32" s="166" t="str">
        <f>IF(LEFT(Berekening!F44,1)&gt;RIGHT(Berekening!F44,1),"T",IF(LEFT(Berekening!F44,1)&lt;RIGHT(Berekening!F44,1),"U","G"))</f>
        <v>T</v>
      </c>
      <c r="I32" s="166" t="str">
        <f>IF(LEFT(Berekening!G44,1)&gt;RIGHT(Berekening!G44,1),"T",IF(LEFT(Berekening!G44,1)&lt;RIGHT(Berekening!G44,1),"U","G"))</f>
        <v>T</v>
      </c>
      <c r="J32" s="166" t="str">
        <f>IF(LEFT(Berekening!H44,1)&gt;RIGHT(Berekening!H44,1),"T",IF(LEFT(Berekening!H44,1)&lt;RIGHT(Berekening!H44,1),"U","G"))</f>
        <v>T</v>
      </c>
      <c r="K32" s="166" t="str">
        <f>IF(LEFT(Berekening!I44,1)&gt;RIGHT(Berekening!I44,1),"T",IF(LEFT(Berekening!I44,1)&lt;RIGHT(Berekening!I44,1),"U","G"))</f>
        <v>T</v>
      </c>
      <c r="L32" s="166" t="str">
        <f>IF(LEFT(Berekening!J44,1)&gt;RIGHT(Berekening!J44,1),"T",IF(LEFT(Berekening!J44,1)&lt;RIGHT(Berekening!J44,1),"U","G"))</f>
        <v>T</v>
      </c>
      <c r="M32" s="166" t="str">
        <f>IF(LEFT(Berekening!K44,1)&gt;RIGHT(Berekening!K44,1),"T",IF(LEFT(Berekening!K44,1)&lt;RIGHT(Berekening!K44,1),"U","G"))</f>
        <v>T</v>
      </c>
      <c r="N32" s="166" t="str">
        <f>IF(LEFT(Berekening!L44,1)&gt;RIGHT(Berekening!L44,1),"T",IF(LEFT(Berekening!L44,1)&lt;RIGHT(Berekening!L44,1),"U","G"))</f>
        <v>T</v>
      </c>
      <c r="O32" s="166" t="str">
        <f>IF(LEFT(Berekening!M44,1)&gt;RIGHT(Berekening!M44,1),"T",IF(LEFT(Berekening!M44,1)&lt;RIGHT(Berekening!M44,1),"U","G"))</f>
        <v>T</v>
      </c>
      <c r="P32" s="166" t="str">
        <f>IF(LEFT(Berekening!N44,1)&gt;RIGHT(Berekening!N44,1),"T",IF(LEFT(Berekening!N44,1)&lt;RIGHT(Berekening!N44,1),"U","G"))</f>
        <v>T</v>
      </c>
      <c r="Q32" s="166" t="str">
        <f>IF(LEFT(Berekening!O44,1)&gt;RIGHT(Berekening!O44,1),"T",IF(LEFT(Berekening!O44,1)&lt;RIGHT(Berekening!O44,1),"U","G"))</f>
        <v>T</v>
      </c>
      <c r="R32" s="166" t="str">
        <f>IF(LEFT(Berekening!P44,1)&gt;RIGHT(Berekening!P44,1),"T",IF(LEFT(Berekening!P44,1)&lt;RIGHT(Berekening!P44,1),"U","G"))</f>
        <v>T</v>
      </c>
      <c r="S32" s="166" t="str">
        <f>IF(LEFT(Berekening!Q44,1)&gt;RIGHT(Berekening!Q44,1),"T",IF(LEFT(Berekening!Q44,1)&lt;RIGHT(Berekening!Q44,1),"U","G"))</f>
        <v>T</v>
      </c>
      <c r="T32" s="166" t="str">
        <f>IF(LEFT(Berekening!R44,1)&gt;RIGHT(Berekening!R44,1),"T",IF(LEFT(Berekening!R44,1)&lt;RIGHT(Berekening!R44,1),"U","G"))</f>
        <v>T</v>
      </c>
      <c r="U32" s="166" t="str">
        <f>IF(LEFT(Berekening!S44,1)&gt;RIGHT(Berekening!S44,1),"T",IF(LEFT(Berekening!S44,1)&lt;RIGHT(Berekening!S44,1),"U","G"))</f>
        <v>T</v>
      </c>
      <c r="V32" s="166" t="str">
        <f>IF(LEFT(Berekening!T44,1)&gt;RIGHT(Berekening!T44,1),"T",IF(LEFT(Berekening!T44,1)&lt;RIGHT(Berekening!T44,1),"U","G"))</f>
        <v>T</v>
      </c>
      <c r="W32" s="166" t="str">
        <f>IF(LEFT(Berekening!U44,1)&gt;RIGHT(Berekening!U44,1),"T",IF(LEFT(Berekening!U44,1)&lt;RIGHT(Berekening!U44,1),"U","G"))</f>
        <v>G</v>
      </c>
      <c r="X32" s="166" t="str">
        <f>IF(LEFT(Berekening!V44,1)&gt;RIGHT(Berekening!V44,1),"T",IF(LEFT(Berekening!V44,1)&lt;RIGHT(Berekening!V44,1),"U","G"))</f>
        <v>G</v>
      </c>
      <c r="Y32" s="166" t="str">
        <f>IF(LEFT(Berekening!W44,1)&gt;RIGHT(Berekening!W44,1),"T",IF(LEFT(Berekening!W44,1)&lt;RIGHT(Berekening!W44,1),"U","G"))</f>
        <v>G</v>
      </c>
      <c r="Z32" s="166" t="str">
        <f>IF(LEFT(Berekening!X44,1)&gt;RIGHT(Berekening!X44,1),"T",IF(LEFT(Berekening!X44,1)&lt;RIGHT(Berekening!X44,1),"U","G"))</f>
        <v>G</v>
      </c>
      <c r="AA32" s="166" t="str">
        <f>IF(LEFT(Berekening!Y44,1)&gt;RIGHT(Berekening!Y44,1),"T",IF(LEFT(Berekening!Y44,1)&lt;RIGHT(Berekening!Y44,1),"U","G"))</f>
        <v>G</v>
      </c>
      <c r="AB32" s="166" t="str">
        <f>IF(LEFT(Berekening!Z44,1)&gt;RIGHT(Berekening!Z44,1),"T",IF(LEFT(Berekening!Z44,1)&lt;RIGHT(Berekening!Z44,1),"U","G"))</f>
        <v>G</v>
      </c>
      <c r="AC32" s="166" t="str">
        <f>IF(LEFT(Berekening!AA44,1)&gt;RIGHT(Berekening!AA44,1),"T",IF(LEFT(Berekening!AA44,1)&lt;RIGHT(Berekening!AA44,1),"U","G"))</f>
        <v>G</v>
      </c>
      <c r="AD32" s="166" t="str">
        <f>IF(LEFT(Berekening!AB44,1)&gt;RIGHT(Berekening!AB44,1),"T",IF(LEFT(Berekening!AB44,1)&lt;RIGHT(Berekening!AB44,1),"U","G"))</f>
        <v>G</v>
      </c>
      <c r="AE32" s="166" t="str">
        <f>IF(LEFT(Berekening!AC44,1)&gt;RIGHT(Berekening!AC44,1),"T",IF(LEFT(Berekening!AC44,1)&lt;RIGHT(Berekening!AC44,1),"U","G"))</f>
        <v>G</v>
      </c>
      <c r="AF32" s="166" t="str">
        <f>IF(LEFT(Berekening!AD44,1)&gt;RIGHT(Berekening!AD44,1),"T",IF(LEFT(Berekening!AD44,1)&lt;RIGHT(Berekening!AD44,1),"U","G"))</f>
        <v>G</v>
      </c>
      <c r="AG32" s="166" t="str">
        <f>IF(LEFT(Berekening!AE44,1)&gt;RIGHT(Berekening!AE44,1),"T",IF(LEFT(Berekening!AE44,1)&lt;RIGHT(Berekening!AE44,1),"U","G"))</f>
        <v>G</v>
      </c>
      <c r="AH32" s="166" t="str">
        <f>IF(LEFT(Berekening!AF44,1)&gt;RIGHT(Berekening!AF44,1),"T",IF(LEFT(Berekening!AF44,1)&lt;RIGHT(Berekening!AF44,1),"U","G"))</f>
        <v>G</v>
      </c>
      <c r="AI32" s="166" t="str">
        <f>IF(LEFT(Berekening!AG44,1)&gt;RIGHT(Berekening!AG44,1),"T",IF(LEFT(Berekening!AG44,1)&lt;RIGHT(Berekening!AG44,1),"U","G"))</f>
        <v>G</v>
      </c>
      <c r="AJ32" s="166" t="str">
        <f>IF(LEFT(Berekening!AH44,1)&gt;RIGHT(Berekening!AH44,1),"T",IF(LEFT(Berekening!AH44,1)&lt;RIGHT(Berekening!AH44,1),"U","G"))</f>
        <v>G</v>
      </c>
      <c r="AK32" s="166" t="str">
        <f>IF(LEFT(Berekening!AI44,1)&gt;RIGHT(Berekening!AI44,1),"T",IF(LEFT(Berekening!AI44,1)&lt;RIGHT(Berekening!AI44,1),"U","G"))</f>
        <v>G</v>
      </c>
      <c r="AL32" s="166" t="str">
        <f>IF(LEFT(Berekening!AJ44,1)&gt;RIGHT(Berekening!AJ44,1),"T",IF(LEFT(Berekening!AJ44,1)&lt;RIGHT(Berekening!AJ44,1),"U","G"))</f>
        <v>G</v>
      </c>
      <c r="AM32" s="166" t="str">
        <f>IF(LEFT(Berekening!AK44,1)&gt;RIGHT(Berekening!AK44,1),"T",IF(LEFT(Berekening!AK44,1)&lt;RIGHT(Berekening!AK44,1),"U","G"))</f>
        <v>G</v>
      </c>
      <c r="AN32" s="166" t="str">
        <f>IF(LEFT(Berekening!AL44,1)&gt;RIGHT(Berekening!AL44,1),"T",IF(LEFT(Berekening!AL44,1)&lt;RIGHT(Berekening!AL44,1),"U","G"))</f>
        <v>G</v>
      </c>
      <c r="AO32" s="166" t="str">
        <f>IF(LEFT(Berekening!AM44,1)&gt;RIGHT(Berekening!AM44,1),"T",IF(LEFT(Berekening!AM44,1)&lt;RIGHT(Berekening!AM44,1),"U","G"))</f>
        <v>G</v>
      </c>
      <c r="AP32" s="166" t="str">
        <f>IF(LEFT(Berekening!AN44,1)&gt;RIGHT(Berekening!AN44,1),"T",IF(LEFT(Berekening!AN44,1)&lt;RIGHT(Berekening!AN44,1),"U","G"))</f>
        <v>G</v>
      </c>
      <c r="AQ32" s="166" t="str">
        <f>IF(LEFT(Berekening!AO44,1)&gt;RIGHT(Berekening!AO44,1),"T",IF(LEFT(Berekening!AO44,1)&lt;RIGHT(Berekening!AO44,1),"U","G"))</f>
        <v>G</v>
      </c>
      <c r="AR32" s="166" t="str">
        <f>IF(LEFT(Berekening!AP44,1)&gt;RIGHT(Berekening!AP44,1),"T",IF(LEFT(Berekening!AP44,1)&lt;RIGHT(Berekening!AP44,1),"U","G"))</f>
        <v>G</v>
      </c>
      <c r="AS32" s="166" t="str">
        <f>IF(LEFT(Berekening!AQ44,1)&gt;RIGHT(Berekening!AQ44,1),"T",IF(LEFT(Berekening!AQ44,1)&lt;RIGHT(Berekening!AQ44,1),"U","G"))</f>
        <v>G</v>
      </c>
      <c r="AT32" s="166" t="str">
        <f>IF(LEFT(Berekening!AR44,1)&gt;RIGHT(Berekening!AR44,1),"T",IF(LEFT(Berekening!AR44,1)&lt;RIGHT(Berekening!AR44,1),"U","G"))</f>
        <v>G</v>
      </c>
      <c r="AU32" s="166" t="str">
        <f>IF(LEFT(Berekening!AS44,1)&gt;RIGHT(Berekening!AS44,1),"T",IF(LEFT(Berekening!AS44,1)&lt;RIGHT(Berekening!AS44,1),"U","G"))</f>
        <v>G</v>
      </c>
      <c r="AV32" s="166" t="str">
        <f>IF(LEFT(Berekening!AT44,1)&gt;RIGHT(Berekening!AT44,1),"T",IF(LEFT(Berekening!AT44,1)&lt;RIGHT(Berekening!AT44,1),"U","G"))</f>
        <v>G</v>
      </c>
    </row>
    <row r="33" spans="3:48">
      <c r="C33" s="163" t="s">
        <v>1856</v>
      </c>
      <c r="D33" s="164" t="s">
        <v>2971</v>
      </c>
      <c r="E33" s="165" t="s">
        <v>2630</v>
      </c>
      <c r="G33" s="166" t="str">
        <f>IF(LEFT(Berekening!E45,1)&gt;RIGHT(Berekening!E45,1),"T",IF(LEFT(Berekening!E45,1)&lt;RIGHT(Berekening!E45,1),"U","G"))</f>
        <v>T</v>
      </c>
      <c r="H33" s="166" t="str">
        <f>IF(LEFT(Berekening!F45,1)&gt;RIGHT(Berekening!F45,1),"T",IF(LEFT(Berekening!F45,1)&lt;RIGHT(Berekening!F45,1),"U","G"))</f>
        <v>T</v>
      </c>
      <c r="I33" s="166" t="str">
        <f>IF(LEFT(Berekening!G45,1)&gt;RIGHT(Berekening!G45,1),"T",IF(LEFT(Berekening!G45,1)&lt;RIGHT(Berekening!G45,1),"U","G"))</f>
        <v>T</v>
      </c>
      <c r="J33" s="166" t="str">
        <f>IF(LEFT(Berekening!H45,1)&gt;RIGHT(Berekening!H45,1),"T",IF(LEFT(Berekening!H45,1)&lt;RIGHT(Berekening!H45,1),"U","G"))</f>
        <v>T</v>
      </c>
      <c r="K33" s="166" t="str">
        <f>IF(LEFT(Berekening!I45,1)&gt;RIGHT(Berekening!I45,1),"T",IF(LEFT(Berekening!I45,1)&lt;RIGHT(Berekening!I45,1),"U","G"))</f>
        <v>T</v>
      </c>
      <c r="L33" s="166" t="str">
        <f>IF(LEFT(Berekening!J45,1)&gt;RIGHT(Berekening!J45,1),"T",IF(LEFT(Berekening!J45,1)&lt;RIGHT(Berekening!J45,1),"U","G"))</f>
        <v>T</v>
      </c>
      <c r="M33" s="166" t="str">
        <f>IF(LEFT(Berekening!K45,1)&gt;RIGHT(Berekening!K45,1),"T",IF(LEFT(Berekening!K45,1)&lt;RIGHT(Berekening!K45,1),"U","G"))</f>
        <v>T</v>
      </c>
      <c r="N33" s="166" t="str">
        <f>IF(LEFT(Berekening!L45,1)&gt;RIGHT(Berekening!L45,1),"T",IF(LEFT(Berekening!L45,1)&lt;RIGHT(Berekening!L45,1),"U","G"))</f>
        <v>T</v>
      </c>
      <c r="O33" s="166" t="str">
        <f>IF(LEFT(Berekening!M45,1)&gt;RIGHT(Berekening!M45,1),"T",IF(LEFT(Berekening!M45,1)&lt;RIGHT(Berekening!M45,1),"U","G"))</f>
        <v>T</v>
      </c>
      <c r="P33" s="166" t="str">
        <f>IF(LEFT(Berekening!N45,1)&gt;RIGHT(Berekening!N45,1),"T",IF(LEFT(Berekening!N45,1)&lt;RIGHT(Berekening!N45,1),"U","G"))</f>
        <v>T</v>
      </c>
      <c r="Q33" s="166" t="str">
        <f>IF(LEFT(Berekening!O45,1)&gt;RIGHT(Berekening!O45,1),"T",IF(LEFT(Berekening!O45,1)&lt;RIGHT(Berekening!O45,1),"U","G"))</f>
        <v>T</v>
      </c>
      <c r="R33" s="166" t="str">
        <f>IF(LEFT(Berekening!P45,1)&gt;RIGHT(Berekening!P45,1),"T",IF(LEFT(Berekening!P45,1)&lt;RIGHT(Berekening!P45,1),"U","G"))</f>
        <v>T</v>
      </c>
      <c r="S33" s="166" t="str">
        <f>IF(LEFT(Berekening!Q45,1)&gt;RIGHT(Berekening!Q45,1),"T",IF(LEFT(Berekening!Q45,1)&lt;RIGHT(Berekening!Q45,1),"U","G"))</f>
        <v>T</v>
      </c>
      <c r="T33" s="166" t="str">
        <f>IF(LEFT(Berekening!R45,1)&gt;RIGHT(Berekening!R45,1),"T",IF(LEFT(Berekening!R45,1)&lt;RIGHT(Berekening!R45,1),"U","G"))</f>
        <v>T</v>
      </c>
      <c r="U33" s="166" t="str">
        <f>IF(LEFT(Berekening!S45,1)&gt;RIGHT(Berekening!S45,1),"T",IF(LEFT(Berekening!S45,1)&lt;RIGHT(Berekening!S45,1),"U","G"))</f>
        <v>T</v>
      </c>
      <c r="V33" s="166" t="str">
        <f>IF(LEFT(Berekening!T45,1)&gt;RIGHT(Berekening!T45,1),"T",IF(LEFT(Berekening!T45,1)&lt;RIGHT(Berekening!T45,1),"U","G"))</f>
        <v>T</v>
      </c>
      <c r="W33" s="166" t="str">
        <f>IF(LEFT(Berekening!U45,1)&gt;RIGHT(Berekening!U45,1),"T",IF(LEFT(Berekening!U45,1)&lt;RIGHT(Berekening!U45,1),"U","G"))</f>
        <v>G</v>
      </c>
      <c r="X33" s="166" t="str">
        <f>IF(LEFT(Berekening!V45,1)&gt;RIGHT(Berekening!V45,1),"T",IF(LEFT(Berekening!V45,1)&lt;RIGHT(Berekening!V45,1),"U","G"))</f>
        <v>G</v>
      </c>
      <c r="Y33" s="166" t="str">
        <f>IF(LEFT(Berekening!W45,1)&gt;RIGHT(Berekening!W45,1),"T",IF(LEFT(Berekening!W45,1)&lt;RIGHT(Berekening!W45,1),"U","G"))</f>
        <v>G</v>
      </c>
      <c r="Z33" s="166" t="str">
        <f>IF(LEFT(Berekening!X45,1)&gt;RIGHT(Berekening!X45,1),"T",IF(LEFT(Berekening!X45,1)&lt;RIGHT(Berekening!X45,1),"U","G"))</f>
        <v>G</v>
      </c>
      <c r="AA33" s="166" t="str">
        <f>IF(LEFT(Berekening!Y45,1)&gt;RIGHT(Berekening!Y45,1),"T",IF(LEFT(Berekening!Y45,1)&lt;RIGHT(Berekening!Y45,1),"U","G"))</f>
        <v>G</v>
      </c>
      <c r="AB33" s="166" t="str">
        <f>IF(LEFT(Berekening!Z45,1)&gt;RIGHT(Berekening!Z45,1),"T",IF(LEFT(Berekening!Z45,1)&lt;RIGHT(Berekening!Z45,1),"U","G"))</f>
        <v>G</v>
      </c>
      <c r="AC33" s="166" t="str">
        <f>IF(LEFT(Berekening!AA45,1)&gt;RIGHT(Berekening!AA45,1),"T",IF(LEFT(Berekening!AA45,1)&lt;RIGHT(Berekening!AA45,1),"U","G"))</f>
        <v>G</v>
      </c>
      <c r="AD33" s="166" t="str">
        <f>IF(LEFT(Berekening!AB45,1)&gt;RIGHT(Berekening!AB45,1),"T",IF(LEFT(Berekening!AB45,1)&lt;RIGHT(Berekening!AB45,1),"U","G"))</f>
        <v>G</v>
      </c>
      <c r="AE33" s="166" t="str">
        <f>IF(LEFT(Berekening!AC45,1)&gt;RIGHT(Berekening!AC45,1),"T",IF(LEFT(Berekening!AC45,1)&lt;RIGHT(Berekening!AC45,1),"U","G"))</f>
        <v>G</v>
      </c>
      <c r="AF33" s="166" t="str">
        <f>IF(LEFT(Berekening!AD45,1)&gt;RIGHT(Berekening!AD45,1),"T",IF(LEFT(Berekening!AD45,1)&lt;RIGHT(Berekening!AD45,1),"U","G"))</f>
        <v>G</v>
      </c>
      <c r="AG33" s="166" t="str">
        <f>IF(LEFT(Berekening!AE45,1)&gt;RIGHT(Berekening!AE45,1),"T",IF(LEFT(Berekening!AE45,1)&lt;RIGHT(Berekening!AE45,1),"U","G"))</f>
        <v>G</v>
      </c>
      <c r="AH33" s="166" t="str">
        <f>IF(LEFT(Berekening!AF45,1)&gt;RIGHT(Berekening!AF45,1),"T",IF(LEFT(Berekening!AF45,1)&lt;RIGHT(Berekening!AF45,1),"U","G"))</f>
        <v>G</v>
      </c>
      <c r="AI33" s="166" t="str">
        <f>IF(LEFT(Berekening!AG45,1)&gt;RIGHT(Berekening!AG45,1),"T",IF(LEFT(Berekening!AG45,1)&lt;RIGHT(Berekening!AG45,1),"U","G"))</f>
        <v>G</v>
      </c>
      <c r="AJ33" s="166" t="str">
        <f>IF(LEFT(Berekening!AH45,1)&gt;RIGHT(Berekening!AH45,1),"T",IF(LEFT(Berekening!AH45,1)&lt;RIGHT(Berekening!AH45,1),"U","G"))</f>
        <v>G</v>
      </c>
      <c r="AK33" s="166" t="str">
        <f>IF(LEFT(Berekening!AI45,1)&gt;RIGHT(Berekening!AI45,1),"T",IF(LEFT(Berekening!AI45,1)&lt;RIGHT(Berekening!AI45,1),"U","G"))</f>
        <v>G</v>
      </c>
      <c r="AL33" s="166" t="str">
        <f>IF(LEFT(Berekening!AJ45,1)&gt;RIGHT(Berekening!AJ45,1),"T",IF(LEFT(Berekening!AJ45,1)&lt;RIGHT(Berekening!AJ45,1),"U","G"))</f>
        <v>G</v>
      </c>
      <c r="AM33" s="166" t="str">
        <f>IF(LEFT(Berekening!AK45,1)&gt;RIGHT(Berekening!AK45,1),"T",IF(LEFT(Berekening!AK45,1)&lt;RIGHT(Berekening!AK45,1),"U","G"))</f>
        <v>G</v>
      </c>
      <c r="AN33" s="166" t="str">
        <f>IF(LEFT(Berekening!AL45,1)&gt;RIGHT(Berekening!AL45,1),"T",IF(LEFT(Berekening!AL45,1)&lt;RIGHT(Berekening!AL45,1),"U","G"))</f>
        <v>G</v>
      </c>
      <c r="AO33" s="166" t="str">
        <f>IF(LEFT(Berekening!AM45,1)&gt;RIGHT(Berekening!AM45,1),"T",IF(LEFT(Berekening!AM45,1)&lt;RIGHT(Berekening!AM45,1),"U","G"))</f>
        <v>G</v>
      </c>
      <c r="AP33" s="166" t="str">
        <f>IF(LEFT(Berekening!AN45,1)&gt;RIGHT(Berekening!AN45,1),"T",IF(LEFT(Berekening!AN45,1)&lt;RIGHT(Berekening!AN45,1),"U","G"))</f>
        <v>G</v>
      </c>
      <c r="AQ33" s="166" t="str">
        <f>IF(LEFT(Berekening!AO45,1)&gt;RIGHT(Berekening!AO45,1),"T",IF(LEFT(Berekening!AO45,1)&lt;RIGHT(Berekening!AO45,1),"U","G"))</f>
        <v>G</v>
      </c>
      <c r="AR33" s="166" t="str">
        <f>IF(LEFT(Berekening!AP45,1)&gt;RIGHT(Berekening!AP45,1),"T",IF(LEFT(Berekening!AP45,1)&lt;RIGHT(Berekening!AP45,1),"U","G"))</f>
        <v>G</v>
      </c>
      <c r="AS33" s="166" t="str">
        <f>IF(LEFT(Berekening!AQ45,1)&gt;RIGHT(Berekening!AQ45,1),"T",IF(LEFT(Berekening!AQ45,1)&lt;RIGHT(Berekening!AQ45,1),"U","G"))</f>
        <v>G</v>
      </c>
      <c r="AT33" s="166" t="str">
        <f>IF(LEFT(Berekening!AR45,1)&gt;RIGHT(Berekening!AR45,1),"T",IF(LEFT(Berekening!AR45,1)&lt;RIGHT(Berekening!AR45,1),"U","G"))</f>
        <v>G</v>
      </c>
      <c r="AU33" s="166" t="str">
        <f>IF(LEFT(Berekening!AS45,1)&gt;RIGHT(Berekening!AS45,1),"T",IF(LEFT(Berekening!AS45,1)&lt;RIGHT(Berekening!AS45,1),"U","G"))</f>
        <v>G</v>
      </c>
      <c r="AV33" s="166" t="str">
        <f>IF(LEFT(Berekening!AT45,1)&gt;RIGHT(Berekening!AT45,1),"T",IF(LEFT(Berekening!AT45,1)&lt;RIGHT(Berekening!AT45,1),"U","G"))</f>
        <v>G</v>
      </c>
    </row>
    <row r="34" spans="3:48">
      <c r="C34" s="163" t="s">
        <v>1206</v>
      </c>
      <c r="D34" s="164" t="s">
        <v>2971</v>
      </c>
      <c r="E34" s="165" t="s">
        <v>2661</v>
      </c>
      <c r="G34" s="166" t="str">
        <f>IF(LEFT(Berekening!E46,1)&gt;RIGHT(Berekening!E46,1),"T",IF(LEFT(Berekening!E46,1)&lt;RIGHT(Berekening!E46,1),"U","G"))</f>
        <v>G</v>
      </c>
      <c r="H34" s="166" t="str">
        <f>IF(LEFT(Berekening!F46,1)&gt;RIGHT(Berekening!F46,1),"T",IF(LEFT(Berekening!F46,1)&lt;RIGHT(Berekening!F46,1),"U","G"))</f>
        <v>G</v>
      </c>
      <c r="I34" s="166" t="str">
        <f>IF(LEFT(Berekening!G46,1)&gt;RIGHT(Berekening!G46,1),"T",IF(LEFT(Berekening!G46,1)&lt;RIGHT(Berekening!G46,1),"U","G"))</f>
        <v>T</v>
      </c>
      <c r="J34" s="166" t="str">
        <f>IF(LEFT(Berekening!H46,1)&gt;RIGHT(Berekening!H46,1),"T",IF(LEFT(Berekening!H46,1)&lt;RIGHT(Berekening!H46,1),"U","G"))</f>
        <v>G</v>
      </c>
      <c r="K34" s="166" t="str">
        <f>IF(LEFT(Berekening!I46,1)&gt;RIGHT(Berekening!I46,1),"T",IF(LEFT(Berekening!I46,1)&lt;RIGHT(Berekening!I46,1),"U","G"))</f>
        <v>T</v>
      </c>
      <c r="L34" s="166" t="str">
        <f>IF(LEFT(Berekening!J46,1)&gt;RIGHT(Berekening!J46,1),"T",IF(LEFT(Berekening!J46,1)&lt;RIGHT(Berekening!J46,1),"U","G"))</f>
        <v>G</v>
      </c>
      <c r="M34" s="166" t="str">
        <f>IF(LEFT(Berekening!K46,1)&gt;RIGHT(Berekening!K46,1),"T",IF(LEFT(Berekening!K46,1)&lt;RIGHT(Berekening!K46,1),"U","G"))</f>
        <v>T</v>
      </c>
      <c r="N34" s="166" t="str">
        <f>IF(LEFT(Berekening!L46,1)&gt;RIGHT(Berekening!L46,1),"T",IF(LEFT(Berekening!L46,1)&lt;RIGHT(Berekening!L46,1),"U","G"))</f>
        <v>T</v>
      </c>
      <c r="O34" s="166" t="str">
        <f>IF(LEFT(Berekening!M46,1)&gt;RIGHT(Berekening!M46,1),"T",IF(LEFT(Berekening!M46,1)&lt;RIGHT(Berekening!M46,1),"U","G"))</f>
        <v>T</v>
      </c>
      <c r="P34" s="166" t="str">
        <f>IF(LEFT(Berekening!N46,1)&gt;RIGHT(Berekening!N46,1),"T",IF(LEFT(Berekening!N46,1)&lt;RIGHT(Berekening!N46,1),"U","G"))</f>
        <v>T</v>
      </c>
      <c r="Q34" s="166" t="str">
        <f>IF(LEFT(Berekening!O46,1)&gt;RIGHT(Berekening!O46,1),"T",IF(LEFT(Berekening!O46,1)&lt;RIGHT(Berekening!O46,1),"U","G"))</f>
        <v>T</v>
      </c>
      <c r="R34" s="166" t="str">
        <f>IF(LEFT(Berekening!P46,1)&gt;RIGHT(Berekening!P46,1),"T",IF(LEFT(Berekening!P46,1)&lt;RIGHT(Berekening!P46,1),"U","G"))</f>
        <v>G</v>
      </c>
      <c r="S34" s="166" t="str">
        <f>IF(LEFT(Berekening!Q46,1)&gt;RIGHT(Berekening!Q46,1),"T",IF(LEFT(Berekening!Q46,1)&lt;RIGHT(Berekening!Q46,1),"U","G"))</f>
        <v>T</v>
      </c>
      <c r="T34" s="166" t="str">
        <f>IF(LEFT(Berekening!R46,1)&gt;RIGHT(Berekening!R46,1),"T",IF(LEFT(Berekening!R46,1)&lt;RIGHT(Berekening!R46,1),"U","G"))</f>
        <v>T</v>
      </c>
      <c r="U34" s="166" t="str">
        <f>IF(LEFT(Berekening!S46,1)&gt;RIGHT(Berekening!S46,1),"T",IF(LEFT(Berekening!S46,1)&lt;RIGHT(Berekening!S46,1),"U","G"))</f>
        <v>U</v>
      </c>
      <c r="V34" s="166" t="str">
        <f>IF(LEFT(Berekening!T46,1)&gt;RIGHT(Berekening!T46,1),"T",IF(LEFT(Berekening!T46,1)&lt;RIGHT(Berekening!T46,1),"U","G"))</f>
        <v>G</v>
      </c>
      <c r="W34" s="166" t="str">
        <f>IF(LEFT(Berekening!U46,1)&gt;RIGHT(Berekening!U46,1),"T",IF(LEFT(Berekening!U46,1)&lt;RIGHT(Berekening!U46,1),"U","G"))</f>
        <v>G</v>
      </c>
      <c r="X34" s="166" t="str">
        <f>IF(LEFT(Berekening!V46,1)&gt;RIGHT(Berekening!V46,1),"T",IF(LEFT(Berekening!V46,1)&lt;RIGHT(Berekening!V46,1),"U","G"))</f>
        <v>G</v>
      </c>
      <c r="Y34" s="166" t="str">
        <f>IF(LEFT(Berekening!W46,1)&gt;RIGHT(Berekening!W46,1),"T",IF(LEFT(Berekening!W46,1)&lt;RIGHT(Berekening!W46,1),"U","G"))</f>
        <v>G</v>
      </c>
      <c r="Z34" s="166" t="str">
        <f>IF(LEFT(Berekening!X46,1)&gt;RIGHT(Berekening!X46,1),"T",IF(LEFT(Berekening!X46,1)&lt;RIGHT(Berekening!X46,1),"U","G"))</f>
        <v>G</v>
      </c>
      <c r="AA34" s="166" t="str">
        <f>IF(LEFT(Berekening!Y46,1)&gt;RIGHT(Berekening!Y46,1),"T",IF(LEFT(Berekening!Y46,1)&lt;RIGHT(Berekening!Y46,1),"U","G"))</f>
        <v>G</v>
      </c>
      <c r="AB34" s="166" t="str">
        <f>IF(LEFT(Berekening!Z46,1)&gt;RIGHT(Berekening!Z46,1),"T",IF(LEFT(Berekening!Z46,1)&lt;RIGHT(Berekening!Z46,1),"U","G"))</f>
        <v>G</v>
      </c>
      <c r="AC34" s="166" t="str">
        <f>IF(LEFT(Berekening!AA46,1)&gt;RIGHT(Berekening!AA46,1),"T",IF(LEFT(Berekening!AA46,1)&lt;RIGHT(Berekening!AA46,1),"U","G"))</f>
        <v>G</v>
      </c>
      <c r="AD34" s="166" t="str">
        <f>IF(LEFT(Berekening!AB46,1)&gt;RIGHT(Berekening!AB46,1),"T",IF(LEFT(Berekening!AB46,1)&lt;RIGHT(Berekening!AB46,1),"U","G"))</f>
        <v>G</v>
      </c>
      <c r="AE34" s="166" t="str">
        <f>IF(LEFT(Berekening!AC46,1)&gt;RIGHT(Berekening!AC46,1),"T",IF(LEFT(Berekening!AC46,1)&lt;RIGHT(Berekening!AC46,1),"U","G"))</f>
        <v>G</v>
      </c>
      <c r="AF34" s="166" t="str">
        <f>IF(LEFT(Berekening!AD46,1)&gt;RIGHT(Berekening!AD46,1),"T",IF(LEFT(Berekening!AD46,1)&lt;RIGHT(Berekening!AD46,1),"U","G"))</f>
        <v>G</v>
      </c>
      <c r="AG34" s="166" t="str">
        <f>IF(LEFT(Berekening!AE46,1)&gt;RIGHT(Berekening!AE46,1),"T",IF(LEFT(Berekening!AE46,1)&lt;RIGHT(Berekening!AE46,1),"U","G"))</f>
        <v>G</v>
      </c>
      <c r="AH34" s="166" t="str">
        <f>IF(LEFT(Berekening!AF46,1)&gt;RIGHT(Berekening!AF46,1),"T",IF(LEFT(Berekening!AF46,1)&lt;RIGHT(Berekening!AF46,1),"U","G"))</f>
        <v>G</v>
      </c>
      <c r="AI34" s="166" t="str">
        <f>IF(LEFT(Berekening!AG46,1)&gt;RIGHT(Berekening!AG46,1),"T",IF(LEFT(Berekening!AG46,1)&lt;RIGHT(Berekening!AG46,1),"U","G"))</f>
        <v>G</v>
      </c>
      <c r="AJ34" s="166" t="str">
        <f>IF(LEFT(Berekening!AH46,1)&gt;RIGHT(Berekening!AH46,1),"T",IF(LEFT(Berekening!AH46,1)&lt;RIGHT(Berekening!AH46,1),"U","G"))</f>
        <v>G</v>
      </c>
      <c r="AK34" s="166" t="str">
        <f>IF(LEFT(Berekening!AI46,1)&gt;RIGHT(Berekening!AI46,1),"T",IF(LEFT(Berekening!AI46,1)&lt;RIGHT(Berekening!AI46,1),"U","G"))</f>
        <v>G</v>
      </c>
      <c r="AL34" s="166" t="str">
        <f>IF(LEFT(Berekening!AJ46,1)&gt;RIGHT(Berekening!AJ46,1),"T",IF(LEFT(Berekening!AJ46,1)&lt;RIGHT(Berekening!AJ46,1),"U","G"))</f>
        <v>G</v>
      </c>
      <c r="AM34" s="166" t="str">
        <f>IF(LEFT(Berekening!AK46,1)&gt;RIGHT(Berekening!AK46,1),"T",IF(LEFT(Berekening!AK46,1)&lt;RIGHT(Berekening!AK46,1),"U","G"))</f>
        <v>G</v>
      </c>
      <c r="AN34" s="166" t="str">
        <f>IF(LEFT(Berekening!AL46,1)&gt;RIGHT(Berekening!AL46,1),"T",IF(LEFT(Berekening!AL46,1)&lt;RIGHT(Berekening!AL46,1),"U","G"))</f>
        <v>G</v>
      </c>
      <c r="AO34" s="166" t="str">
        <f>IF(LEFT(Berekening!AM46,1)&gt;RIGHT(Berekening!AM46,1),"T",IF(LEFT(Berekening!AM46,1)&lt;RIGHT(Berekening!AM46,1),"U","G"))</f>
        <v>G</v>
      </c>
      <c r="AP34" s="166" t="str">
        <f>IF(LEFT(Berekening!AN46,1)&gt;RIGHT(Berekening!AN46,1),"T",IF(LEFT(Berekening!AN46,1)&lt;RIGHT(Berekening!AN46,1),"U","G"))</f>
        <v>G</v>
      </c>
      <c r="AQ34" s="166" t="str">
        <f>IF(LEFT(Berekening!AO46,1)&gt;RIGHT(Berekening!AO46,1),"T",IF(LEFT(Berekening!AO46,1)&lt;RIGHT(Berekening!AO46,1),"U","G"))</f>
        <v>G</v>
      </c>
      <c r="AR34" s="166" t="str">
        <f>IF(LEFT(Berekening!AP46,1)&gt;RIGHT(Berekening!AP46,1),"T",IF(LEFT(Berekening!AP46,1)&lt;RIGHT(Berekening!AP46,1),"U","G"))</f>
        <v>G</v>
      </c>
      <c r="AS34" s="166" t="str">
        <f>IF(LEFT(Berekening!AQ46,1)&gt;RIGHT(Berekening!AQ46,1),"T",IF(LEFT(Berekening!AQ46,1)&lt;RIGHT(Berekening!AQ46,1),"U","G"))</f>
        <v>G</v>
      </c>
      <c r="AT34" s="166" t="str">
        <f>IF(LEFT(Berekening!AR46,1)&gt;RIGHT(Berekening!AR46,1),"T",IF(LEFT(Berekening!AR46,1)&lt;RIGHT(Berekening!AR46,1),"U","G"))</f>
        <v>G</v>
      </c>
      <c r="AU34" s="166" t="str">
        <f>IF(LEFT(Berekening!AS46,1)&gt;RIGHT(Berekening!AS46,1),"T",IF(LEFT(Berekening!AS46,1)&lt;RIGHT(Berekening!AS46,1),"U","G"))</f>
        <v>G</v>
      </c>
      <c r="AV34" s="166" t="str">
        <f>IF(LEFT(Berekening!AT46,1)&gt;RIGHT(Berekening!AT46,1),"T",IF(LEFT(Berekening!AT46,1)&lt;RIGHT(Berekening!AT46,1),"U","G"))</f>
        <v>G</v>
      </c>
    </row>
    <row r="35" spans="3:48">
      <c r="C35" s="163" t="s">
        <v>1433</v>
      </c>
      <c r="D35" s="164" t="s">
        <v>2971</v>
      </c>
      <c r="E35" s="165" t="s">
        <v>1043</v>
      </c>
      <c r="G35" s="166" t="str">
        <f>IF(LEFT(Berekening!E47,1)&gt;RIGHT(Berekening!E47,1),"T",IF(LEFT(Berekening!E47,1)&lt;RIGHT(Berekening!E47,1),"U","G"))</f>
        <v>G</v>
      </c>
      <c r="H35" s="166" t="str">
        <f>IF(LEFT(Berekening!F47,1)&gt;RIGHT(Berekening!F47,1),"T",IF(LEFT(Berekening!F47,1)&lt;RIGHT(Berekening!F47,1),"U","G"))</f>
        <v>G</v>
      </c>
      <c r="I35" s="166" t="str">
        <f>IF(LEFT(Berekening!G47,1)&gt;RIGHT(Berekening!G47,1),"T",IF(LEFT(Berekening!G47,1)&lt;RIGHT(Berekening!G47,1),"U","G"))</f>
        <v>G</v>
      </c>
      <c r="J35" s="166" t="str">
        <f>IF(LEFT(Berekening!H47,1)&gt;RIGHT(Berekening!H47,1),"T",IF(LEFT(Berekening!H47,1)&lt;RIGHT(Berekening!H47,1),"U","G"))</f>
        <v>U</v>
      </c>
      <c r="K35" s="166" t="str">
        <f>IF(LEFT(Berekening!I47,1)&gt;RIGHT(Berekening!I47,1),"T",IF(LEFT(Berekening!I47,1)&lt;RIGHT(Berekening!I47,1),"U","G"))</f>
        <v>T</v>
      </c>
      <c r="L35" s="166" t="str">
        <f>IF(LEFT(Berekening!J47,1)&gt;RIGHT(Berekening!J47,1),"T",IF(LEFT(Berekening!J47,1)&lt;RIGHT(Berekening!J47,1),"U","G"))</f>
        <v>U</v>
      </c>
      <c r="M35" s="166" t="str">
        <f>IF(LEFT(Berekening!K47,1)&gt;RIGHT(Berekening!K47,1),"T",IF(LEFT(Berekening!K47,1)&lt;RIGHT(Berekening!K47,1),"U","G"))</f>
        <v>T</v>
      </c>
      <c r="N35" s="166" t="str">
        <f>IF(LEFT(Berekening!L47,1)&gt;RIGHT(Berekening!L47,1),"T",IF(LEFT(Berekening!L47,1)&lt;RIGHT(Berekening!L47,1),"U","G"))</f>
        <v>T</v>
      </c>
      <c r="O35" s="166" t="str">
        <f>IF(LEFT(Berekening!M47,1)&gt;RIGHT(Berekening!M47,1),"T",IF(LEFT(Berekening!M47,1)&lt;RIGHT(Berekening!M47,1),"U","G"))</f>
        <v>T</v>
      </c>
      <c r="P35" s="166" t="str">
        <f>IF(LEFT(Berekening!N47,1)&gt;RIGHT(Berekening!N47,1),"T",IF(LEFT(Berekening!N47,1)&lt;RIGHT(Berekening!N47,1),"U","G"))</f>
        <v>G</v>
      </c>
      <c r="Q35" s="166" t="str">
        <f>IF(LEFT(Berekening!O47,1)&gt;RIGHT(Berekening!O47,1),"T",IF(LEFT(Berekening!O47,1)&lt;RIGHT(Berekening!O47,1),"U","G"))</f>
        <v>G</v>
      </c>
      <c r="R35" s="166" t="str">
        <f>IF(LEFT(Berekening!P47,1)&gt;RIGHT(Berekening!P47,1),"T",IF(LEFT(Berekening!P47,1)&lt;RIGHT(Berekening!P47,1),"U","G"))</f>
        <v>U</v>
      </c>
      <c r="S35" s="166" t="str">
        <f>IF(LEFT(Berekening!Q47,1)&gt;RIGHT(Berekening!Q47,1),"T",IF(LEFT(Berekening!Q47,1)&lt;RIGHT(Berekening!Q47,1),"U","G"))</f>
        <v>G</v>
      </c>
      <c r="T35" s="166" t="str">
        <f>IF(LEFT(Berekening!R47,1)&gt;RIGHT(Berekening!R47,1),"T",IF(LEFT(Berekening!R47,1)&lt;RIGHT(Berekening!R47,1),"U","G"))</f>
        <v>G</v>
      </c>
      <c r="U35" s="166" t="str">
        <f>IF(LEFT(Berekening!S47,1)&gt;RIGHT(Berekening!S47,1),"T",IF(LEFT(Berekening!S47,1)&lt;RIGHT(Berekening!S47,1),"U","G"))</f>
        <v>T</v>
      </c>
      <c r="V35" s="166" t="str">
        <f>IF(LEFT(Berekening!T47,1)&gt;RIGHT(Berekening!T47,1),"T",IF(LEFT(Berekening!T47,1)&lt;RIGHT(Berekening!T47,1),"U","G"))</f>
        <v>G</v>
      </c>
      <c r="W35" s="166" t="str">
        <f>IF(LEFT(Berekening!U47,1)&gt;RIGHT(Berekening!U47,1),"T",IF(LEFT(Berekening!U47,1)&lt;RIGHT(Berekening!U47,1),"U","G"))</f>
        <v>G</v>
      </c>
      <c r="X35" s="166" t="str">
        <f>IF(LEFT(Berekening!V47,1)&gt;RIGHT(Berekening!V47,1),"T",IF(LEFT(Berekening!V47,1)&lt;RIGHT(Berekening!V47,1),"U","G"))</f>
        <v>G</v>
      </c>
      <c r="Y35" s="166" t="str">
        <f>IF(LEFT(Berekening!W47,1)&gt;RIGHT(Berekening!W47,1),"T",IF(LEFT(Berekening!W47,1)&lt;RIGHT(Berekening!W47,1),"U","G"))</f>
        <v>G</v>
      </c>
      <c r="Z35" s="166" t="str">
        <f>IF(LEFT(Berekening!X47,1)&gt;RIGHT(Berekening!X47,1),"T",IF(LEFT(Berekening!X47,1)&lt;RIGHT(Berekening!X47,1),"U","G"))</f>
        <v>G</v>
      </c>
      <c r="AA35" s="166" t="str">
        <f>IF(LEFT(Berekening!Y47,1)&gt;RIGHT(Berekening!Y47,1),"T",IF(LEFT(Berekening!Y47,1)&lt;RIGHT(Berekening!Y47,1),"U","G"))</f>
        <v>G</v>
      </c>
      <c r="AB35" s="166" t="str">
        <f>IF(LEFT(Berekening!Z47,1)&gt;RIGHT(Berekening!Z47,1),"T",IF(LEFT(Berekening!Z47,1)&lt;RIGHT(Berekening!Z47,1),"U","G"))</f>
        <v>G</v>
      </c>
      <c r="AC35" s="166" t="str">
        <f>IF(LEFT(Berekening!AA47,1)&gt;RIGHT(Berekening!AA47,1),"T",IF(LEFT(Berekening!AA47,1)&lt;RIGHT(Berekening!AA47,1),"U","G"))</f>
        <v>G</v>
      </c>
      <c r="AD35" s="166" t="str">
        <f>IF(LEFT(Berekening!AB47,1)&gt;RIGHT(Berekening!AB47,1),"T",IF(LEFT(Berekening!AB47,1)&lt;RIGHT(Berekening!AB47,1),"U","G"))</f>
        <v>G</v>
      </c>
      <c r="AE35" s="166" t="str">
        <f>IF(LEFT(Berekening!AC47,1)&gt;RIGHT(Berekening!AC47,1),"T",IF(LEFT(Berekening!AC47,1)&lt;RIGHT(Berekening!AC47,1),"U","G"))</f>
        <v>G</v>
      </c>
      <c r="AF35" s="166" t="str">
        <f>IF(LEFT(Berekening!AD47,1)&gt;RIGHT(Berekening!AD47,1),"T",IF(LEFT(Berekening!AD47,1)&lt;RIGHT(Berekening!AD47,1),"U","G"))</f>
        <v>G</v>
      </c>
      <c r="AG35" s="166" t="str">
        <f>IF(LEFT(Berekening!AE47,1)&gt;RIGHT(Berekening!AE47,1),"T",IF(LEFT(Berekening!AE47,1)&lt;RIGHT(Berekening!AE47,1),"U","G"))</f>
        <v>G</v>
      </c>
      <c r="AH35" s="166" t="str">
        <f>IF(LEFT(Berekening!AF47,1)&gt;RIGHT(Berekening!AF47,1),"T",IF(LEFT(Berekening!AF47,1)&lt;RIGHT(Berekening!AF47,1),"U","G"))</f>
        <v>G</v>
      </c>
      <c r="AI35" s="166" t="str">
        <f>IF(LEFT(Berekening!AG47,1)&gt;RIGHT(Berekening!AG47,1),"T",IF(LEFT(Berekening!AG47,1)&lt;RIGHT(Berekening!AG47,1),"U","G"))</f>
        <v>G</v>
      </c>
      <c r="AJ35" s="166" t="str">
        <f>IF(LEFT(Berekening!AH47,1)&gt;RIGHT(Berekening!AH47,1),"T",IF(LEFT(Berekening!AH47,1)&lt;RIGHT(Berekening!AH47,1),"U","G"))</f>
        <v>G</v>
      </c>
      <c r="AK35" s="166" t="str">
        <f>IF(LEFT(Berekening!AI47,1)&gt;RIGHT(Berekening!AI47,1),"T",IF(LEFT(Berekening!AI47,1)&lt;RIGHT(Berekening!AI47,1),"U","G"))</f>
        <v>G</v>
      </c>
      <c r="AL35" s="166" t="str">
        <f>IF(LEFT(Berekening!AJ47,1)&gt;RIGHT(Berekening!AJ47,1),"T",IF(LEFT(Berekening!AJ47,1)&lt;RIGHT(Berekening!AJ47,1),"U","G"))</f>
        <v>G</v>
      </c>
      <c r="AM35" s="166" t="str">
        <f>IF(LEFT(Berekening!AK47,1)&gt;RIGHT(Berekening!AK47,1),"T",IF(LEFT(Berekening!AK47,1)&lt;RIGHT(Berekening!AK47,1),"U","G"))</f>
        <v>G</v>
      </c>
      <c r="AN35" s="166" t="str">
        <f>IF(LEFT(Berekening!AL47,1)&gt;RIGHT(Berekening!AL47,1),"T",IF(LEFT(Berekening!AL47,1)&lt;RIGHT(Berekening!AL47,1),"U","G"))</f>
        <v>G</v>
      </c>
      <c r="AO35" s="166" t="str">
        <f>IF(LEFT(Berekening!AM47,1)&gt;RIGHT(Berekening!AM47,1),"T",IF(LEFT(Berekening!AM47,1)&lt;RIGHT(Berekening!AM47,1),"U","G"))</f>
        <v>G</v>
      </c>
      <c r="AP35" s="166" t="str">
        <f>IF(LEFT(Berekening!AN47,1)&gt;RIGHT(Berekening!AN47,1),"T",IF(LEFT(Berekening!AN47,1)&lt;RIGHT(Berekening!AN47,1),"U","G"))</f>
        <v>G</v>
      </c>
      <c r="AQ35" s="166" t="str">
        <f>IF(LEFT(Berekening!AO47,1)&gt;RIGHT(Berekening!AO47,1),"T",IF(LEFT(Berekening!AO47,1)&lt;RIGHT(Berekening!AO47,1),"U","G"))</f>
        <v>G</v>
      </c>
      <c r="AR35" s="166" t="str">
        <f>IF(LEFT(Berekening!AP47,1)&gt;RIGHT(Berekening!AP47,1),"T",IF(LEFT(Berekening!AP47,1)&lt;RIGHT(Berekening!AP47,1),"U","G"))</f>
        <v>G</v>
      </c>
      <c r="AS35" s="166" t="str">
        <f>IF(LEFT(Berekening!AQ47,1)&gt;RIGHT(Berekening!AQ47,1),"T",IF(LEFT(Berekening!AQ47,1)&lt;RIGHT(Berekening!AQ47,1),"U","G"))</f>
        <v>G</v>
      </c>
      <c r="AT35" s="166" t="str">
        <f>IF(LEFT(Berekening!AR47,1)&gt;RIGHT(Berekening!AR47,1),"T",IF(LEFT(Berekening!AR47,1)&lt;RIGHT(Berekening!AR47,1),"U","G"))</f>
        <v>G</v>
      </c>
      <c r="AU35" s="166" t="str">
        <f>IF(LEFT(Berekening!AS47,1)&gt;RIGHT(Berekening!AS47,1),"T",IF(LEFT(Berekening!AS47,1)&lt;RIGHT(Berekening!AS47,1),"U","G"))</f>
        <v>G</v>
      </c>
      <c r="AV35" s="166" t="str">
        <f>IF(LEFT(Berekening!AT47,1)&gt;RIGHT(Berekening!AT47,1),"T",IF(LEFT(Berekening!AT47,1)&lt;RIGHT(Berekening!AT47,1),"U","G"))</f>
        <v>G</v>
      </c>
    </row>
    <row r="36" spans="3:48">
      <c r="C36" s="163" t="s">
        <v>1235</v>
      </c>
      <c r="D36" s="164" t="s">
        <v>2971</v>
      </c>
      <c r="E36" s="165" t="s">
        <v>1889</v>
      </c>
      <c r="G36" s="166" t="str">
        <f>IF(LEFT(Berekening!E48,1)&gt;RIGHT(Berekening!E48,1),"T",IF(LEFT(Berekening!E48,1)&lt;RIGHT(Berekening!E48,1),"U","G"))</f>
        <v>G</v>
      </c>
      <c r="H36" s="166" t="str">
        <f>IF(LEFT(Berekening!F48,1)&gt;RIGHT(Berekening!F48,1),"T",IF(LEFT(Berekening!F48,1)&lt;RIGHT(Berekening!F48,1),"U","G"))</f>
        <v>U</v>
      </c>
      <c r="I36" s="166" t="str">
        <f>IF(LEFT(Berekening!G48,1)&gt;RIGHT(Berekening!G48,1),"T",IF(LEFT(Berekening!G48,1)&lt;RIGHT(Berekening!G48,1),"U","G"))</f>
        <v>U</v>
      </c>
      <c r="J36" s="166" t="str">
        <f>IF(LEFT(Berekening!H48,1)&gt;RIGHT(Berekening!H48,1),"T",IF(LEFT(Berekening!H48,1)&lt;RIGHT(Berekening!H48,1),"U","G"))</f>
        <v>U</v>
      </c>
      <c r="K36" s="166" t="str">
        <f>IF(LEFT(Berekening!I48,1)&gt;RIGHT(Berekening!I48,1),"T",IF(LEFT(Berekening!I48,1)&lt;RIGHT(Berekening!I48,1),"U","G"))</f>
        <v>U</v>
      </c>
      <c r="L36" s="166" t="str">
        <f>IF(LEFT(Berekening!J48,1)&gt;RIGHT(Berekening!J48,1),"T",IF(LEFT(Berekening!J48,1)&lt;RIGHT(Berekening!J48,1),"U","G"))</f>
        <v>U</v>
      </c>
      <c r="M36" s="166" t="str">
        <f>IF(LEFT(Berekening!K48,1)&gt;RIGHT(Berekening!K48,1),"T",IF(LEFT(Berekening!K48,1)&lt;RIGHT(Berekening!K48,1),"U","G"))</f>
        <v>U</v>
      </c>
      <c r="N36" s="166" t="str">
        <f>IF(LEFT(Berekening!L48,1)&gt;RIGHT(Berekening!L48,1),"T",IF(LEFT(Berekening!L48,1)&lt;RIGHT(Berekening!L48,1),"U","G"))</f>
        <v>U</v>
      </c>
      <c r="O36" s="166" t="str">
        <f>IF(LEFT(Berekening!M48,1)&gt;RIGHT(Berekening!M48,1),"T",IF(LEFT(Berekening!M48,1)&lt;RIGHT(Berekening!M48,1),"U","G"))</f>
        <v>U</v>
      </c>
      <c r="P36" s="166" t="str">
        <f>IF(LEFT(Berekening!N48,1)&gt;RIGHT(Berekening!N48,1),"T",IF(LEFT(Berekening!N48,1)&lt;RIGHT(Berekening!N48,1),"U","G"))</f>
        <v>U</v>
      </c>
      <c r="Q36" s="166" t="str">
        <f>IF(LEFT(Berekening!O48,1)&gt;RIGHT(Berekening!O48,1),"T",IF(LEFT(Berekening!O48,1)&lt;RIGHT(Berekening!O48,1),"U","G"))</f>
        <v>U</v>
      </c>
      <c r="R36" s="166" t="str">
        <f>IF(LEFT(Berekening!P48,1)&gt;RIGHT(Berekening!P48,1),"T",IF(LEFT(Berekening!P48,1)&lt;RIGHT(Berekening!P48,1),"U","G"))</f>
        <v>U</v>
      </c>
      <c r="S36" s="166" t="str">
        <f>IF(LEFT(Berekening!Q48,1)&gt;RIGHT(Berekening!Q48,1),"T",IF(LEFT(Berekening!Q48,1)&lt;RIGHT(Berekening!Q48,1),"U","G"))</f>
        <v>U</v>
      </c>
      <c r="T36" s="166" t="str">
        <f>IF(LEFT(Berekening!R48,1)&gt;RIGHT(Berekening!R48,1),"T",IF(LEFT(Berekening!R48,1)&lt;RIGHT(Berekening!R48,1),"U","G"))</f>
        <v>U</v>
      </c>
      <c r="U36" s="166" t="str">
        <f>IF(LEFT(Berekening!S48,1)&gt;RIGHT(Berekening!S48,1),"T",IF(LEFT(Berekening!S48,1)&lt;RIGHT(Berekening!S48,1),"U","G"))</f>
        <v>U</v>
      </c>
      <c r="V36" s="166" t="str">
        <f>IF(LEFT(Berekening!T48,1)&gt;RIGHT(Berekening!T48,1),"T",IF(LEFT(Berekening!T48,1)&lt;RIGHT(Berekening!T48,1),"U","G"))</f>
        <v>U</v>
      </c>
      <c r="W36" s="166" t="str">
        <f>IF(LEFT(Berekening!U48,1)&gt;RIGHT(Berekening!U48,1),"T",IF(LEFT(Berekening!U48,1)&lt;RIGHT(Berekening!U48,1),"U","G"))</f>
        <v>G</v>
      </c>
      <c r="X36" s="166" t="str">
        <f>IF(LEFT(Berekening!V48,1)&gt;RIGHT(Berekening!V48,1),"T",IF(LEFT(Berekening!V48,1)&lt;RIGHT(Berekening!V48,1),"U","G"))</f>
        <v>G</v>
      </c>
      <c r="Y36" s="166" t="str">
        <f>IF(LEFT(Berekening!W48,1)&gt;RIGHT(Berekening!W48,1),"T",IF(LEFT(Berekening!W48,1)&lt;RIGHT(Berekening!W48,1),"U","G"))</f>
        <v>G</v>
      </c>
      <c r="Z36" s="166" t="str">
        <f>IF(LEFT(Berekening!X48,1)&gt;RIGHT(Berekening!X48,1),"T",IF(LEFT(Berekening!X48,1)&lt;RIGHT(Berekening!X48,1),"U","G"))</f>
        <v>G</v>
      </c>
      <c r="AA36" s="166" t="str">
        <f>IF(LEFT(Berekening!Y48,1)&gt;RIGHT(Berekening!Y48,1),"T",IF(LEFT(Berekening!Y48,1)&lt;RIGHT(Berekening!Y48,1),"U","G"))</f>
        <v>G</v>
      </c>
      <c r="AB36" s="166" t="str">
        <f>IF(LEFT(Berekening!Z48,1)&gt;RIGHT(Berekening!Z48,1),"T",IF(LEFT(Berekening!Z48,1)&lt;RIGHT(Berekening!Z48,1),"U","G"))</f>
        <v>G</v>
      </c>
      <c r="AC36" s="166" t="str">
        <f>IF(LEFT(Berekening!AA48,1)&gt;RIGHT(Berekening!AA48,1),"T",IF(LEFT(Berekening!AA48,1)&lt;RIGHT(Berekening!AA48,1),"U","G"))</f>
        <v>G</v>
      </c>
      <c r="AD36" s="166" t="str">
        <f>IF(LEFT(Berekening!AB48,1)&gt;RIGHT(Berekening!AB48,1),"T",IF(LEFT(Berekening!AB48,1)&lt;RIGHT(Berekening!AB48,1),"U","G"))</f>
        <v>G</v>
      </c>
      <c r="AE36" s="166" t="str">
        <f>IF(LEFT(Berekening!AC48,1)&gt;RIGHT(Berekening!AC48,1),"T",IF(LEFT(Berekening!AC48,1)&lt;RIGHT(Berekening!AC48,1),"U","G"))</f>
        <v>G</v>
      </c>
      <c r="AF36" s="166" t="str">
        <f>IF(LEFT(Berekening!AD48,1)&gt;RIGHT(Berekening!AD48,1),"T",IF(LEFT(Berekening!AD48,1)&lt;RIGHT(Berekening!AD48,1),"U","G"))</f>
        <v>G</v>
      </c>
      <c r="AG36" s="166" t="str">
        <f>IF(LEFT(Berekening!AE48,1)&gt;RIGHT(Berekening!AE48,1),"T",IF(LEFT(Berekening!AE48,1)&lt;RIGHT(Berekening!AE48,1),"U","G"))</f>
        <v>G</v>
      </c>
      <c r="AH36" s="166" t="str">
        <f>IF(LEFT(Berekening!AF48,1)&gt;RIGHT(Berekening!AF48,1),"T",IF(LEFT(Berekening!AF48,1)&lt;RIGHT(Berekening!AF48,1),"U","G"))</f>
        <v>G</v>
      </c>
      <c r="AI36" s="166" t="str">
        <f>IF(LEFT(Berekening!AG48,1)&gt;RIGHT(Berekening!AG48,1),"T",IF(LEFT(Berekening!AG48,1)&lt;RIGHT(Berekening!AG48,1),"U","G"))</f>
        <v>G</v>
      </c>
      <c r="AJ36" s="166" t="str">
        <f>IF(LEFT(Berekening!AH48,1)&gt;RIGHT(Berekening!AH48,1),"T",IF(LEFT(Berekening!AH48,1)&lt;RIGHT(Berekening!AH48,1),"U","G"))</f>
        <v>G</v>
      </c>
      <c r="AK36" s="166" t="str">
        <f>IF(LEFT(Berekening!AI48,1)&gt;RIGHT(Berekening!AI48,1),"T",IF(LEFT(Berekening!AI48,1)&lt;RIGHT(Berekening!AI48,1),"U","G"))</f>
        <v>G</v>
      </c>
      <c r="AL36" s="166" t="str">
        <f>IF(LEFT(Berekening!AJ48,1)&gt;RIGHT(Berekening!AJ48,1),"T",IF(LEFT(Berekening!AJ48,1)&lt;RIGHT(Berekening!AJ48,1),"U","G"))</f>
        <v>G</v>
      </c>
      <c r="AM36" s="166" t="str">
        <f>IF(LEFT(Berekening!AK48,1)&gt;RIGHT(Berekening!AK48,1),"T",IF(LEFT(Berekening!AK48,1)&lt;RIGHT(Berekening!AK48,1),"U","G"))</f>
        <v>G</v>
      </c>
      <c r="AN36" s="166" t="str">
        <f>IF(LEFT(Berekening!AL48,1)&gt;RIGHT(Berekening!AL48,1),"T",IF(LEFT(Berekening!AL48,1)&lt;RIGHT(Berekening!AL48,1),"U","G"))</f>
        <v>G</v>
      </c>
      <c r="AO36" s="166" t="str">
        <f>IF(LEFT(Berekening!AM48,1)&gt;RIGHT(Berekening!AM48,1),"T",IF(LEFT(Berekening!AM48,1)&lt;RIGHT(Berekening!AM48,1),"U","G"))</f>
        <v>G</v>
      </c>
      <c r="AP36" s="166" t="str">
        <f>IF(LEFT(Berekening!AN48,1)&gt;RIGHT(Berekening!AN48,1),"T",IF(LEFT(Berekening!AN48,1)&lt;RIGHT(Berekening!AN48,1),"U","G"))</f>
        <v>G</v>
      </c>
      <c r="AQ36" s="166" t="str">
        <f>IF(LEFT(Berekening!AO48,1)&gt;RIGHT(Berekening!AO48,1),"T",IF(LEFT(Berekening!AO48,1)&lt;RIGHT(Berekening!AO48,1),"U","G"))</f>
        <v>G</v>
      </c>
      <c r="AR36" s="166" t="str">
        <f>IF(LEFT(Berekening!AP48,1)&gt;RIGHT(Berekening!AP48,1),"T",IF(LEFT(Berekening!AP48,1)&lt;RIGHT(Berekening!AP48,1),"U","G"))</f>
        <v>G</v>
      </c>
      <c r="AS36" s="166" t="str">
        <f>IF(LEFT(Berekening!AQ48,1)&gt;RIGHT(Berekening!AQ48,1),"T",IF(LEFT(Berekening!AQ48,1)&lt;RIGHT(Berekening!AQ48,1),"U","G"))</f>
        <v>G</v>
      </c>
      <c r="AT36" s="166" t="str">
        <f>IF(LEFT(Berekening!AR48,1)&gt;RIGHT(Berekening!AR48,1),"T",IF(LEFT(Berekening!AR48,1)&lt;RIGHT(Berekening!AR48,1),"U","G"))</f>
        <v>G</v>
      </c>
      <c r="AU36" s="166" t="str">
        <f>IF(LEFT(Berekening!AS48,1)&gt;RIGHT(Berekening!AS48,1),"T",IF(LEFT(Berekening!AS48,1)&lt;RIGHT(Berekening!AS48,1),"U","G"))</f>
        <v>G</v>
      </c>
      <c r="AV36" s="166" t="str">
        <f>IF(LEFT(Berekening!AT48,1)&gt;RIGHT(Berekening!AT48,1),"T",IF(LEFT(Berekening!AT48,1)&lt;RIGHT(Berekening!AT48,1),"U","G"))</f>
        <v>G</v>
      </c>
    </row>
    <row r="37" spans="3:48">
      <c r="C37" s="163" t="s">
        <v>2689</v>
      </c>
      <c r="D37" s="164" t="s">
        <v>2971</v>
      </c>
      <c r="E37" s="165" t="s">
        <v>1132</v>
      </c>
      <c r="G37" s="166" t="str">
        <f>IF(LEFT(Berekening!E49,1)&gt;RIGHT(Berekening!E49,1),"T",IF(LEFT(Berekening!E49,1)&lt;RIGHT(Berekening!E49,1),"U","G"))</f>
        <v>U</v>
      </c>
      <c r="H37" s="166" t="str">
        <f>IF(LEFT(Berekening!F49,1)&gt;RIGHT(Berekening!F49,1),"T",IF(LEFT(Berekening!F49,1)&lt;RIGHT(Berekening!F49,1),"U","G"))</f>
        <v>U</v>
      </c>
      <c r="I37" s="166" t="str">
        <f>IF(LEFT(Berekening!G49,1)&gt;RIGHT(Berekening!G49,1),"T",IF(LEFT(Berekening!G49,1)&lt;RIGHT(Berekening!G49,1),"U","G"))</f>
        <v>U</v>
      </c>
      <c r="J37" s="166" t="str">
        <f>IF(LEFT(Berekening!H49,1)&gt;RIGHT(Berekening!H49,1),"T",IF(LEFT(Berekening!H49,1)&lt;RIGHT(Berekening!H49,1),"U","G"))</f>
        <v>U</v>
      </c>
      <c r="K37" s="166" t="str">
        <f>IF(LEFT(Berekening!I49,1)&gt;RIGHT(Berekening!I49,1),"T",IF(LEFT(Berekening!I49,1)&lt;RIGHT(Berekening!I49,1),"U","G"))</f>
        <v>U</v>
      </c>
      <c r="L37" s="166" t="str">
        <f>IF(LEFT(Berekening!J49,1)&gt;RIGHT(Berekening!J49,1),"T",IF(LEFT(Berekening!J49,1)&lt;RIGHT(Berekening!J49,1),"U","G"))</f>
        <v>U</v>
      </c>
      <c r="M37" s="166" t="str">
        <f>IF(LEFT(Berekening!K49,1)&gt;RIGHT(Berekening!K49,1),"T",IF(LEFT(Berekening!K49,1)&lt;RIGHT(Berekening!K49,1),"U","G"))</f>
        <v>U</v>
      </c>
      <c r="N37" s="166" t="str">
        <f>IF(LEFT(Berekening!L49,1)&gt;RIGHT(Berekening!L49,1),"T",IF(LEFT(Berekening!L49,1)&lt;RIGHT(Berekening!L49,1),"U","G"))</f>
        <v>U</v>
      </c>
      <c r="O37" s="166" t="str">
        <f>IF(LEFT(Berekening!M49,1)&gt;RIGHT(Berekening!M49,1),"T",IF(LEFT(Berekening!M49,1)&lt;RIGHT(Berekening!M49,1),"U","G"))</f>
        <v>U</v>
      </c>
      <c r="P37" s="166" t="str">
        <f>IF(LEFT(Berekening!N49,1)&gt;RIGHT(Berekening!N49,1),"T",IF(LEFT(Berekening!N49,1)&lt;RIGHT(Berekening!N49,1),"U","G"))</f>
        <v>U</v>
      </c>
      <c r="Q37" s="166" t="str">
        <f>IF(LEFT(Berekening!O49,1)&gt;RIGHT(Berekening!O49,1),"T",IF(LEFT(Berekening!O49,1)&lt;RIGHT(Berekening!O49,1),"U","G"))</f>
        <v>U</v>
      </c>
      <c r="R37" s="166" t="str">
        <f>IF(LEFT(Berekening!P49,1)&gt;RIGHT(Berekening!P49,1),"T",IF(LEFT(Berekening!P49,1)&lt;RIGHT(Berekening!P49,1),"U","G"))</f>
        <v>U</v>
      </c>
      <c r="S37" s="166" t="str">
        <f>IF(LEFT(Berekening!Q49,1)&gt;RIGHT(Berekening!Q49,1),"T",IF(LEFT(Berekening!Q49,1)&lt;RIGHT(Berekening!Q49,1),"U","G"))</f>
        <v>U</v>
      </c>
      <c r="T37" s="166" t="str">
        <f>IF(LEFT(Berekening!R49,1)&gt;RIGHT(Berekening!R49,1),"T",IF(LEFT(Berekening!R49,1)&lt;RIGHT(Berekening!R49,1),"U","G"))</f>
        <v>U</v>
      </c>
      <c r="U37" s="166" t="str">
        <f>IF(LEFT(Berekening!S49,1)&gt;RIGHT(Berekening!S49,1),"T",IF(LEFT(Berekening!S49,1)&lt;RIGHT(Berekening!S49,1),"U","G"))</f>
        <v>U</v>
      </c>
      <c r="V37" s="166" t="str">
        <f>IF(LEFT(Berekening!T49,1)&gt;RIGHT(Berekening!T49,1),"T",IF(LEFT(Berekening!T49,1)&lt;RIGHT(Berekening!T49,1),"U","G"))</f>
        <v>U</v>
      </c>
      <c r="W37" s="166" t="str">
        <f>IF(LEFT(Berekening!U49,1)&gt;RIGHT(Berekening!U49,1),"T",IF(LEFT(Berekening!U49,1)&lt;RIGHT(Berekening!U49,1),"U","G"))</f>
        <v>G</v>
      </c>
      <c r="X37" s="166" t="str">
        <f>IF(LEFT(Berekening!V49,1)&gt;RIGHT(Berekening!V49,1),"T",IF(LEFT(Berekening!V49,1)&lt;RIGHT(Berekening!V49,1),"U","G"))</f>
        <v>G</v>
      </c>
      <c r="Y37" s="166" t="str">
        <f>IF(LEFT(Berekening!W49,1)&gt;RIGHT(Berekening!W49,1),"T",IF(LEFT(Berekening!W49,1)&lt;RIGHT(Berekening!W49,1),"U","G"))</f>
        <v>G</v>
      </c>
      <c r="Z37" s="166" t="str">
        <f>IF(LEFT(Berekening!X49,1)&gt;RIGHT(Berekening!X49,1),"T",IF(LEFT(Berekening!X49,1)&lt;RIGHT(Berekening!X49,1),"U","G"))</f>
        <v>G</v>
      </c>
      <c r="AA37" s="166" t="str">
        <f>IF(LEFT(Berekening!Y49,1)&gt;RIGHT(Berekening!Y49,1),"T",IF(LEFT(Berekening!Y49,1)&lt;RIGHT(Berekening!Y49,1),"U","G"))</f>
        <v>G</v>
      </c>
      <c r="AB37" s="166" t="str">
        <f>IF(LEFT(Berekening!Z49,1)&gt;RIGHT(Berekening!Z49,1),"T",IF(LEFT(Berekening!Z49,1)&lt;RIGHT(Berekening!Z49,1),"U","G"))</f>
        <v>G</v>
      </c>
      <c r="AC37" s="166" t="str">
        <f>IF(LEFT(Berekening!AA49,1)&gt;RIGHT(Berekening!AA49,1),"T",IF(LEFT(Berekening!AA49,1)&lt;RIGHT(Berekening!AA49,1),"U","G"))</f>
        <v>G</v>
      </c>
      <c r="AD37" s="166" t="str">
        <f>IF(LEFT(Berekening!AB49,1)&gt;RIGHT(Berekening!AB49,1),"T",IF(LEFT(Berekening!AB49,1)&lt;RIGHT(Berekening!AB49,1),"U","G"))</f>
        <v>G</v>
      </c>
      <c r="AE37" s="166" t="str">
        <f>IF(LEFT(Berekening!AC49,1)&gt;RIGHT(Berekening!AC49,1),"T",IF(LEFT(Berekening!AC49,1)&lt;RIGHT(Berekening!AC49,1),"U","G"))</f>
        <v>G</v>
      </c>
      <c r="AF37" s="166" t="str">
        <f>IF(LEFT(Berekening!AD49,1)&gt;RIGHT(Berekening!AD49,1),"T",IF(LEFT(Berekening!AD49,1)&lt;RIGHT(Berekening!AD49,1),"U","G"))</f>
        <v>G</v>
      </c>
      <c r="AG37" s="166" t="str">
        <f>IF(LEFT(Berekening!AE49,1)&gt;RIGHT(Berekening!AE49,1),"T",IF(LEFT(Berekening!AE49,1)&lt;RIGHT(Berekening!AE49,1),"U","G"))</f>
        <v>G</v>
      </c>
      <c r="AH37" s="166" t="str">
        <f>IF(LEFT(Berekening!AF49,1)&gt;RIGHT(Berekening!AF49,1),"T",IF(LEFT(Berekening!AF49,1)&lt;RIGHT(Berekening!AF49,1),"U","G"))</f>
        <v>G</v>
      </c>
      <c r="AI37" s="166" t="str">
        <f>IF(LEFT(Berekening!AG49,1)&gt;RIGHT(Berekening!AG49,1),"T",IF(LEFT(Berekening!AG49,1)&lt;RIGHT(Berekening!AG49,1),"U","G"))</f>
        <v>G</v>
      </c>
      <c r="AJ37" s="166" t="str">
        <f>IF(LEFT(Berekening!AH49,1)&gt;RIGHT(Berekening!AH49,1),"T",IF(LEFT(Berekening!AH49,1)&lt;RIGHT(Berekening!AH49,1),"U","G"))</f>
        <v>G</v>
      </c>
      <c r="AK37" s="166" t="str">
        <f>IF(LEFT(Berekening!AI49,1)&gt;RIGHT(Berekening!AI49,1),"T",IF(LEFT(Berekening!AI49,1)&lt;RIGHT(Berekening!AI49,1),"U","G"))</f>
        <v>G</v>
      </c>
      <c r="AL37" s="166" t="str">
        <f>IF(LEFT(Berekening!AJ49,1)&gt;RIGHT(Berekening!AJ49,1),"T",IF(LEFT(Berekening!AJ49,1)&lt;RIGHT(Berekening!AJ49,1),"U","G"))</f>
        <v>G</v>
      </c>
      <c r="AM37" s="166" t="str">
        <f>IF(LEFT(Berekening!AK49,1)&gt;RIGHT(Berekening!AK49,1),"T",IF(LEFT(Berekening!AK49,1)&lt;RIGHT(Berekening!AK49,1),"U","G"))</f>
        <v>G</v>
      </c>
      <c r="AN37" s="166" t="str">
        <f>IF(LEFT(Berekening!AL49,1)&gt;RIGHT(Berekening!AL49,1),"T",IF(LEFT(Berekening!AL49,1)&lt;RIGHT(Berekening!AL49,1),"U","G"))</f>
        <v>G</v>
      </c>
      <c r="AO37" s="166" t="str">
        <f>IF(LEFT(Berekening!AM49,1)&gt;RIGHT(Berekening!AM49,1),"T",IF(LEFT(Berekening!AM49,1)&lt;RIGHT(Berekening!AM49,1),"U","G"))</f>
        <v>G</v>
      </c>
      <c r="AP37" s="166" t="str">
        <f>IF(LEFT(Berekening!AN49,1)&gt;RIGHT(Berekening!AN49,1),"T",IF(LEFT(Berekening!AN49,1)&lt;RIGHT(Berekening!AN49,1),"U","G"))</f>
        <v>G</v>
      </c>
      <c r="AQ37" s="166" t="str">
        <f>IF(LEFT(Berekening!AO49,1)&gt;RIGHT(Berekening!AO49,1),"T",IF(LEFT(Berekening!AO49,1)&lt;RIGHT(Berekening!AO49,1),"U","G"))</f>
        <v>G</v>
      </c>
      <c r="AR37" s="166" t="str">
        <f>IF(LEFT(Berekening!AP49,1)&gt;RIGHT(Berekening!AP49,1),"T",IF(LEFT(Berekening!AP49,1)&lt;RIGHT(Berekening!AP49,1),"U","G"))</f>
        <v>G</v>
      </c>
      <c r="AS37" s="166" t="str">
        <f>IF(LEFT(Berekening!AQ49,1)&gt;RIGHT(Berekening!AQ49,1),"T",IF(LEFT(Berekening!AQ49,1)&lt;RIGHT(Berekening!AQ49,1),"U","G"))</f>
        <v>G</v>
      </c>
      <c r="AT37" s="166" t="str">
        <f>IF(LEFT(Berekening!AR49,1)&gt;RIGHT(Berekening!AR49,1),"T",IF(LEFT(Berekening!AR49,1)&lt;RIGHT(Berekening!AR49,1),"U","G"))</f>
        <v>G</v>
      </c>
      <c r="AU37" s="166" t="str">
        <f>IF(LEFT(Berekening!AS49,1)&gt;RIGHT(Berekening!AS49,1),"T",IF(LEFT(Berekening!AS49,1)&lt;RIGHT(Berekening!AS49,1),"U","G"))</f>
        <v>G</v>
      </c>
      <c r="AV37" s="166" t="str">
        <f>IF(LEFT(Berekening!AT49,1)&gt;RIGHT(Berekening!AT49,1),"T",IF(LEFT(Berekening!AT49,1)&lt;RIGHT(Berekening!AT49,1),"U","G"))</f>
        <v>G</v>
      </c>
    </row>
    <row r="38" spans="3:48">
      <c r="C38" s="163" t="s">
        <v>1647</v>
      </c>
      <c r="D38" s="164" t="s">
        <v>2971</v>
      </c>
      <c r="E38" s="165" t="s">
        <v>1262</v>
      </c>
      <c r="G38" s="166" t="str">
        <f>IF(LEFT(Berekening!E50,1)&gt;RIGHT(Berekening!E50,1),"T",IF(LEFT(Berekening!E50,1)&lt;RIGHT(Berekening!E50,1),"U","G"))</f>
        <v>U</v>
      </c>
      <c r="H38" s="166" t="str">
        <f>IF(LEFT(Berekening!F50,1)&gt;RIGHT(Berekening!F50,1),"T",IF(LEFT(Berekening!F50,1)&lt;RIGHT(Berekening!F50,1),"U","G"))</f>
        <v>U</v>
      </c>
      <c r="I38" s="166" t="str">
        <f>IF(LEFT(Berekening!G50,1)&gt;RIGHT(Berekening!G50,1),"T",IF(LEFT(Berekening!G50,1)&lt;RIGHT(Berekening!G50,1),"U","G"))</f>
        <v>U</v>
      </c>
      <c r="J38" s="166" t="str">
        <f>IF(LEFT(Berekening!H50,1)&gt;RIGHT(Berekening!H50,1),"T",IF(LEFT(Berekening!H50,1)&lt;RIGHT(Berekening!H50,1),"U","G"))</f>
        <v>G</v>
      </c>
      <c r="K38" s="166" t="str">
        <f>IF(LEFT(Berekening!I50,1)&gt;RIGHT(Berekening!I50,1),"T",IF(LEFT(Berekening!I50,1)&lt;RIGHT(Berekening!I50,1),"U","G"))</f>
        <v>G</v>
      </c>
      <c r="L38" s="166" t="str">
        <f>IF(LEFT(Berekening!J50,1)&gt;RIGHT(Berekening!J50,1),"T",IF(LEFT(Berekening!J50,1)&lt;RIGHT(Berekening!J50,1),"U","G"))</f>
        <v>U</v>
      </c>
      <c r="M38" s="166" t="str">
        <f>IF(LEFT(Berekening!K50,1)&gt;RIGHT(Berekening!K50,1),"T",IF(LEFT(Berekening!K50,1)&lt;RIGHT(Berekening!K50,1),"U","G"))</f>
        <v>U</v>
      </c>
      <c r="N38" s="166" t="str">
        <f>IF(LEFT(Berekening!L50,1)&gt;RIGHT(Berekening!L50,1),"T",IF(LEFT(Berekening!L50,1)&lt;RIGHT(Berekening!L50,1),"U","G"))</f>
        <v>U</v>
      </c>
      <c r="O38" s="166" t="str">
        <f>IF(LEFT(Berekening!M50,1)&gt;RIGHT(Berekening!M50,1),"T",IF(LEFT(Berekening!M50,1)&lt;RIGHT(Berekening!M50,1),"U","G"))</f>
        <v>T</v>
      </c>
      <c r="P38" s="166" t="str">
        <f>IF(LEFT(Berekening!N50,1)&gt;RIGHT(Berekening!N50,1),"T",IF(LEFT(Berekening!N50,1)&lt;RIGHT(Berekening!N50,1),"U","G"))</f>
        <v>U</v>
      </c>
      <c r="Q38" s="166" t="str">
        <f>IF(LEFT(Berekening!O50,1)&gt;RIGHT(Berekening!O50,1),"T",IF(LEFT(Berekening!O50,1)&lt;RIGHT(Berekening!O50,1),"U","G"))</f>
        <v>U</v>
      </c>
      <c r="R38" s="166" t="str">
        <f>IF(LEFT(Berekening!P50,1)&gt;RIGHT(Berekening!P50,1),"T",IF(LEFT(Berekening!P50,1)&lt;RIGHT(Berekening!P50,1),"U","G"))</f>
        <v>T</v>
      </c>
      <c r="S38" s="166" t="str">
        <f>IF(LEFT(Berekening!Q50,1)&gt;RIGHT(Berekening!Q50,1),"T",IF(LEFT(Berekening!Q50,1)&lt;RIGHT(Berekening!Q50,1),"U","G"))</f>
        <v>G</v>
      </c>
      <c r="T38" s="166" t="str">
        <f>IF(LEFT(Berekening!R50,1)&gt;RIGHT(Berekening!R50,1),"T",IF(LEFT(Berekening!R50,1)&lt;RIGHT(Berekening!R50,1),"U","G"))</f>
        <v>U</v>
      </c>
      <c r="U38" s="166" t="str">
        <f>IF(LEFT(Berekening!S50,1)&gt;RIGHT(Berekening!S50,1),"T",IF(LEFT(Berekening!S50,1)&lt;RIGHT(Berekening!S50,1),"U","G"))</f>
        <v>G</v>
      </c>
      <c r="V38" s="166" t="str">
        <f>IF(LEFT(Berekening!T50,1)&gt;RIGHT(Berekening!T50,1),"T",IF(LEFT(Berekening!T50,1)&lt;RIGHT(Berekening!T50,1),"U","G"))</f>
        <v>G</v>
      </c>
      <c r="W38" s="166" t="str">
        <f>IF(LEFT(Berekening!U50,1)&gt;RIGHT(Berekening!U50,1),"T",IF(LEFT(Berekening!U50,1)&lt;RIGHT(Berekening!U50,1),"U","G"))</f>
        <v>G</v>
      </c>
      <c r="X38" s="166" t="str">
        <f>IF(LEFT(Berekening!V50,1)&gt;RIGHT(Berekening!V50,1),"T",IF(LEFT(Berekening!V50,1)&lt;RIGHT(Berekening!V50,1),"U","G"))</f>
        <v>G</v>
      </c>
      <c r="Y38" s="166" t="str">
        <f>IF(LEFT(Berekening!W50,1)&gt;RIGHT(Berekening!W50,1),"T",IF(LEFT(Berekening!W50,1)&lt;RIGHT(Berekening!W50,1),"U","G"))</f>
        <v>G</v>
      </c>
      <c r="Z38" s="166" t="str">
        <f>IF(LEFT(Berekening!X50,1)&gt;RIGHT(Berekening!X50,1),"T",IF(LEFT(Berekening!X50,1)&lt;RIGHT(Berekening!X50,1),"U","G"))</f>
        <v>G</v>
      </c>
      <c r="AA38" s="166" t="str">
        <f>IF(LEFT(Berekening!Y50,1)&gt;RIGHT(Berekening!Y50,1),"T",IF(LEFT(Berekening!Y50,1)&lt;RIGHT(Berekening!Y50,1),"U","G"))</f>
        <v>G</v>
      </c>
      <c r="AB38" s="166" t="str">
        <f>IF(LEFT(Berekening!Z50,1)&gt;RIGHT(Berekening!Z50,1),"T",IF(LEFT(Berekening!Z50,1)&lt;RIGHT(Berekening!Z50,1),"U","G"))</f>
        <v>G</v>
      </c>
      <c r="AC38" s="166" t="str">
        <f>IF(LEFT(Berekening!AA50,1)&gt;RIGHT(Berekening!AA50,1),"T",IF(LEFT(Berekening!AA50,1)&lt;RIGHT(Berekening!AA50,1),"U","G"))</f>
        <v>G</v>
      </c>
      <c r="AD38" s="166" t="str">
        <f>IF(LEFT(Berekening!AB50,1)&gt;RIGHT(Berekening!AB50,1),"T",IF(LEFT(Berekening!AB50,1)&lt;RIGHT(Berekening!AB50,1),"U","G"))</f>
        <v>G</v>
      </c>
      <c r="AE38" s="166" t="str">
        <f>IF(LEFT(Berekening!AC50,1)&gt;RIGHT(Berekening!AC50,1),"T",IF(LEFT(Berekening!AC50,1)&lt;RIGHT(Berekening!AC50,1),"U","G"))</f>
        <v>G</v>
      </c>
      <c r="AF38" s="166" t="str">
        <f>IF(LEFT(Berekening!AD50,1)&gt;RIGHT(Berekening!AD50,1),"T",IF(LEFT(Berekening!AD50,1)&lt;RIGHT(Berekening!AD50,1),"U","G"))</f>
        <v>G</v>
      </c>
      <c r="AG38" s="166" t="str">
        <f>IF(LEFT(Berekening!AE50,1)&gt;RIGHT(Berekening!AE50,1),"T",IF(LEFT(Berekening!AE50,1)&lt;RIGHT(Berekening!AE50,1),"U","G"))</f>
        <v>G</v>
      </c>
      <c r="AH38" s="166" t="str">
        <f>IF(LEFT(Berekening!AF50,1)&gt;RIGHT(Berekening!AF50,1),"T",IF(LEFT(Berekening!AF50,1)&lt;RIGHT(Berekening!AF50,1),"U","G"))</f>
        <v>G</v>
      </c>
      <c r="AI38" s="166" t="str">
        <f>IF(LEFT(Berekening!AG50,1)&gt;RIGHT(Berekening!AG50,1),"T",IF(LEFT(Berekening!AG50,1)&lt;RIGHT(Berekening!AG50,1),"U","G"))</f>
        <v>G</v>
      </c>
      <c r="AJ38" s="166" t="str">
        <f>IF(LEFT(Berekening!AH50,1)&gt;RIGHT(Berekening!AH50,1),"T",IF(LEFT(Berekening!AH50,1)&lt;RIGHT(Berekening!AH50,1),"U","G"))</f>
        <v>G</v>
      </c>
      <c r="AK38" s="166" t="str">
        <f>IF(LEFT(Berekening!AI50,1)&gt;RIGHT(Berekening!AI50,1),"T",IF(LEFT(Berekening!AI50,1)&lt;RIGHT(Berekening!AI50,1),"U","G"))</f>
        <v>G</v>
      </c>
      <c r="AL38" s="166" t="str">
        <f>IF(LEFT(Berekening!AJ50,1)&gt;RIGHT(Berekening!AJ50,1),"T",IF(LEFT(Berekening!AJ50,1)&lt;RIGHT(Berekening!AJ50,1),"U","G"))</f>
        <v>G</v>
      </c>
      <c r="AM38" s="166" t="str">
        <f>IF(LEFT(Berekening!AK50,1)&gt;RIGHT(Berekening!AK50,1),"T",IF(LEFT(Berekening!AK50,1)&lt;RIGHT(Berekening!AK50,1),"U","G"))</f>
        <v>G</v>
      </c>
      <c r="AN38" s="166" t="str">
        <f>IF(LEFT(Berekening!AL50,1)&gt;RIGHT(Berekening!AL50,1),"T",IF(LEFT(Berekening!AL50,1)&lt;RIGHT(Berekening!AL50,1),"U","G"))</f>
        <v>G</v>
      </c>
      <c r="AO38" s="166" t="str">
        <f>IF(LEFT(Berekening!AM50,1)&gt;RIGHT(Berekening!AM50,1),"T",IF(LEFT(Berekening!AM50,1)&lt;RIGHT(Berekening!AM50,1),"U","G"))</f>
        <v>G</v>
      </c>
      <c r="AP38" s="166" t="str">
        <f>IF(LEFT(Berekening!AN50,1)&gt;RIGHT(Berekening!AN50,1),"T",IF(LEFT(Berekening!AN50,1)&lt;RIGHT(Berekening!AN50,1),"U","G"))</f>
        <v>G</v>
      </c>
      <c r="AQ38" s="166" t="str">
        <f>IF(LEFT(Berekening!AO50,1)&gt;RIGHT(Berekening!AO50,1),"T",IF(LEFT(Berekening!AO50,1)&lt;RIGHT(Berekening!AO50,1),"U","G"))</f>
        <v>G</v>
      </c>
      <c r="AR38" s="166" t="str">
        <f>IF(LEFT(Berekening!AP50,1)&gt;RIGHT(Berekening!AP50,1),"T",IF(LEFT(Berekening!AP50,1)&lt;RIGHT(Berekening!AP50,1),"U","G"))</f>
        <v>G</v>
      </c>
      <c r="AS38" s="166" t="str">
        <f>IF(LEFT(Berekening!AQ50,1)&gt;RIGHT(Berekening!AQ50,1),"T",IF(LEFT(Berekening!AQ50,1)&lt;RIGHT(Berekening!AQ50,1),"U","G"))</f>
        <v>G</v>
      </c>
      <c r="AT38" s="166" t="str">
        <f>IF(LEFT(Berekening!AR50,1)&gt;RIGHT(Berekening!AR50,1),"T",IF(LEFT(Berekening!AR50,1)&lt;RIGHT(Berekening!AR50,1),"U","G"))</f>
        <v>G</v>
      </c>
      <c r="AU38" s="166" t="str">
        <f>IF(LEFT(Berekening!AS50,1)&gt;RIGHT(Berekening!AS50,1),"T",IF(LEFT(Berekening!AS50,1)&lt;RIGHT(Berekening!AS50,1),"U","G"))</f>
        <v>G</v>
      </c>
      <c r="AV38" s="166" t="str">
        <f>IF(LEFT(Berekening!AT50,1)&gt;RIGHT(Berekening!AT50,1),"T",IF(LEFT(Berekening!AT50,1)&lt;RIGHT(Berekening!AT50,1),"U","G"))</f>
        <v>G</v>
      </c>
    </row>
    <row r="41" spans="3:48" ht="32">
      <c r="C41" s="167" t="s">
        <v>2972</v>
      </c>
      <c r="G41" s="162" t="str">
        <f t="shared" ref="G41:AV41" si="0">G2</f>
        <v>Sam</v>
      </c>
      <c r="H41" s="162" t="str">
        <f t="shared" si="0"/>
        <v>Matthias</v>
      </c>
      <c r="I41" s="162" t="str">
        <f t="shared" si="0"/>
        <v>Billy</v>
      </c>
      <c r="J41" s="162" t="str">
        <f t="shared" si="0"/>
        <v>Timon</v>
      </c>
      <c r="K41" s="162" t="str">
        <f t="shared" si="0"/>
        <v>Bavo</v>
      </c>
      <c r="L41" s="162" t="str">
        <f t="shared" si="0"/>
        <v>Lowie</v>
      </c>
      <c r="M41" s="162" t="str">
        <f t="shared" si="0"/>
        <v>Stijn</v>
      </c>
      <c r="N41" s="162" t="str">
        <f t="shared" si="0"/>
        <v>Tom</v>
      </c>
      <c r="O41" s="162" t="str">
        <f t="shared" si="0"/>
        <v>Cas</v>
      </c>
      <c r="P41" s="162" t="str">
        <f t="shared" si="0"/>
        <v>Dean</v>
      </c>
      <c r="Q41" s="162" t="str">
        <f t="shared" si="0"/>
        <v>Jannes</v>
      </c>
      <c r="R41" s="162" t="str">
        <f t="shared" si="0"/>
        <v>Jens</v>
      </c>
      <c r="S41" s="162" t="str">
        <f t="shared" si="0"/>
        <v>Louis</v>
      </c>
      <c r="T41" s="162" t="str">
        <f t="shared" si="0"/>
        <v>Ruben</v>
      </c>
      <c r="U41" s="162" t="str">
        <f t="shared" si="0"/>
        <v>Karl</v>
      </c>
      <c r="V41" s="162" t="str">
        <f t="shared" si="0"/>
        <v>Seppe</v>
      </c>
      <c r="W41" s="162" t="str">
        <f t="shared" si="0"/>
        <v>deelnemer 17</v>
      </c>
      <c r="X41" s="162" t="str">
        <f t="shared" si="0"/>
        <v>deelnemer 18</v>
      </c>
      <c r="Y41" s="162" t="str">
        <f t="shared" si="0"/>
        <v>deelnemer 19</v>
      </c>
      <c r="Z41" s="162" t="str">
        <f t="shared" si="0"/>
        <v>deelnemer 20</v>
      </c>
      <c r="AA41" s="162" t="str">
        <f t="shared" si="0"/>
        <v>deelnemer 21</v>
      </c>
      <c r="AB41" s="162" t="str">
        <f t="shared" si="0"/>
        <v>deelnemer 22</v>
      </c>
      <c r="AC41" s="162" t="str">
        <f t="shared" si="0"/>
        <v>deelnemer 23</v>
      </c>
      <c r="AD41" s="162" t="str">
        <f t="shared" si="0"/>
        <v>deelnemer 24</v>
      </c>
      <c r="AE41" s="162" t="str">
        <f t="shared" si="0"/>
        <v>deelnemer 25</v>
      </c>
      <c r="AF41" s="162" t="str">
        <f t="shared" si="0"/>
        <v>deelnemer 26</v>
      </c>
      <c r="AG41" s="162" t="str">
        <f t="shared" si="0"/>
        <v>deelnemer 27</v>
      </c>
      <c r="AH41" s="162" t="str">
        <f t="shared" si="0"/>
        <v>deelnemer 28</v>
      </c>
      <c r="AI41" s="162" t="str">
        <f t="shared" si="0"/>
        <v>deelnemer 29</v>
      </c>
      <c r="AJ41" s="162" t="str">
        <f t="shared" si="0"/>
        <v>deelnemer 30</v>
      </c>
      <c r="AK41" s="162" t="str">
        <f t="shared" si="0"/>
        <v>deelnemer 31</v>
      </c>
      <c r="AL41" s="162" t="str">
        <f t="shared" si="0"/>
        <v>deelnemer 32</v>
      </c>
      <c r="AM41" s="162" t="str">
        <f t="shared" si="0"/>
        <v>deelnemer 33</v>
      </c>
      <c r="AN41" s="162" t="str">
        <f t="shared" si="0"/>
        <v>deelnemer 34</v>
      </c>
      <c r="AO41" s="162" t="str">
        <f t="shared" si="0"/>
        <v>deelnemer 35</v>
      </c>
      <c r="AP41" s="162" t="str">
        <f t="shared" si="0"/>
        <v>deelnemer 36</v>
      </c>
      <c r="AQ41" s="162" t="str">
        <f t="shared" si="0"/>
        <v>deelnemer 37</v>
      </c>
      <c r="AR41" s="162" t="str">
        <f t="shared" si="0"/>
        <v>deelnemer 38</v>
      </c>
      <c r="AS41" s="162" t="str">
        <f t="shared" si="0"/>
        <v>deelnemer 39</v>
      </c>
      <c r="AT41" s="162" t="str">
        <f t="shared" si="0"/>
        <v>deelnemer 40</v>
      </c>
      <c r="AU41" s="162" t="str">
        <f t="shared" si="0"/>
        <v>deelnemer 41</v>
      </c>
      <c r="AV41" s="162" t="str">
        <f t="shared" si="0"/>
        <v>deelnemer 42</v>
      </c>
    </row>
    <row r="42" spans="3:48">
      <c r="E42" s="161" t="s">
        <v>1608</v>
      </c>
      <c r="F42" s="161">
        <f t="shared" ref="F42:F65" si="1">SUM(G42:AV42)</f>
        <v>12</v>
      </c>
      <c r="G42" s="166">
        <f>COUNTIF(Berekening!E$51:E$66,'Overzicht pronostieken'!$E42)</f>
        <v>1</v>
      </c>
      <c r="H42" s="166">
        <f>COUNTIF(Berekening!F$51:F$66,'Overzicht pronostieken'!$E42)</f>
        <v>0</v>
      </c>
      <c r="I42" s="166">
        <f>COUNTIF(Berekening!G$51:G$66,'Overzicht pronostieken'!$E42)</f>
        <v>1</v>
      </c>
      <c r="J42" s="166">
        <f>COUNTIF(Berekening!H$51:H$66,'Overzicht pronostieken'!$E42)</f>
        <v>1</v>
      </c>
      <c r="K42" s="166">
        <f>COUNTIF(Berekening!I$51:I$66,'Overzicht pronostieken'!$E42)</f>
        <v>0</v>
      </c>
      <c r="L42" s="166">
        <f>COUNTIF(Berekening!J$51:J$66,'Overzicht pronostieken'!$E42)</f>
        <v>1</v>
      </c>
      <c r="M42" s="166">
        <f>COUNTIF(Berekening!K$51:K$66,'Overzicht pronostieken'!$E42)</f>
        <v>1</v>
      </c>
      <c r="N42" s="166">
        <f>COUNTIF(Berekening!L$51:L$66,'Overzicht pronostieken'!$E42)</f>
        <v>1</v>
      </c>
      <c r="O42" s="166">
        <f>COUNTIF(Berekening!M$51:M$66,'Overzicht pronostieken'!$E42)</f>
        <v>1</v>
      </c>
      <c r="P42" s="166">
        <f>COUNTIF(Berekening!N$51:N$66,'Overzicht pronostieken'!$E42)</f>
        <v>0</v>
      </c>
      <c r="Q42" s="166">
        <f>COUNTIF(Berekening!O$51:O$66,'Overzicht pronostieken'!$E42)</f>
        <v>1</v>
      </c>
      <c r="R42" s="166">
        <f>COUNTIF(Berekening!P$51:P$66,'Overzicht pronostieken'!$E42)</f>
        <v>1</v>
      </c>
      <c r="S42" s="166">
        <f>COUNTIF(Berekening!Q$51:Q$66,'Overzicht pronostieken'!$E42)</f>
        <v>1</v>
      </c>
      <c r="T42" s="166">
        <f>COUNTIF(Berekening!R$51:R$66,'Overzicht pronostieken'!$E42)</f>
        <v>1</v>
      </c>
      <c r="U42" s="166">
        <f>COUNTIF(Berekening!S$51:S$66,'Overzicht pronostieken'!$E42)</f>
        <v>0</v>
      </c>
      <c r="V42" s="166">
        <f>COUNTIF(Berekening!T$51:T$66,'Overzicht pronostieken'!$E42)</f>
        <v>1</v>
      </c>
      <c r="W42" s="166">
        <f>COUNTIF(Berekening!U$51:U$66,'Overzicht pronostieken'!$E42)</f>
        <v>0</v>
      </c>
      <c r="X42" s="166">
        <f>COUNTIF(Berekening!V$51:V$66,'Overzicht pronostieken'!$E42)</f>
        <v>0</v>
      </c>
      <c r="Y42" s="166">
        <f>COUNTIF(Berekening!W$51:W$66,'Overzicht pronostieken'!$E42)</f>
        <v>0</v>
      </c>
      <c r="Z42" s="166">
        <f>COUNTIF(Berekening!X$51:X$66,'Overzicht pronostieken'!$E42)</f>
        <v>0</v>
      </c>
      <c r="AA42" s="166">
        <f>COUNTIF(Berekening!Y$51:Y$66,'Overzicht pronostieken'!$E42)</f>
        <v>0</v>
      </c>
      <c r="AB42" s="166">
        <f>COUNTIF(Berekening!Z$51:Z$66,'Overzicht pronostieken'!$E42)</f>
        <v>0</v>
      </c>
      <c r="AC42" s="166">
        <f>COUNTIF(Berekening!AA$51:AA$66,'Overzicht pronostieken'!$E42)</f>
        <v>0</v>
      </c>
      <c r="AD42" s="166">
        <f>COUNTIF(Berekening!AB$51:AB$66,'Overzicht pronostieken'!$E42)</f>
        <v>0</v>
      </c>
      <c r="AE42" s="166">
        <f>COUNTIF(Berekening!AC$51:AC$66,'Overzicht pronostieken'!$E42)</f>
        <v>0</v>
      </c>
      <c r="AF42" s="166">
        <f>COUNTIF(Berekening!AD$51:AD$66,'Overzicht pronostieken'!$E42)</f>
        <v>0</v>
      </c>
      <c r="AG42" s="166">
        <f>COUNTIF(Berekening!AE$51:AE$66,'Overzicht pronostieken'!$E42)</f>
        <v>0</v>
      </c>
      <c r="AH42" s="166">
        <f>COUNTIF(Berekening!AF$51:AF$66,'Overzicht pronostieken'!$E42)</f>
        <v>0</v>
      </c>
      <c r="AI42" s="166">
        <f>COUNTIF(Berekening!AG$51:AG$66,'Overzicht pronostieken'!$E42)</f>
        <v>0</v>
      </c>
      <c r="AJ42" s="166">
        <f>COUNTIF(Berekening!AH$51:AH$66,'Overzicht pronostieken'!$E42)</f>
        <v>0</v>
      </c>
      <c r="AK42" s="166">
        <f>COUNTIF(Berekening!AI$51:AI$66,'Overzicht pronostieken'!$E42)</f>
        <v>0</v>
      </c>
      <c r="AL42" s="166">
        <f>COUNTIF(Berekening!AJ$51:AJ$66,'Overzicht pronostieken'!$E42)</f>
        <v>0</v>
      </c>
      <c r="AM42" s="166">
        <f>COUNTIF(Berekening!AK$51:AK$66,'Overzicht pronostieken'!$E42)</f>
        <v>0</v>
      </c>
      <c r="AN42" s="166">
        <f>COUNTIF(Berekening!AL$51:AL$66,'Overzicht pronostieken'!$E42)</f>
        <v>0</v>
      </c>
      <c r="AO42" s="166">
        <f>COUNTIF(Berekening!AM$51:AM$66,'Overzicht pronostieken'!$E42)</f>
        <v>0</v>
      </c>
      <c r="AP42" s="166">
        <f>COUNTIF(Berekening!AN$51:AN$66,'Overzicht pronostieken'!$E42)</f>
        <v>0</v>
      </c>
      <c r="AQ42" s="166">
        <f>COUNTIF(Berekening!AO$51:AO$66,'Overzicht pronostieken'!$E42)</f>
        <v>0</v>
      </c>
      <c r="AR42" s="166">
        <f>COUNTIF(Berekening!AP$51:AP$66,'Overzicht pronostieken'!$E42)</f>
        <v>0</v>
      </c>
      <c r="AS42" s="166">
        <f>COUNTIF(Berekening!AQ$51:AQ$66,'Overzicht pronostieken'!$E42)</f>
        <v>0</v>
      </c>
      <c r="AT42" s="166">
        <f>COUNTIF(Berekening!AR$51:AR$66,'Overzicht pronostieken'!$E42)</f>
        <v>0</v>
      </c>
      <c r="AU42" s="166">
        <f>COUNTIF(Berekening!AS$51:AS$66,'Overzicht pronostieken'!$E42)</f>
        <v>0</v>
      </c>
      <c r="AV42" s="166">
        <f>COUNTIF(Berekening!AT$51:AT$66,'Overzicht pronostieken'!$E42)</f>
        <v>0</v>
      </c>
    </row>
    <row r="43" spans="3:48">
      <c r="E43" s="161" t="s">
        <v>1168</v>
      </c>
      <c r="F43" s="161">
        <f t="shared" si="1"/>
        <v>6</v>
      </c>
      <c r="G43" s="166">
        <f>COUNTIF(Berekening!E$51:E$66,'Overzicht pronostieken'!$E43)</f>
        <v>0</v>
      </c>
      <c r="H43" s="166">
        <f>COUNTIF(Berekening!F$51:F$66,'Overzicht pronostieken'!$E43)</f>
        <v>0</v>
      </c>
      <c r="I43" s="166">
        <f>COUNTIF(Berekening!G$51:G$66,'Overzicht pronostieken'!$E43)</f>
        <v>0</v>
      </c>
      <c r="J43" s="166">
        <f>COUNTIF(Berekening!H$51:H$66,'Overzicht pronostieken'!$E43)</f>
        <v>1</v>
      </c>
      <c r="K43" s="166">
        <f>COUNTIF(Berekening!I$51:I$66,'Overzicht pronostieken'!$E43)</f>
        <v>1</v>
      </c>
      <c r="L43" s="166">
        <f>COUNTIF(Berekening!J$51:J$66,'Overzicht pronostieken'!$E43)</f>
        <v>1</v>
      </c>
      <c r="M43" s="166">
        <f>COUNTIF(Berekening!K$51:K$66,'Overzicht pronostieken'!$E43)</f>
        <v>1</v>
      </c>
      <c r="N43" s="166">
        <f>COUNTIF(Berekening!L$51:L$66,'Overzicht pronostieken'!$E43)</f>
        <v>0</v>
      </c>
      <c r="O43" s="166">
        <f>COUNTIF(Berekening!M$51:M$66,'Overzicht pronostieken'!$E43)</f>
        <v>0</v>
      </c>
      <c r="P43" s="166">
        <f>COUNTIF(Berekening!N$51:N$66,'Overzicht pronostieken'!$E43)</f>
        <v>1</v>
      </c>
      <c r="Q43" s="166">
        <f>COUNTIF(Berekening!O$51:O$66,'Overzicht pronostieken'!$E43)</f>
        <v>0</v>
      </c>
      <c r="R43" s="166">
        <f>COUNTIF(Berekening!P$51:P$66,'Overzicht pronostieken'!$E43)</f>
        <v>0</v>
      </c>
      <c r="S43" s="166">
        <f>COUNTIF(Berekening!Q$51:Q$66,'Overzicht pronostieken'!$E43)</f>
        <v>0</v>
      </c>
      <c r="T43" s="166">
        <f>COUNTIF(Berekening!R$51:R$66,'Overzicht pronostieken'!$E43)</f>
        <v>0</v>
      </c>
      <c r="U43" s="166">
        <f>COUNTIF(Berekening!S$51:S$66,'Overzicht pronostieken'!$E43)</f>
        <v>0</v>
      </c>
      <c r="V43" s="166">
        <f>COUNTIF(Berekening!T$51:T$66,'Overzicht pronostieken'!$E43)</f>
        <v>1</v>
      </c>
      <c r="W43" s="166">
        <f>COUNTIF(Berekening!U$51:U$66,'Overzicht pronostieken'!$E43)</f>
        <v>0</v>
      </c>
      <c r="X43" s="166">
        <f>COUNTIF(Berekening!V$51:V$66,'Overzicht pronostieken'!$E43)</f>
        <v>0</v>
      </c>
      <c r="Y43" s="166">
        <f>COUNTIF(Berekening!W$51:W$66,'Overzicht pronostieken'!$E43)</f>
        <v>0</v>
      </c>
      <c r="Z43" s="166">
        <f>COUNTIF(Berekening!X$51:X$66,'Overzicht pronostieken'!$E43)</f>
        <v>0</v>
      </c>
      <c r="AA43" s="166">
        <f>COUNTIF(Berekening!Y$51:Y$66,'Overzicht pronostieken'!$E43)</f>
        <v>0</v>
      </c>
      <c r="AB43" s="166">
        <f>COUNTIF(Berekening!Z$51:Z$66,'Overzicht pronostieken'!$E43)</f>
        <v>0</v>
      </c>
      <c r="AC43" s="166">
        <f>COUNTIF(Berekening!AA$51:AA$66,'Overzicht pronostieken'!$E43)</f>
        <v>0</v>
      </c>
      <c r="AD43" s="166">
        <f>COUNTIF(Berekening!AB$51:AB$66,'Overzicht pronostieken'!$E43)</f>
        <v>0</v>
      </c>
      <c r="AE43" s="166">
        <f>COUNTIF(Berekening!AC$51:AC$66,'Overzicht pronostieken'!$E43)</f>
        <v>0</v>
      </c>
      <c r="AF43" s="166">
        <f>COUNTIF(Berekening!AD$51:AD$66,'Overzicht pronostieken'!$E43)</f>
        <v>0</v>
      </c>
      <c r="AG43" s="166">
        <f>COUNTIF(Berekening!AE$51:AE$66,'Overzicht pronostieken'!$E43)</f>
        <v>0</v>
      </c>
      <c r="AH43" s="166">
        <f>COUNTIF(Berekening!AF$51:AF$66,'Overzicht pronostieken'!$E43)</f>
        <v>0</v>
      </c>
      <c r="AI43" s="166">
        <f>COUNTIF(Berekening!AG$51:AG$66,'Overzicht pronostieken'!$E43)</f>
        <v>0</v>
      </c>
      <c r="AJ43" s="166">
        <f>COUNTIF(Berekening!AH$51:AH$66,'Overzicht pronostieken'!$E43)</f>
        <v>0</v>
      </c>
      <c r="AK43" s="166">
        <f>COUNTIF(Berekening!AI$51:AI$66,'Overzicht pronostieken'!$E43)</f>
        <v>0</v>
      </c>
      <c r="AL43" s="166">
        <f>COUNTIF(Berekening!AJ$51:AJ$66,'Overzicht pronostieken'!$E43)</f>
        <v>0</v>
      </c>
      <c r="AM43" s="166">
        <f>COUNTIF(Berekening!AK$51:AK$66,'Overzicht pronostieken'!$E43)</f>
        <v>0</v>
      </c>
      <c r="AN43" s="166">
        <f>COUNTIF(Berekening!AL$51:AL$66,'Overzicht pronostieken'!$E43)</f>
        <v>0</v>
      </c>
      <c r="AO43" s="166">
        <f>COUNTIF(Berekening!AM$51:AM$66,'Overzicht pronostieken'!$E43)</f>
        <v>0</v>
      </c>
      <c r="AP43" s="166">
        <f>COUNTIF(Berekening!AN$51:AN$66,'Overzicht pronostieken'!$E43)</f>
        <v>0</v>
      </c>
      <c r="AQ43" s="166">
        <f>COUNTIF(Berekening!AO$51:AO$66,'Overzicht pronostieken'!$E43)</f>
        <v>0</v>
      </c>
      <c r="AR43" s="166">
        <f>COUNTIF(Berekening!AP$51:AP$66,'Overzicht pronostieken'!$E43)</f>
        <v>0</v>
      </c>
      <c r="AS43" s="166">
        <f>COUNTIF(Berekening!AQ$51:AQ$66,'Overzicht pronostieken'!$E43)</f>
        <v>0</v>
      </c>
      <c r="AT43" s="166">
        <f>COUNTIF(Berekening!AR$51:AR$66,'Overzicht pronostieken'!$E43)</f>
        <v>0</v>
      </c>
      <c r="AU43" s="166">
        <f>COUNTIF(Berekening!AS$51:AS$66,'Overzicht pronostieken'!$E43)</f>
        <v>0</v>
      </c>
      <c r="AV43" s="166">
        <f>COUNTIF(Berekening!AT$51:AT$66,'Overzicht pronostieken'!$E43)</f>
        <v>0</v>
      </c>
    </row>
    <row r="44" spans="3:48">
      <c r="E44" s="161" t="s">
        <v>1399</v>
      </c>
      <c r="F44" s="161">
        <f t="shared" si="1"/>
        <v>9</v>
      </c>
      <c r="G44" s="166">
        <f>COUNTIF(Berekening!E$51:E$66,'Overzicht pronostieken'!$E44)</f>
        <v>1</v>
      </c>
      <c r="H44" s="166">
        <f>COUNTIF(Berekening!F$51:F$66,'Overzicht pronostieken'!$E44)</f>
        <v>1</v>
      </c>
      <c r="I44" s="166">
        <f>COUNTIF(Berekening!G$51:G$66,'Overzicht pronostieken'!$E44)</f>
        <v>1</v>
      </c>
      <c r="J44" s="166">
        <f>COUNTIF(Berekening!H$51:H$66,'Overzicht pronostieken'!$E44)</f>
        <v>0</v>
      </c>
      <c r="K44" s="166">
        <f>COUNTIF(Berekening!I$51:I$66,'Overzicht pronostieken'!$E44)</f>
        <v>1</v>
      </c>
      <c r="L44" s="166">
        <f>COUNTIF(Berekening!J$51:J$66,'Overzicht pronostieken'!$E44)</f>
        <v>0</v>
      </c>
      <c r="M44" s="166">
        <f>COUNTIF(Berekening!K$51:K$66,'Overzicht pronostieken'!$E44)</f>
        <v>0</v>
      </c>
      <c r="N44" s="166">
        <f>COUNTIF(Berekening!L$51:L$66,'Overzicht pronostieken'!$E44)</f>
        <v>1</v>
      </c>
      <c r="O44" s="166">
        <f>COUNTIF(Berekening!M$51:M$66,'Overzicht pronostieken'!$E44)</f>
        <v>1</v>
      </c>
      <c r="P44" s="166">
        <f>COUNTIF(Berekening!N$51:N$66,'Overzicht pronostieken'!$E44)</f>
        <v>1</v>
      </c>
      <c r="Q44" s="166">
        <f>COUNTIF(Berekening!O$51:O$66,'Overzicht pronostieken'!$E44)</f>
        <v>1</v>
      </c>
      <c r="R44" s="166">
        <f>COUNTIF(Berekening!P$51:P$66,'Overzicht pronostieken'!$E44)</f>
        <v>0</v>
      </c>
      <c r="S44" s="166">
        <f>COUNTIF(Berekening!Q$51:Q$66,'Overzicht pronostieken'!$E44)</f>
        <v>0</v>
      </c>
      <c r="T44" s="166">
        <f>COUNTIF(Berekening!R$51:R$66,'Overzicht pronostieken'!$E44)</f>
        <v>0</v>
      </c>
      <c r="U44" s="166">
        <f>COUNTIF(Berekening!S$51:S$66,'Overzicht pronostieken'!$E44)</f>
        <v>1</v>
      </c>
      <c r="V44" s="166">
        <f>COUNTIF(Berekening!T$51:T$66,'Overzicht pronostieken'!$E44)</f>
        <v>0</v>
      </c>
      <c r="W44" s="166">
        <f>COUNTIF(Berekening!U$51:U$66,'Overzicht pronostieken'!$E44)</f>
        <v>0</v>
      </c>
      <c r="X44" s="166">
        <f>COUNTIF(Berekening!V$51:V$66,'Overzicht pronostieken'!$E44)</f>
        <v>0</v>
      </c>
      <c r="Y44" s="166">
        <f>COUNTIF(Berekening!W$51:W$66,'Overzicht pronostieken'!$E44)</f>
        <v>0</v>
      </c>
      <c r="Z44" s="166">
        <f>COUNTIF(Berekening!X$51:X$66,'Overzicht pronostieken'!$E44)</f>
        <v>0</v>
      </c>
      <c r="AA44" s="166">
        <f>COUNTIF(Berekening!Y$51:Y$66,'Overzicht pronostieken'!$E44)</f>
        <v>0</v>
      </c>
      <c r="AB44" s="166">
        <f>COUNTIF(Berekening!Z$51:Z$66,'Overzicht pronostieken'!$E44)</f>
        <v>0</v>
      </c>
      <c r="AC44" s="166">
        <f>COUNTIF(Berekening!AA$51:AA$66,'Overzicht pronostieken'!$E44)</f>
        <v>0</v>
      </c>
      <c r="AD44" s="166">
        <f>COUNTIF(Berekening!AB$51:AB$66,'Overzicht pronostieken'!$E44)</f>
        <v>0</v>
      </c>
      <c r="AE44" s="166">
        <f>COUNTIF(Berekening!AC$51:AC$66,'Overzicht pronostieken'!$E44)</f>
        <v>0</v>
      </c>
      <c r="AF44" s="166">
        <f>COUNTIF(Berekening!AD$51:AD$66,'Overzicht pronostieken'!$E44)</f>
        <v>0</v>
      </c>
      <c r="AG44" s="166">
        <f>COUNTIF(Berekening!AE$51:AE$66,'Overzicht pronostieken'!$E44)</f>
        <v>0</v>
      </c>
      <c r="AH44" s="166">
        <f>COUNTIF(Berekening!AF$51:AF$66,'Overzicht pronostieken'!$E44)</f>
        <v>0</v>
      </c>
      <c r="AI44" s="166">
        <f>COUNTIF(Berekening!AG$51:AG$66,'Overzicht pronostieken'!$E44)</f>
        <v>0</v>
      </c>
      <c r="AJ44" s="166">
        <f>COUNTIF(Berekening!AH$51:AH$66,'Overzicht pronostieken'!$E44)</f>
        <v>0</v>
      </c>
      <c r="AK44" s="166">
        <f>COUNTIF(Berekening!AI$51:AI$66,'Overzicht pronostieken'!$E44)</f>
        <v>0</v>
      </c>
      <c r="AL44" s="166">
        <f>COUNTIF(Berekening!AJ$51:AJ$66,'Overzicht pronostieken'!$E44)</f>
        <v>0</v>
      </c>
      <c r="AM44" s="166">
        <f>COUNTIF(Berekening!AK$51:AK$66,'Overzicht pronostieken'!$E44)</f>
        <v>0</v>
      </c>
      <c r="AN44" s="166">
        <f>COUNTIF(Berekening!AL$51:AL$66,'Overzicht pronostieken'!$E44)</f>
        <v>0</v>
      </c>
      <c r="AO44" s="166">
        <f>COUNTIF(Berekening!AM$51:AM$66,'Overzicht pronostieken'!$E44)</f>
        <v>0</v>
      </c>
      <c r="AP44" s="166">
        <f>COUNTIF(Berekening!AN$51:AN$66,'Overzicht pronostieken'!$E44)</f>
        <v>0</v>
      </c>
      <c r="AQ44" s="166">
        <f>COUNTIF(Berekening!AO$51:AO$66,'Overzicht pronostieken'!$E44)</f>
        <v>0</v>
      </c>
      <c r="AR44" s="166">
        <f>COUNTIF(Berekening!AP$51:AP$66,'Overzicht pronostieken'!$E44)</f>
        <v>0</v>
      </c>
      <c r="AS44" s="166">
        <f>COUNTIF(Berekening!AQ$51:AQ$66,'Overzicht pronostieken'!$E44)</f>
        <v>0</v>
      </c>
      <c r="AT44" s="166">
        <f>COUNTIF(Berekening!AR$51:AR$66,'Overzicht pronostieken'!$E44)</f>
        <v>0</v>
      </c>
      <c r="AU44" s="166">
        <f>COUNTIF(Berekening!AS$51:AS$66,'Overzicht pronostieken'!$E44)</f>
        <v>0</v>
      </c>
      <c r="AV44" s="166">
        <f>COUNTIF(Berekening!AT$51:AT$66,'Overzicht pronostieken'!$E44)</f>
        <v>0</v>
      </c>
    </row>
    <row r="45" spans="3:48">
      <c r="E45" s="161" t="s">
        <v>1468</v>
      </c>
      <c r="F45" s="161">
        <f t="shared" si="1"/>
        <v>16</v>
      </c>
      <c r="G45" s="166">
        <f>COUNTIF(Berekening!E$51:E$66,'Overzicht pronostieken'!$E45)</f>
        <v>1</v>
      </c>
      <c r="H45" s="166">
        <f>COUNTIF(Berekening!F$51:F$66,'Overzicht pronostieken'!$E45)</f>
        <v>1</v>
      </c>
      <c r="I45" s="166">
        <f>COUNTIF(Berekening!G$51:G$66,'Overzicht pronostieken'!$E45)</f>
        <v>1</v>
      </c>
      <c r="J45" s="166">
        <f>COUNTIF(Berekening!H$51:H$66,'Overzicht pronostieken'!$E45)</f>
        <v>1</v>
      </c>
      <c r="K45" s="166">
        <f>COUNTIF(Berekening!I$51:I$66,'Overzicht pronostieken'!$E45)</f>
        <v>1</v>
      </c>
      <c r="L45" s="166">
        <f>COUNTIF(Berekening!J$51:J$66,'Overzicht pronostieken'!$E45)</f>
        <v>1</v>
      </c>
      <c r="M45" s="166">
        <f>COUNTIF(Berekening!K$51:K$66,'Overzicht pronostieken'!$E45)</f>
        <v>1</v>
      </c>
      <c r="N45" s="166">
        <f>COUNTIF(Berekening!L$51:L$66,'Overzicht pronostieken'!$E45)</f>
        <v>1</v>
      </c>
      <c r="O45" s="166">
        <f>COUNTIF(Berekening!M$51:M$66,'Overzicht pronostieken'!$E45)</f>
        <v>1</v>
      </c>
      <c r="P45" s="166">
        <f>COUNTIF(Berekening!N$51:N$66,'Overzicht pronostieken'!$E45)</f>
        <v>1</v>
      </c>
      <c r="Q45" s="166">
        <f>COUNTIF(Berekening!O$51:O$66,'Overzicht pronostieken'!$E45)</f>
        <v>1</v>
      </c>
      <c r="R45" s="166">
        <f>COUNTIF(Berekening!P$51:P$66,'Overzicht pronostieken'!$E45)</f>
        <v>1</v>
      </c>
      <c r="S45" s="166">
        <f>COUNTIF(Berekening!Q$51:Q$66,'Overzicht pronostieken'!$E45)</f>
        <v>1</v>
      </c>
      <c r="T45" s="166">
        <f>COUNTIF(Berekening!R$51:R$66,'Overzicht pronostieken'!$E45)</f>
        <v>1</v>
      </c>
      <c r="U45" s="166">
        <f>COUNTIF(Berekening!S$51:S$66,'Overzicht pronostieken'!$E45)</f>
        <v>1</v>
      </c>
      <c r="V45" s="166">
        <f>COUNTIF(Berekening!T$51:T$66,'Overzicht pronostieken'!$E45)</f>
        <v>1</v>
      </c>
      <c r="W45" s="166">
        <f>COUNTIF(Berekening!U$51:U$66,'Overzicht pronostieken'!$E45)</f>
        <v>0</v>
      </c>
      <c r="X45" s="166">
        <f>COUNTIF(Berekening!V$51:V$66,'Overzicht pronostieken'!$E45)</f>
        <v>0</v>
      </c>
      <c r="Y45" s="166">
        <f>COUNTIF(Berekening!W$51:W$66,'Overzicht pronostieken'!$E45)</f>
        <v>0</v>
      </c>
      <c r="Z45" s="166">
        <f>COUNTIF(Berekening!X$51:X$66,'Overzicht pronostieken'!$E45)</f>
        <v>0</v>
      </c>
      <c r="AA45" s="166">
        <f>COUNTIF(Berekening!Y$51:Y$66,'Overzicht pronostieken'!$E45)</f>
        <v>0</v>
      </c>
      <c r="AB45" s="166">
        <f>COUNTIF(Berekening!Z$51:Z$66,'Overzicht pronostieken'!$E45)</f>
        <v>0</v>
      </c>
      <c r="AC45" s="166">
        <f>COUNTIF(Berekening!AA$51:AA$66,'Overzicht pronostieken'!$E45)</f>
        <v>0</v>
      </c>
      <c r="AD45" s="166">
        <f>COUNTIF(Berekening!AB$51:AB$66,'Overzicht pronostieken'!$E45)</f>
        <v>0</v>
      </c>
      <c r="AE45" s="166">
        <f>COUNTIF(Berekening!AC$51:AC$66,'Overzicht pronostieken'!$E45)</f>
        <v>0</v>
      </c>
      <c r="AF45" s="166">
        <f>COUNTIF(Berekening!AD$51:AD$66,'Overzicht pronostieken'!$E45)</f>
        <v>0</v>
      </c>
      <c r="AG45" s="166">
        <f>COUNTIF(Berekening!AE$51:AE$66,'Overzicht pronostieken'!$E45)</f>
        <v>0</v>
      </c>
      <c r="AH45" s="166">
        <f>COUNTIF(Berekening!AF$51:AF$66,'Overzicht pronostieken'!$E45)</f>
        <v>0</v>
      </c>
      <c r="AI45" s="166">
        <f>COUNTIF(Berekening!AG$51:AG$66,'Overzicht pronostieken'!$E45)</f>
        <v>0</v>
      </c>
      <c r="AJ45" s="166">
        <f>COUNTIF(Berekening!AH$51:AH$66,'Overzicht pronostieken'!$E45)</f>
        <v>0</v>
      </c>
      <c r="AK45" s="166">
        <f>COUNTIF(Berekening!AI$51:AI$66,'Overzicht pronostieken'!$E45)</f>
        <v>0</v>
      </c>
      <c r="AL45" s="166">
        <f>COUNTIF(Berekening!AJ$51:AJ$66,'Overzicht pronostieken'!$E45)</f>
        <v>0</v>
      </c>
      <c r="AM45" s="166">
        <f>COUNTIF(Berekening!AK$51:AK$66,'Overzicht pronostieken'!$E45)</f>
        <v>0</v>
      </c>
      <c r="AN45" s="166">
        <f>COUNTIF(Berekening!AL$51:AL$66,'Overzicht pronostieken'!$E45)</f>
        <v>0</v>
      </c>
      <c r="AO45" s="166">
        <f>COUNTIF(Berekening!AM$51:AM$66,'Overzicht pronostieken'!$E45)</f>
        <v>0</v>
      </c>
      <c r="AP45" s="166">
        <f>COUNTIF(Berekening!AN$51:AN$66,'Overzicht pronostieken'!$E45)</f>
        <v>0</v>
      </c>
      <c r="AQ45" s="166">
        <f>COUNTIF(Berekening!AO$51:AO$66,'Overzicht pronostieken'!$E45)</f>
        <v>0</v>
      </c>
      <c r="AR45" s="166">
        <f>COUNTIF(Berekening!AP$51:AP$66,'Overzicht pronostieken'!$E45)</f>
        <v>0</v>
      </c>
      <c r="AS45" s="166">
        <f>COUNTIF(Berekening!AQ$51:AQ$66,'Overzicht pronostieken'!$E45)</f>
        <v>0</v>
      </c>
      <c r="AT45" s="166">
        <f>COUNTIF(Berekening!AR$51:AR$66,'Overzicht pronostieken'!$E45)</f>
        <v>0</v>
      </c>
      <c r="AU45" s="166">
        <f>COUNTIF(Berekening!AS$51:AS$66,'Overzicht pronostieken'!$E45)</f>
        <v>0</v>
      </c>
      <c r="AV45" s="166">
        <f>COUNTIF(Berekening!AT$51:AT$66,'Overzicht pronostieken'!$E45)</f>
        <v>0</v>
      </c>
    </row>
    <row r="46" spans="3:48">
      <c r="E46" s="161" t="s">
        <v>1113</v>
      </c>
      <c r="F46" s="161">
        <f t="shared" si="1"/>
        <v>15</v>
      </c>
      <c r="G46" s="166">
        <f>COUNTIF(Berekening!E$51:E$66,'Overzicht pronostieken'!$E46)</f>
        <v>1</v>
      </c>
      <c r="H46" s="166">
        <f>COUNTIF(Berekening!F$51:F$66,'Overzicht pronostieken'!$E46)</f>
        <v>1</v>
      </c>
      <c r="I46" s="166">
        <f>COUNTIF(Berekening!G$51:G$66,'Overzicht pronostieken'!$E46)</f>
        <v>1</v>
      </c>
      <c r="J46" s="166">
        <f>COUNTIF(Berekening!H$51:H$66,'Overzicht pronostieken'!$E46)</f>
        <v>1</v>
      </c>
      <c r="K46" s="166">
        <f>COUNTIF(Berekening!I$51:I$66,'Overzicht pronostieken'!$E46)</f>
        <v>1</v>
      </c>
      <c r="L46" s="166">
        <f>COUNTIF(Berekening!J$51:J$66,'Overzicht pronostieken'!$E46)</f>
        <v>0</v>
      </c>
      <c r="M46" s="166">
        <f>COUNTIF(Berekening!K$51:K$66,'Overzicht pronostieken'!$E46)</f>
        <v>1</v>
      </c>
      <c r="N46" s="166">
        <f>COUNTIF(Berekening!L$51:L$66,'Overzicht pronostieken'!$E46)</f>
        <v>1</v>
      </c>
      <c r="O46" s="166">
        <f>COUNTIF(Berekening!M$51:M$66,'Overzicht pronostieken'!$E46)</f>
        <v>1</v>
      </c>
      <c r="P46" s="166">
        <f>COUNTIF(Berekening!N$51:N$66,'Overzicht pronostieken'!$E46)</f>
        <v>1</v>
      </c>
      <c r="Q46" s="166">
        <f>COUNTIF(Berekening!O$51:O$66,'Overzicht pronostieken'!$E46)</f>
        <v>1</v>
      </c>
      <c r="R46" s="166">
        <f>COUNTIF(Berekening!P$51:P$66,'Overzicht pronostieken'!$E46)</f>
        <v>1</v>
      </c>
      <c r="S46" s="166">
        <f>COUNTIF(Berekening!Q$51:Q$66,'Overzicht pronostieken'!$E46)</f>
        <v>1</v>
      </c>
      <c r="T46" s="166">
        <f>COUNTIF(Berekening!R$51:R$66,'Overzicht pronostieken'!$E46)</f>
        <v>1</v>
      </c>
      <c r="U46" s="166">
        <f>COUNTIF(Berekening!S$51:S$66,'Overzicht pronostieken'!$E46)</f>
        <v>1</v>
      </c>
      <c r="V46" s="166">
        <f>COUNTIF(Berekening!T$51:T$66,'Overzicht pronostieken'!$E46)</f>
        <v>1</v>
      </c>
      <c r="W46" s="166">
        <f>COUNTIF(Berekening!U$51:U$66,'Overzicht pronostieken'!$E46)</f>
        <v>0</v>
      </c>
      <c r="X46" s="166">
        <f>COUNTIF(Berekening!V$51:V$66,'Overzicht pronostieken'!$E46)</f>
        <v>0</v>
      </c>
      <c r="Y46" s="166">
        <f>COUNTIF(Berekening!W$51:W$66,'Overzicht pronostieken'!$E46)</f>
        <v>0</v>
      </c>
      <c r="Z46" s="166">
        <f>COUNTIF(Berekening!X$51:X$66,'Overzicht pronostieken'!$E46)</f>
        <v>0</v>
      </c>
      <c r="AA46" s="166">
        <f>COUNTIF(Berekening!Y$51:Y$66,'Overzicht pronostieken'!$E46)</f>
        <v>0</v>
      </c>
      <c r="AB46" s="166">
        <f>COUNTIF(Berekening!Z$51:Z$66,'Overzicht pronostieken'!$E46)</f>
        <v>0</v>
      </c>
      <c r="AC46" s="166">
        <f>COUNTIF(Berekening!AA$51:AA$66,'Overzicht pronostieken'!$E46)</f>
        <v>0</v>
      </c>
      <c r="AD46" s="166">
        <f>COUNTIF(Berekening!AB$51:AB$66,'Overzicht pronostieken'!$E46)</f>
        <v>0</v>
      </c>
      <c r="AE46" s="166">
        <f>COUNTIF(Berekening!AC$51:AC$66,'Overzicht pronostieken'!$E46)</f>
        <v>0</v>
      </c>
      <c r="AF46" s="166">
        <f>COUNTIF(Berekening!AD$51:AD$66,'Overzicht pronostieken'!$E46)</f>
        <v>0</v>
      </c>
      <c r="AG46" s="166">
        <f>COUNTIF(Berekening!AE$51:AE$66,'Overzicht pronostieken'!$E46)</f>
        <v>0</v>
      </c>
      <c r="AH46" s="166">
        <f>COUNTIF(Berekening!AF$51:AF$66,'Overzicht pronostieken'!$E46)</f>
        <v>0</v>
      </c>
      <c r="AI46" s="166">
        <f>COUNTIF(Berekening!AG$51:AG$66,'Overzicht pronostieken'!$E46)</f>
        <v>0</v>
      </c>
      <c r="AJ46" s="166">
        <f>COUNTIF(Berekening!AH$51:AH$66,'Overzicht pronostieken'!$E46)</f>
        <v>0</v>
      </c>
      <c r="AK46" s="166">
        <f>COUNTIF(Berekening!AI$51:AI$66,'Overzicht pronostieken'!$E46)</f>
        <v>0</v>
      </c>
      <c r="AL46" s="166">
        <f>COUNTIF(Berekening!AJ$51:AJ$66,'Overzicht pronostieken'!$E46)</f>
        <v>0</v>
      </c>
      <c r="AM46" s="166">
        <f>COUNTIF(Berekening!AK$51:AK$66,'Overzicht pronostieken'!$E46)</f>
        <v>0</v>
      </c>
      <c r="AN46" s="166">
        <f>COUNTIF(Berekening!AL$51:AL$66,'Overzicht pronostieken'!$E46)</f>
        <v>0</v>
      </c>
      <c r="AO46" s="166">
        <f>COUNTIF(Berekening!AM$51:AM$66,'Overzicht pronostieken'!$E46)</f>
        <v>0</v>
      </c>
      <c r="AP46" s="166">
        <f>COUNTIF(Berekening!AN$51:AN$66,'Overzicht pronostieken'!$E46)</f>
        <v>0</v>
      </c>
      <c r="AQ46" s="166">
        <f>COUNTIF(Berekening!AO$51:AO$66,'Overzicht pronostieken'!$E46)</f>
        <v>0</v>
      </c>
      <c r="AR46" s="166">
        <f>COUNTIF(Berekening!AP$51:AP$66,'Overzicht pronostieken'!$E46)</f>
        <v>0</v>
      </c>
      <c r="AS46" s="166">
        <f>COUNTIF(Berekening!AQ$51:AQ$66,'Overzicht pronostieken'!$E46)</f>
        <v>0</v>
      </c>
      <c r="AT46" s="166">
        <f>COUNTIF(Berekening!AR$51:AR$66,'Overzicht pronostieken'!$E46)</f>
        <v>0</v>
      </c>
      <c r="AU46" s="166">
        <f>COUNTIF(Berekening!AS$51:AS$66,'Overzicht pronostieken'!$E46)</f>
        <v>0</v>
      </c>
      <c r="AV46" s="166">
        <f>COUNTIF(Berekening!AT$51:AT$66,'Overzicht pronostieken'!$E46)</f>
        <v>0</v>
      </c>
    </row>
    <row r="47" spans="3:48">
      <c r="E47" s="161" t="s">
        <v>1077</v>
      </c>
      <c r="F47" s="161">
        <f t="shared" si="1"/>
        <v>16</v>
      </c>
      <c r="G47" s="166">
        <f>COUNTIF(Berekening!E$51:E$66,'Overzicht pronostieken'!$E47)</f>
        <v>1</v>
      </c>
      <c r="H47" s="166">
        <f>COUNTIF(Berekening!F$51:F$66,'Overzicht pronostieken'!$E47)</f>
        <v>1</v>
      </c>
      <c r="I47" s="166">
        <f>COUNTIF(Berekening!G$51:G$66,'Overzicht pronostieken'!$E47)</f>
        <v>1</v>
      </c>
      <c r="J47" s="166">
        <f>COUNTIF(Berekening!H$51:H$66,'Overzicht pronostieken'!$E47)</f>
        <v>1</v>
      </c>
      <c r="K47" s="166">
        <f>COUNTIF(Berekening!I$51:I$66,'Overzicht pronostieken'!$E47)</f>
        <v>1</v>
      </c>
      <c r="L47" s="166">
        <f>COUNTIF(Berekening!J$51:J$66,'Overzicht pronostieken'!$E47)</f>
        <v>1</v>
      </c>
      <c r="M47" s="166">
        <f>COUNTIF(Berekening!K$51:K$66,'Overzicht pronostieken'!$E47)</f>
        <v>1</v>
      </c>
      <c r="N47" s="166">
        <f>COUNTIF(Berekening!L$51:L$66,'Overzicht pronostieken'!$E47)</f>
        <v>1</v>
      </c>
      <c r="O47" s="166">
        <f>COUNTIF(Berekening!M$51:M$66,'Overzicht pronostieken'!$E47)</f>
        <v>1</v>
      </c>
      <c r="P47" s="166">
        <f>COUNTIF(Berekening!N$51:N$66,'Overzicht pronostieken'!$E47)</f>
        <v>1</v>
      </c>
      <c r="Q47" s="166">
        <f>COUNTIF(Berekening!O$51:O$66,'Overzicht pronostieken'!$E47)</f>
        <v>1</v>
      </c>
      <c r="R47" s="166">
        <f>COUNTIF(Berekening!P$51:P$66,'Overzicht pronostieken'!$E47)</f>
        <v>1</v>
      </c>
      <c r="S47" s="166">
        <f>COUNTIF(Berekening!Q$51:Q$66,'Overzicht pronostieken'!$E47)</f>
        <v>1</v>
      </c>
      <c r="T47" s="166">
        <f>COUNTIF(Berekening!R$51:R$66,'Overzicht pronostieken'!$E47)</f>
        <v>1</v>
      </c>
      <c r="U47" s="166">
        <f>COUNTIF(Berekening!S$51:S$66,'Overzicht pronostieken'!$E47)</f>
        <v>1</v>
      </c>
      <c r="V47" s="166">
        <f>COUNTIF(Berekening!T$51:T$66,'Overzicht pronostieken'!$E47)</f>
        <v>1</v>
      </c>
      <c r="W47" s="166">
        <f>COUNTIF(Berekening!U$51:U$66,'Overzicht pronostieken'!$E47)</f>
        <v>0</v>
      </c>
      <c r="X47" s="166">
        <f>COUNTIF(Berekening!V$51:V$66,'Overzicht pronostieken'!$E47)</f>
        <v>0</v>
      </c>
      <c r="Y47" s="166">
        <f>COUNTIF(Berekening!W$51:W$66,'Overzicht pronostieken'!$E47)</f>
        <v>0</v>
      </c>
      <c r="Z47" s="166">
        <f>COUNTIF(Berekening!X$51:X$66,'Overzicht pronostieken'!$E47)</f>
        <v>0</v>
      </c>
      <c r="AA47" s="166">
        <f>COUNTIF(Berekening!Y$51:Y$66,'Overzicht pronostieken'!$E47)</f>
        <v>0</v>
      </c>
      <c r="AB47" s="166">
        <f>COUNTIF(Berekening!Z$51:Z$66,'Overzicht pronostieken'!$E47)</f>
        <v>0</v>
      </c>
      <c r="AC47" s="166">
        <f>COUNTIF(Berekening!AA$51:AA$66,'Overzicht pronostieken'!$E47)</f>
        <v>0</v>
      </c>
      <c r="AD47" s="166">
        <f>COUNTIF(Berekening!AB$51:AB$66,'Overzicht pronostieken'!$E47)</f>
        <v>0</v>
      </c>
      <c r="AE47" s="166">
        <f>COUNTIF(Berekening!AC$51:AC$66,'Overzicht pronostieken'!$E47)</f>
        <v>0</v>
      </c>
      <c r="AF47" s="166">
        <f>COUNTIF(Berekening!AD$51:AD$66,'Overzicht pronostieken'!$E47)</f>
        <v>0</v>
      </c>
      <c r="AG47" s="166">
        <f>COUNTIF(Berekening!AE$51:AE$66,'Overzicht pronostieken'!$E47)</f>
        <v>0</v>
      </c>
      <c r="AH47" s="166">
        <f>COUNTIF(Berekening!AF$51:AF$66,'Overzicht pronostieken'!$E47)</f>
        <v>0</v>
      </c>
      <c r="AI47" s="166">
        <f>COUNTIF(Berekening!AG$51:AG$66,'Overzicht pronostieken'!$E47)</f>
        <v>0</v>
      </c>
      <c r="AJ47" s="166">
        <f>COUNTIF(Berekening!AH$51:AH$66,'Overzicht pronostieken'!$E47)</f>
        <v>0</v>
      </c>
      <c r="AK47" s="166">
        <f>COUNTIF(Berekening!AI$51:AI$66,'Overzicht pronostieken'!$E47)</f>
        <v>0</v>
      </c>
      <c r="AL47" s="166">
        <f>COUNTIF(Berekening!AJ$51:AJ$66,'Overzicht pronostieken'!$E47)</f>
        <v>0</v>
      </c>
      <c r="AM47" s="166">
        <f>COUNTIF(Berekening!AK$51:AK$66,'Overzicht pronostieken'!$E47)</f>
        <v>0</v>
      </c>
      <c r="AN47" s="166">
        <f>COUNTIF(Berekening!AL$51:AL$66,'Overzicht pronostieken'!$E47)</f>
        <v>0</v>
      </c>
      <c r="AO47" s="166">
        <f>COUNTIF(Berekening!AM$51:AM$66,'Overzicht pronostieken'!$E47)</f>
        <v>0</v>
      </c>
      <c r="AP47" s="166">
        <f>COUNTIF(Berekening!AN$51:AN$66,'Overzicht pronostieken'!$E47)</f>
        <v>0</v>
      </c>
      <c r="AQ47" s="166">
        <f>COUNTIF(Berekening!AO$51:AO$66,'Overzicht pronostieken'!$E47)</f>
        <v>0</v>
      </c>
      <c r="AR47" s="166">
        <f>COUNTIF(Berekening!AP$51:AP$66,'Overzicht pronostieken'!$E47)</f>
        <v>0</v>
      </c>
      <c r="AS47" s="166">
        <f>COUNTIF(Berekening!AQ$51:AQ$66,'Overzicht pronostieken'!$E47)</f>
        <v>0</v>
      </c>
      <c r="AT47" s="166">
        <f>COUNTIF(Berekening!AR$51:AR$66,'Overzicht pronostieken'!$E47)</f>
        <v>0</v>
      </c>
      <c r="AU47" s="166">
        <f>COUNTIF(Berekening!AS$51:AS$66,'Overzicht pronostieken'!$E47)</f>
        <v>0</v>
      </c>
      <c r="AV47" s="166">
        <f>COUNTIF(Berekening!AT$51:AT$66,'Overzicht pronostieken'!$E47)</f>
        <v>0</v>
      </c>
    </row>
    <row r="48" spans="3:48">
      <c r="E48" s="161" t="s">
        <v>1016</v>
      </c>
      <c r="F48" s="161">
        <f t="shared" si="1"/>
        <v>0</v>
      </c>
      <c r="G48" s="166">
        <f>COUNTIF(Berekening!E$51:E$66,'Overzicht pronostieken'!$E48)</f>
        <v>0</v>
      </c>
      <c r="H48" s="166">
        <f>COUNTIF(Berekening!F$51:F$66,'Overzicht pronostieken'!$E48)</f>
        <v>0</v>
      </c>
      <c r="I48" s="166">
        <f>COUNTIF(Berekening!G$51:G$66,'Overzicht pronostieken'!$E48)</f>
        <v>0</v>
      </c>
      <c r="J48" s="166">
        <f>COUNTIF(Berekening!H$51:H$66,'Overzicht pronostieken'!$E48)</f>
        <v>0</v>
      </c>
      <c r="K48" s="166">
        <f>COUNTIF(Berekening!I$51:I$66,'Overzicht pronostieken'!$E48)</f>
        <v>0</v>
      </c>
      <c r="L48" s="166">
        <f>COUNTIF(Berekening!J$51:J$66,'Overzicht pronostieken'!$E48)</f>
        <v>0</v>
      </c>
      <c r="M48" s="166">
        <f>COUNTIF(Berekening!K$51:K$66,'Overzicht pronostieken'!$E48)</f>
        <v>0</v>
      </c>
      <c r="N48" s="166">
        <f>COUNTIF(Berekening!L$51:L$66,'Overzicht pronostieken'!$E48)</f>
        <v>0</v>
      </c>
      <c r="O48" s="166">
        <f>COUNTIF(Berekening!M$51:M$66,'Overzicht pronostieken'!$E48)</f>
        <v>0</v>
      </c>
      <c r="P48" s="166">
        <f>COUNTIF(Berekening!N$51:N$66,'Overzicht pronostieken'!$E48)</f>
        <v>0</v>
      </c>
      <c r="Q48" s="166">
        <f>COUNTIF(Berekening!O$51:O$66,'Overzicht pronostieken'!$E48)</f>
        <v>0</v>
      </c>
      <c r="R48" s="166">
        <f>COUNTIF(Berekening!P$51:P$66,'Overzicht pronostieken'!$E48)</f>
        <v>0</v>
      </c>
      <c r="S48" s="166">
        <f>COUNTIF(Berekening!Q$51:Q$66,'Overzicht pronostieken'!$E48)</f>
        <v>0</v>
      </c>
      <c r="T48" s="166">
        <f>COUNTIF(Berekening!R$51:R$66,'Overzicht pronostieken'!$E48)</f>
        <v>0</v>
      </c>
      <c r="U48" s="166">
        <f>COUNTIF(Berekening!S$51:S$66,'Overzicht pronostieken'!$E48)</f>
        <v>0</v>
      </c>
      <c r="V48" s="166">
        <f>COUNTIF(Berekening!T$51:T$66,'Overzicht pronostieken'!$E48)</f>
        <v>0</v>
      </c>
      <c r="W48" s="166">
        <f>COUNTIF(Berekening!U$51:U$66,'Overzicht pronostieken'!$E48)</f>
        <v>0</v>
      </c>
      <c r="X48" s="166">
        <f>COUNTIF(Berekening!V$51:V$66,'Overzicht pronostieken'!$E48)</f>
        <v>0</v>
      </c>
      <c r="Y48" s="166">
        <f>COUNTIF(Berekening!W$51:W$66,'Overzicht pronostieken'!$E48)</f>
        <v>0</v>
      </c>
      <c r="Z48" s="166">
        <f>COUNTIF(Berekening!X$51:X$66,'Overzicht pronostieken'!$E48)</f>
        <v>0</v>
      </c>
      <c r="AA48" s="166">
        <f>COUNTIF(Berekening!Y$51:Y$66,'Overzicht pronostieken'!$E48)</f>
        <v>0</v>
      </c>
      <c r="AB48" s="166">
        <f>COUNTIF(Berekening!Z$51:Z$66,'Overzicht pronostieken'!$E48)</f>
        <v>0</v>
      </c>
      <c r="AC48" s="166">
        <f>COUNTIF(Berekening!AA$51:AA$66,'Overzicht pronostieken'!$E48)</f>
        <v>0</v>
      </c>
      <c r="AD48" s="166">
        <f>COUNTIF(Berekening!AB$51:AB$66,'Overzicht pronostieken'!$E48)</f>
        <v>0</v>
      </c>
      <c r="AE48" s="166">
        <f>COUNTIF(Berekening!AC$51:AC$66,'Overzicht pronostieken'!$E48)</f>
        <v>0</v>
      </c>
      <c r="AF48" s="166">
        <f>COUNTIF(Berekening!AD$51:AD$66,'Overzicht pronostieken'!$E48)</f>
        <v>0</v>
      </c>
      <c r="AG48" s="166">
        <f>COUNTIF(Berekening!AE$51:AE$66,'Overzicht pronostieken'!$E48)</f>
        <v>0</v>
      </c>
      <c r="AH48" s="166">
        <f>COUNTIF(Berekening!AF$51:AF$66,'Overzicht pronostieken'!$E48)</f>
        <v>0</v>
      </c>
      <c r="AI48" s="166">
        <f>COUNTIF(Berekening!AG$51:AG$66,'Overzicht pronostieken'!$E48)</f>
        <v>0</v>
      </c>
      <c r="AJ48" s="166">
        <f>COUNTIF(Berekening!AH$51:AH$66,'Overzicht pronostieken'!$E48)</f>
        <v>0</v>
      </c>
      <c r="AK48" s="166">
        <f>COUNTIF(Berekening!AI$51:AI$66,'Overzicht pronostieken'!$E48)</f>
        <v>0</v>
      </c>
      <c r="AL48" s="166">
        <f>COUNTIF(Berekening!AJ$51:AJ$66,'Overzicht pronostieken'!$E48)</f>
        <v>0</v>
      </c>
      <c r="AM48" s="166">
        <f>COUNTIF(Berekening!AK$51:AK$66,'Overzicht pronostieken'!$E48)</f>
        <v>0</v>
      </c>
      <c r="AN48" s="166">
        <f>COUNTIF(Berekening!AL$51:AL$66,'Overzicht pronostieken'!$E48)</f>
        <v>0</v>
      </c>
      <c r="AO48" s="166">
        <f>COUNTIF(Berekening!AM$51:AM$66,'Overzicht pronostieken'!$E48)</f>
        <v>0</v>
      </c>
      <c r="AP48" s="166">
        <f>COUNTIF(Berekening!AN$51:AN$66,'Overzicht pronostieken'!$E48)</f>
        <v>0</v>
      </c>
      <c r="AQ48" s="166">
        <f>COUNTIF(Berekening!AO$51:AO$66,'Overzicht pronostieken'!$E48)</f>
        <v>0</v>
      </c>
      <c r="AR48" s="166">
        <f>COUNTIF(Berekening!AP$51:AP$66,'Overzicht pronostieken'!$E48)</f>
        <v>0</v>
      </c>
      <c r="AS48" s="166">
        <f>COUNTIF(Berekening!AQ$51:AQ$66,'Overzicht pronostieken'!$E48)</f>
        <v>0</v>
      </c>
      <c r="AT48" s="166">
        <f>COUNTIF(Berekening!AR$51:AR$66,'Overzicht pronostieken'!$E48)</f>
        <v>0</v>
      </c>
      <c r="AU48" s="166">
        <f>COUNTIF(Berekening!AS$51:AS$66,'Overzicht pronostieken'!$E48)</f>
        <v>0</v>
      </c>
      <c r="AV48" s="166">
        <f>COUNTIF(Berekening!AT$51:AT$66,'Overzicht pronostieken'!$E48)</f>
        <v>0</v>
      </c>
    </row>
    <row r="49" spans="5:48">
      <c r="E49" s="161" t="s">
        <v>1533</v>
      </c>
      <c r="F49" s="161">
        <f t="shared" si="1"/>
        <v>16</v>
      </c>
      <c r="G49" s="166">
        <f>COUNTIF(Berekening!E$51:E$66,'Overzicht pronostieken'!$E49)</f>
        <v>1</v>
      </c>
      <c r="H49" s="166">
        <f>COUNTIF(Berekening!F$51:F$66,'Overzicht pronostieken'!$E49)</f>
        <v>1</v>
      </c>
      <c r="I49" s="166">
        <f>COUNTIF(Berekening!G$51:G$66,'Overzicht pronostieken'!$E49)</f>
        <v>1</v>
      </c>
      <c r="J49" s="166">
        <f>COUNTIF(Berekening!H$51:H$66,'Overzicht pronostieken'!$E49)</f>
        <v>1</v>
      </c>
      <c r="K49" s="166">
        <f>COUNTIF(Berekening!I$51:I$66,'Overzicht pronostieken'!$E49)</f>
        <v>1</v>
      </c>
      <c r="L49" s="166">
        <f>COUNTIF(Berekening!J$51:J$66,'Overzicht pronostieken'!$E49)</f>
        <v>1</v>
      </c>
      <c r="M49" s="166">
        <f>COUNTIF(Berekening!K$51:K$66,'Overzicht pronostieken'!$E49)</f>
        <v>1</v>
      </c>
      <c r="N49" s="166">
        <f>COUNTIF(Berekening!L$51:L$66,'Overzicht pronostieken'!$E49)</f>
        <v>1</v>
      </c>
      <c r="O49" s="166">
        <f>COUNTIF(Berekening!M$51:M$66,'Overzicht pronostieken'!$E49)</f>
        <v>1</v>
      </c>
      <c r="P49" s="166">
        <f>COUNTIF(Berekening!N$51:N$66,'Overzicht pronostieken'!$E49)</f>
        <v>1</v>
      </c>
      <c r="Q49" s="166">
        <f>COUNTIF(Berekening!O$51:O$66,'Overzicht pronostieken'!$E49)</f>
        <v>1</v>
      </c>
      <c r="R49" s="166">
        <f>COUNTIF(Berekening!P$51:P$66,'Overzicht pronostieken'!$E49)</f>
        <v>1</v>
      </c>
      <c r="S49" s="166">
        <f>COUNTIF(Berekening!Q$51:Q$66,'Overzicht pronostieken'!$E49)</f>
        <v>1</v>
      </c>
      <c r="T49" s="166">
        <f>COUNTIF(Berekening!R$51:R$66,'Overzicht pronostieken'!$E49)</f>
        <v>1</v>
      </c>
      <c r="U49" s="166">
        <f>COUNTIF(Berekening!S$51:S$66,'Overzicht pronostieken'!$E49)</f>
        <v>1</v>
      </c>
      <c r="V49" s="166">
        <f>COUNTIF(Berekening!T$51:T$66,'Overzicht pronostieken'!$E49)</f>
        <v>1</v>
      </c>
      <c r="W49" s="166">
        <f>COUNTIF(Berekening!U$51:U$66,'Overzicht pronostieken'!$E49)</f>
        <v>0</v>
      </c>
      <c r="X49" s="166">
        <f>COUNTIF(Berekening!V$51:V$66,'Overzicht pronostieken'!$E49)</f>
        <v>0</v>
      </c>
      <c r="Y49" s="166">
        <f>COUNTIF(Berekening!W$51:W$66,'Overzicht pronostieken'!$E49)</f>
        <v>0</v>
      </c>
      <c r="Z49" s="166">
        <f>COUNTIF(Berekening!X$51:X$66,'Overzicht pronostieken'!$E49)</f>
        <v>0</v>
      </c>
      <c r="AA49" s="166">
        <f>COUNTIF(Berekening!Y$51:Y$66,'Overzicht pronostieken'!$E49)</f>
        <v>0</v>
      </c>
      <c r="AB49" s="166">
        <f>COUNTIF(Berekening!Z$51:Z$66,'Overzicht pronostieken'!$E49)</f>
        <v>0</v>
      </c>
      <c r="AC49" s="166">
        <f>COUNTIF(Berekening!AA$51:AA$66,'Overzicht pronostieken'!$E49)</f>
        <v>0</v>
      </c>
      <c r="AD49" s="166">
        <f>COUNTIF(Berekening!AB$51:AB$66,'Overzicht pronostieken'!$E49)</f>
        <v>0</v>
      </c>
      <c r="AE49" s="166">
        <f>COUNTIF(Berekening!AC$51:AC$66,'Overzicht pronostieken'!$E49)</f>
        <v>0</v>
      </c>
      <c r="AF49" s="166">
        <f>COUNTIF(Berekening!AD$51:AD$66,'Overzicht pronostieken'!$E49)</f>
        <v>0</v>
      </c>
      <c r="AG49" s="166">
        <f>COUNTIF(Berekening!AE$51:AE$66,'Overzicht pronostieken'!$E49)</f>
        <v>0</v>
      </c>
      <c r="AH49" s="166">
        <f>COUNTIF(Berekening!AF$51:AF$66,'Overzicht pronostieken'!$E49)</f>
        <v>0</v>
      </c>
      <c r="AI49" s="166">
        <f>COUNTIF(Berekening!AG$51:AG$66,'Overzicht pronostieken'!$E49)</f>
        <v>0</v>
      </c>
      <c r="AJ49" s="166">
        <f>COUNTIF(Berekening!AH$51:AH$66,'Overzicht pronostieken'!$E49)</f>
        <v>0</v>
      </c>
      <c r="AK49" s="166">
        <f>COUNTIF(Berekening!AI$51:AI$66,'Overzicht pronostieken'!$E49)</f>
        <v>0</v>
      </c>
      <c r="AL49" s="166">
        <f>COUNTIF(Berekening!AJ$51:AJ$66,'Overzicht pronostieken'!$E49)</f>
        <v>0</v>
      </c>
      <c r="AM49" s="166">
        <f>COUNTIF(Berekening!AK$51:AK$66,'Overzicht pronostieken'!$E49)</f>
        <v>0</v>
      </c>
      <c r="AN49" s="166">
        <f>COUNTIF(Berekening!AL$51:AL$66,'Overzicht pronostieken'!$E49)</f>
        <v>0</v>
      </c>
      <c r="AO49" s="166">
        <f>COUNTIF(Berekening!AM$51:AM$66,'Overzicht pronostieken'!$E49)</f>
        <v>0</v>
      </c>
      <c r="AP49" s="166">
        <f>COUNTIF(Berekening!AN$51:AN$66,'Overzicht pronostieken'!$E49)</f>
        <v>0</v>
      </c>
      <c r="AQ49" s="166">
        <f>COUNTIF(Berekening!AO$51:AO$66,'Overzicht pronostieken'!$E49)</f>
        <v>0</v>
      </c>
      <c r="AR49" s="166">
        <f>COUNTIF(Berekening!AP$51:AP$66,'Overzicht pronostieken'!$E49)</f>
        <v>0</v>
      </c>
      <c r="AS49" s="166">
        <f>COUNTIF(Berekening!AQ$51:AQ$66,'Overzicht pronostieken'!$E49)</f>
        <v>0</v>
      </c>
      <c r="AT49" s="166">
        <f>COUNTIF(Berekening!AR$51:AR$66,'Overzicht pronostieken'!$E49)</f>
        <v>0</v>
      </c>
      <c r="AU49" s="166">
        <f>COUNTIF(Berekening!AS$51:AS$66,'Overzicht pronostieken'!$E49)</f>
        <v>0</v>
      </c>
      <c r="AV49" s="166">
        <f>COUNTIF(Berekening!AT$51:AT$66,'Overzicht pronostieken'!$E49)</f>
        <v>0</v>
      </c>
    </row>
    <row r="50" spans="5:48">
      <c r="E50" s="161" t="s">
        <v>2630</v>
      </c>
      <c r="F50" s="161">
        <f t="shared" si="1"/>
        <v>0</v>
      </c>
      <c r="G50" s="166">
        <f>COUNTIF(Berekening!E$51:E$66,'Overzicht pronostieken'!$E50)</f>
        <v>0</v>
      </c>
      <c r="H50" s="166">
        <f>COUNTIF(Berekening!F$51:F$66,'Overzicht pronostieken'!$E50)</f>
        <v>0</v>
      </c>
      <c r="I50" s="166">
        <f>COUNTIF(Berekening!G$51:G$66,'Overzicht pronostieken'!$E50)</f>
        <v>0</v>
      </c>
      <c r="J50" s="166">
        <f>COUNTIF(Berekening!H$51:H$66,'Overzicht pronostieken'!$E50)</f>
        <v>0</v>
      </c>
      <c r="K50" s="166">
        <f>COUNTIF(Berekening!I$51:I$66,'Overzicht pronostieken'!$E50)</f>
        <v>0</v>
      </c>
      <c r="L50" s="166">
        <f>COUNTIF(Berekening!J$51:J$66,'Overzicht pronostieken'!$E50)</f>
        <v>0</v>
      </c>
      <c r="M50" s="166">
        <f>COUNTIF(Berekening!K$51:K$66,'Overzicht pronostieken'!$E50)</f>
        <v>0</v>
      </c>
      <c r="N50" s="166">
        <f>COUNTIF(Berekening!L$51:L$66,'Overzicht pronostieken'!$E50)</f>
        <v>0</v>
      </c>
      <c r="O50" s="166">
        <f>COUNTIF(Berekening!M$51:M$66,'Overzicht pronostieken'!$E50)</f>
        <v>0</v>
      </c>
      <c r="P50" s="166">
        <f>COUNTIF(Berekening!N$51:N$66,'Overzicht pronostieken'!$E50)</f>
        <v>0</v>
      </c>
      <c r="Q50" s="166">
        <f>COUNTIF(Berekening!O$51:O$66,'Overzicht pronostieken'!$E50)</f>
        <v>0</v>
      </c>
      <c r="R50" s="166">
        <f>COUNTIF(Berekening!P$51:P$66,'Overzicht pronostieken'!$E50)</f>
        <v>0</v>
      </c>
      <c r="S50" s="166">
        <f>COUNTIF(Berekening!Q$51:Q$66,'Overzicht pronostieken'!$E50)</f>
        <v>0</v>
      </c>
      <c r="T50" s="166">
        <f>COUNTIF(Berekening!R$51:R$66,'Overzicht pronostieken'!$E50)</f>
        <v>0</v>
      </c>
      <c r="U50" s="166">
        <f>COUNTIF(Berekening!S$51:S$66,'Overzicht pronostieken'!$E50)</f>
        <v>0</v>
      </c>
      <c r="V50" s="166">
        <f>COUNTIF(Berekening!T$51:T$66,'Overzicht pronostieken'!$E50)</f>
        <v>0</v>
      </c>
      <c r="W50" s="166">
        <f>COUNTIF(Berekening!U$51:U$66,'Overzicht pronostieken'!$E50)</f>
        <v>0</v>
      </c>
      <c r="X50" s="166">
        <f>COUNTIF(Berekening!V$51:V$66,'Overzicht pronostieken'!$E50)</f>
        <v>0</v>
      </c>
      <c r="Y50" s="166">
        <f>COUNTIF(Berekening!W$51:W$66,'Overzicht pronostieken'!$E50)</f>
        <v>0</v>
      </c>
      <c r="Z50" s="166">
        <f>COUNTIF(Berekening!X$51:X$66,'Overzicht pronostieken'!$E50)</f>
        <v>0</v>
      </c>
      <c r="AA50" s="166">
        <f>COUNTIF(Berekening!Y$51:Y$66,'Overzicht pronostieken'!$E50)</f>
        <v>0</v>
      </c>
      <c r="AB50" s="166">
        <f>COUNTIF(Berekening!Z$51:Z$66,'Overzicht pronostieken'!$E50)</f>
        <v>0</v>
      </c>
      <c r="AC50" s="166">
        <f>COUNTIF(Berekening!AA$51:AA$66,'Overzicht pronostieken'!$E50)</f>
        <v>0</v>
      </c>
      <c r="AD50" s="166">
        <f>COUNTIF(Berekening!AB$51:AB$66,'Overzicht pronostieken'!$E50)</f>
        <v>0</v>
      </c>
      <c r="AE50" s="166">
        <f>COUNTIF(Berekening!AC$51:AC$66,'Overzicht pronostieken'!$E50)</f>
        <v>0</v>
      </c>
      <c r="AF50" s="166">
        <f>COUNTIF(Berekening!AD$51:AD$66,'Overzicht pronostieken'!$E50)</f>
        <v>0</v>
      </c>
      <c r="AG50" s="166">
        <f>COUNTIF(Berekening!AE$51:AE$66,'Overzicht pronostieken'!$E50)</f>
        <v>0</v>
      </c>
      <c r="AH50" s="166">
        <f>COUNTIF(Berekening!AF$51:AF$66,'Overzicht pronostieken'!$E50)</f>
        <v>0</v>
      </c>
      <c r="AI50" s="166">
        <f>COUNTIF(Berekening!AG$51:AG$66,'Overzicht pronostieken'!$E50)</f>
        <v>0</v>
      </c>
      <c r="AJ50" s="166">
        <f>COUNTIF(Berekening!AH$51:AH$66,'Overzicht pronostieken'!$E50)</f>
        <v>0</v>
      </c>
      <c r="AK50" s="166">
        <f>COUNTIF(Berekening!AI$51:AI$66,'Overzicht pronostieken'!$E50)</f>
        <v>0</v>
      </c>
      <c r="AL50" s="166">
        <f>COUNTIF(Berekening!AJ$51:AJ$66,'Overzicht pronostieken'!$E50)</f>
        <v>0</v>
      </c>
      <c r="AM50" s="166">
        <f>COUNTIF(Berekening!AK$51:AK$66,'Overzicht pronostieken'!$E50)</f>
        <v>0</v>
      </c>
      <c r="AN50" s="166">
        <f>COUNTIF(Berekening!AL$51:AL$66,'Overzicht pronostieken'!$E50)</f>
        <v>0</v>
      </c>
      <c r="AO50" s="166">
        <f>COUNTIF(Berekening!AM$51:AM$66,'Overzicht pronostieken'!$E50)</f>
        <v>0</v>
      </c>
      <c r="AP50" s="166">
        <f>COUNTIF(Berekening!AN$51:AN$66,'Overzicht pronostieken'!$E50)</f>
        <v>0</v>
      </c>
      <c r="AQ50" s="166">
        <f>COUNTIF(Berekening!AO$51:AO$66,'Overzicht pronostieken'!$E50)</f>
        <v>0</v>
      </c>
      <c r="AR50" s="166">
        <f>COUNTIF(Berekening!AP$51:AP$66,'Overzicht pronostieken'!$E50)</f>
        <v>0</v>
      </c>
      <c r="AS50" s="166">
        <f>COUNTIF(Berekening!AQ$51:AQ$66,'Overzicht pronostieken'!$E50)</f>
        <v>0</v>
      </c>
      <c r="AT50" s="166">
        <f>COUNTIF(Berekening!AR$51:AR$66,'Overzicht pronostieken'!$E50)</f>
        <v>0</v>
      </c>
      <c r="AU50" s="166">
        <f>COUNTIF(Berekening!AS$51:AS$66,'Overzicht pronostieken'!$E50)</f>
        <v>0</v>
      </c>
      <c r="AV50" s="166">
        <f>COUNTIF(Berekening!AT$51:AT$66,'Overzicht pronostieken'!$E50)</f>
        <v>0</v>
      </c>
    </row>
    <row r="51" spans="5:48">
      <c r="E51" s="161" t="s">
        <v>1206</v>
      </c>
      <c r="F51" s="161">
        <f t="shared" si="1"/>
        <v>16</v>
      </c>
      <c r="G51" s="166">
        <f>COUNTIF(Berekening!E$51:E$66,'Overzicht pronostieken'!$E51)</f>
        <v>1</v>
      </c>
      <c r="H51" s="166">
        <f>COUNTIF(Berekening!F$51:F$66,'Overzicht pronostieken'!$E51)</f>
        <v>1</v>
      </c>
      <c r="I51" s="166">
        <f>COUNTIF(Berekening!G$51:G$66,'Overzicht pronostieken'!$E51)</f>
        <v>1</v>
      </c>
      <c r="J51" s="166">
        <f>COUNTIF(Berekening!H$51:H$66,'Overzicht pronostieken'!$E51)</f>
        <v>1</v>
      </c>
      <c r="K51" s="166">
        <f>COUNTIF(Berekening!I$51:I$66,'Overzicht pronostieken'!$E51)</f>
        <v>1</v>
      </c>
      <c r="L51" s="166">
        <f>COUNTIF(Berekening!J$51:J$66,'Overzicht pronostieken'!$E51)</f>
        <v>1</v>
      </c>
      <c r="M51" s="166">
        <f>COUNTIF(Berekening!K$51:K$66,'Overzicht pronostieken'!$E51)</f>
        <v>1</v>
      </c>
      <c r="N51" s="166">
        <f>COUNTIF(Berekening!L$51:L$66,'Overzicht pronostieken'!$E51)</f>
        <v>1</v>
      </c>
      <c r="O51" s="166">
        <f>COUNTIF(Berekening!M$51:M$66,'Overzicht pronostieken'!$E51)</f>
        <v>1</v>
      </c>
      <c r="P51" s="166">
        <f>COUNTIF(Berekening!N$51:N$66,'Overzicht pronostieken'!$E51)</f>
        <v>1</v>
      </c>
      <c r="Q51" s="166">
        <f>COUNTIF(Berekening!O$51:O$66,'Overzicht pronostieken'!$E51)</f>
        <v>1</v>
      </c>
      <c r="R51" s="166">
        <f>COUNTIF(Berekening!P$51:P$66,'Overzicht pronostieken'!$E51)</f>
        <v>1</v>
      </c>
      <c r="S51" s="166">
        <f>COUNTIF(Berekening!Q$51:Q$66,'Overzicht pronostieken'!$E51)</f>
        <v>1</v>
      </c>
      <c r="T51" s="166">
        <f>COUNTIF(Berekening!R$51:R$66,'Overzicht pronostieken'!$E51)</f>
        <v>1</v>
      </c>
      <c r="U51" s="166">
        <f>COUNTIF(Berekening!S$51:S$66,'Overzicht pronostieken'!$E51)</f>
        <v>1</v>
      </c>
      <c r="V51" s="166">
        <f>COUNTIF(Berekening!T$51:T$66,'Overzicht pronostieken'!$E51)</f>
        <v>1</v>
      </c>
      <c r="W51" s="166">
        <f>COUNTIF(Berekening!U$51:U$66,'Overzicht pronostieken'!$E51)</f>
        <v>0</v>
      </c>
      <c r="X51" s="166">
        <f>COUNTIF(Berekening!V$51:V$66,'Overzicht pronostieken'!$E51)</f>
        <v>0</v>
      </c>
      <c r="Y51" s="166">
        <f>COUNTIF(Berekening!W$51:W$66,'Overzicht pronostieken'!$E51)</f>
        <v>0</v>
      </c>
      <c r="Z51" s="166">
        <f>COUNTIF(Berekening!X$51:X$66,'Overzicht pronostieken'!$E51)</f>
        <v>0</v>
      </c>
      <c r="AA51" s="166">
        <f>COUNTIF(Berekening!Y$51:Y$66,'Overzicht pronostieken'!$E51)</f>
        <v>0</v>
      </c>
      <c r="AB51" s="166">
        <f>COUNTIF(Berekening!Z$51:Z$66,'Overzicht pronostieken'!$E51)</f>
        <v>0</v>
      </c>
      <c r="AC51" s="166">
        <f>COUNTIF(Berekening!AA$51:AA$66,'Overzicht pronostieken'!$E51)</f>
        <v>0</v>
      </c>
      <c r="AD51" s="166">
        <f>COUNTIF(Berekening!AB$51:AB$66,'Overzicht pronostieken'!$E51)</f>
        <v>0</v>
      </c>
      <c r="AE51" s="166">
        <f>COUNTIF(Berekening!AC$51:AC$66,'Overzicht pronostieken'!$E51)</f>
        <v>0</v>
      </c>
      <c r="AF51" s="166">
        <f>COUNTIF(Berekening!AD$51:AD$66,'Overzicht pronostieken'!$E51)</f>
        <v>0</v>
      </c>
      <c r="AG51" s="166">
        <f>COUNTIF(Berekening!AE$51:AE$66,'Overzicht pronostieken'!$E51)</f>
        <v>0</v>
      </c>
      <c r="AH51" s="166">
        <f>COUNTIF(Berekening!AF$51:AF$66,'Overzicht pronostieken'!$E51)</f>
        <v>0</v>
      </c>
      <c r="AI51" s="166">
        <f>COUNTIF(Berekening!AG$51:AG$66,'Overzicht pronostieken'!$E51)</f>
        <v>0</v>
      </c>
      <c r="AJ51" s="166">
        <f>COUNTIF(Berekening!AH$51:AH$66,'Overzicht pronostieken'!$E51)</f>
        <v>0</v>
      </c>
      <c r="AK51" s="166">
        <f>COUNTIF(Berekening!AI$51:AI$66,'Overzicht pronostieken'!$E51)</f>
        <v>0</v>
      </c>
      <c r="AL51" s="166">
        <f>COUNTIF(Berekening!AJ$51:AJ$66,'Overzicht pronostieken'!$E51)</f>
        <v>0</v>
      </c>
      <c r="AM51" s="166">
        <f>COUNTIF(Berekening!AK$51:AK$66,'Overzicht pronostieken'!$E51)</f>
        <v>0</v>
      </c>
      <c r="AN51" s="166">
        <f>COUNTIF(Berekening!AL$51:AL$66,'Overzicht pronostieken'!$E51)</f>
        <v>0</v>
      </c>
      <c r="AO51" s="166">
        <f>COUNTIF(Berekening!AM$51:AM$66,'Overzicht pronostieken'!$E51)</f>
        <v>0</v>
      </c>
      <c r="AP51" s="166">
        <f>COUNTIF(Berekening!AN$51:AN$66,'Overzicht pronostieken'!$E51)</f>
        <v>0</v>
      </c>
      <c r="AQ51" s="166">
        <f>COUNTIF(Berekening!AO$51:AO$66,'Overzicht pronostieken'!$E51)</f>
        <v>0</v>
      </c>
      <c r="AR51" s="166">
        <f>COUNTIF(Berekening!AP$51:AP$66,'Overzicht pronostieken'!$E51)</f>
        <v>0</v>
      </c>
      <c r="AS51" s="166">
        <f>COUNTIF(Berekening!AQ$51:AQ$66,'Overzicht pronostieken'!$E51)</f>
        <v>0</v>
      </c>
      <c r="AT51" s="166">
        <f>COUNTIF(Berekening!AR$51:AR$66,'Overzicht pronostieken'!$E51)</f>
        <v>0</v>
      </c>
      <c r="AU51" s="166">
        <f>COUNTIF(Berekening!AS$51:AS$66,'Overzicht pronostieken'!$E51)</f>
        <v>0</v>
      </c>
      <c r="AV51" s="166">
        <f>COUNTIF(Berekening!AT$51:AT$66,'Overzicht pronostieken'!$E51)</f>
        <v>0</v>
      </c>
    </row>
    <row r="52" spans="5:48">
      <c r="E52" s="161" t="s">
        <v>1856</v>
      </c>
      <c r="F52" s="161">
        <f t="shared" si="1"/>
        <v>16</v>
      </c>
      <c r="G52" s="166">
        <f>COUNTIF(Berekening!E$51:E$66,'Overzicht pronostieken'!$E52)</f>
        <v>1</v>
      </c>
      <c r="H52" s="166">
        <f>COUNTIF(Berekening!F$51:F$66,'Overzicht pronostieken'!$E52)</f>
        <v>1</v>
      </c>
      <c r="I52" s="166">
        <f>COUNTIF(Berekening!G$51:G$66,'Overzicht pronostieken'!$E52)</f>
        <v>1</v>
      </c>
      <c r="J52" s="166">
        <f>COUNTIF(Berekening!H$51:H$66,'Overzicht pronostieken'!$E52)</f>
        <v>1</v>
      </c>
      <c r="K52" s="166">
        <f>COUNTIF(Berekening!I$51:I$66,'Overzicht pronostieken'!$E52)</f>
        <v>1</v>
      </c>
      <c r="L52" s="166">
        <f>COUNTIF(Berekening!J$51:J$66,'Overzicht pronostieken'!$E52)</f>
        <v>1</v>
      </c>
      <c r="M52" s="166">
        <f>COUNTIF(Berekening!K$51:K$66,'Overzicht pronostieken'!$E52)</f>
        <v>1</v>
      </c>
      <c r="N52" s="166">
        <f>COUNTIF(Berekening!L$51:L$66,'Overzicht pronostieken'!$E52)</f>
        <v>1</v>
      </c>
      <c r="O52" s="166">
        <f>COUNTIF(Berekening!M$51:M$66,'Overzicht pronostieken'!$E52)</f>
        <v>1</v>
      </c>
      <c r="P52" s="166">
        <f>COUNTIF(Berekening!N$51:N$66,'Overzicht pronostieken'!$E52)</f>
        <v>1</v>
      </c>
      <c r="Q52" s="166">
        <f>COUNTIF(Berekening!O$51:O$66,'Overzicht pronostieken'!$E52)</f>
        <v>1</v>
      </c>
      <c r="R52" s="166">
        <f>COUNTIF(Berekening!P$51:P$66,'Overzicht pronostieken'!$E52)</f>
        <v>1</v>
      </c>
      <c r="S52" s="166">
        <f>COUNTIF(Berekening!Q$51:Q$66,'Overzicht pronostieken'!$E52)</f>
        <v>1</v>
      </c>
      <c r="T52" s="166">
        <f>COUNTIF(Berekening!R$51:R$66,'Overzicht pronostieken'!$E52)</f>
        <v>1</v>
      </c>
      <c r="U52" s="166">
        <f>COUNTIF(Berekening!S$51:S$66,'Overzicht pronostieken'!$E52)</f>
        <v>1</v>
      </c>
      <c r="V52" s="166">
        <f>COUNTIF(Berekening!T$51:T$66,'Overzicht pronostieken'!$E52)</f>
        <v>1</v>
      </c>
      <c r="W52" s="166">
        <f>COUNTIF(Berekening!U$51:U$66,'Overzicht pronostieken'!$E52)</f>
        <v>0</v>
      </c>
      <c r="X52" s="166">
        <f>COUNTIF(Berekening!V$51:V$66,'Overzicht pronostieken'!$E52)</f>
        <v>0</v>
      </c>
      <c r="Y52" s="166">
        <f>COUNTIF(Berekening!W$51:W$66,'Overzicht pronostieken'!$E52)</f>
        <v>0</v>
      </c>
      <c r="Z52" s="166">
        <f>COUNTIF(Berekening!X$51:X$66,'Overzicht pronostieken'!$E52)</f>
        <v>0</v>
      </c>
      <c r="AA52" s="166">
        <f>COUNTIF(Berekening!Y$51:Y$66,'Overzicht pronostieken'!$E52)</f>
        <v>0</v>
      </c>
      <c r="AB52" s="166">
        <f>COUNTIF(Berekening!Z$51:Z$66,'Overzicht pronostieken'!$E52)</f>
        <v>0</v>
      </c>
      <c r="AC52" s="166">
        <f>COUNTIF(Berekening!AA$51:AA$66,'Overzicht pronostieken'!$E52)</f>
        <v>0</v>
      </c>
      <c r="AD52" s="166">
        <f>COUNTIF(Berekening!AB$51:AB$66,'Overzicht pronostieken'!$E52)</f>
        <v>0</v>
      </c>
      <c r="AE52" s="166">
        <f>COUNTIF(Berekening!AC$51:AC$66,'Overzicht pronostieken'!$E52)</f>
        <v>0</v>
      </c>
      <c r="AF52" s="166">
        <f>COUNTIF(Berekening!AD$51:AD$66,'Overzicht pronostieken'!$E52)</f>
        <v>0</v>
      </c>
      <c r="AG52" s="166">
        <f>COUNTIF(Berekening!AE$51:AE$66,'Overzicht pronostieken'!$E52)</f>
        <v>0</v>
      </c>
      <c r="AH52" s="166">
        <f>COUNTIF(Berekening!AF$51:AF$66,'Overzicht pronostieken'!$E52)</f>
        <v>0</v>
      </c>
      <c r="AI52" s="166">
        <f>COUNTIF(Berekening!AG$51:AG$66,'Overzicht pronostieken'!$E52)</f>
        <v>0</v>
      </c>
      <c r="AJ52" s="166">
        <f>COUNTIF(Berekening!AH$51:AH$66,'Overzicht pronostieken'!$E52)</f>
        <v>0</v>
      </c>
      <c r="AK52" s="166">
        <f>COUNTIF(Berekening!AI$51:AI$66,'Overzicht pronostieken'!$E52)</f>
        <v>0</v>
      </c>
      <c r="AL52" s="166">
        <f>COUNTIF(Berekening!AJ$51:AJ$66,'Overzicht pronostieken'!$E52)</f>
        <v>0</v>
      </c>
      <c r="AM52" s="166">
        <f>COUNTIF(Berekening!AK$51:AK$66,'Overzicht pronostieken'!$E52)</f>
        <v>0</v>
      </c>
      <c r="AN52" s="166">
        <f>COUNTIF(Berekening!AL$51:AL$66,'Overzicht pronostieken'!$E52)</f>
        <v>0</v>
      </c>
      <c r="AO52" s="166">
        <f>COUNTIF(Berekening!AM$51:AM$66,'Overzicht pronostieken'!$E52)</f>
        <v>0</v>
      </c>
      <c r="AP52" s="166">
        <f>COUNTIF(Berekening!AN$51:AN$66,'Overzicht pronostieken'!$E52)</f>
        <v>0</v>
      </c>
      <c r="AQ52" s="166">
        <f>COUNTIF(Berekening!AO$51:AO$66,'Overzicht pronostieken'!$E52)</f>
        <v>0</v>
      </c>
      <c r="AR52" s="166">
        <f>COUNTIF(Berekening!AP$51:AP$66,'Overzicht pronostieken'!$E52)</f>
        <v>0</v>
      </c>
      <c r="AS52" s="166">
        <f>COUNTIF(Berekening!AQ$51:AQ$66,'Overzicht pronostieken'!$E52)</f>
        <v>0</v>
      </c>
      <c r="AT52" s="166">
        <f>COUNTIF(Berekening!AR$51:AR$66,'Overzicht pronostieken'!$E52)</f>
        <v>0</v>
      </c>
      <c r="AU52" s="166">
        <f>COUNTIF(Berekening!AS$51:AS$66,'Overzicht pronostieken'!$E52)</f>
        <v>0</v>
      </c>
      <c r="AV52" s="166">
        <f>COUNTIF(Berekening!AT$51:AT$66,'Overzicht pronostieken'!$E52)</f>
        <v>0</v>
      </c>
    </row>
    <row r="53" spans="5:48">
      <c r="E53" s="161" t="s">
        <v>2661</v>
      </c>
      <c r="F53" s="161">
        <f t="shared" si="1"/>
        <v>10</v>
      </c>
      <c r="G53" s="166">
        <f>COUNTIF(Berekening!E$51:E$66,'Overzicht pronostieken'!$E53)</f>
        <v>1</v>
      </c>
      <c r="H53" s="166">
        <f>COUNTIF(Berekening!F$51:F$66,'Overzicht pronostieken'!$E53)</f>
        <v>1</v>
      </c>
      <c r="I53" s="166">
        <f>COUNTIF(Berekening!G$51:G$66,'Overzicht pronostieken'!$E53)</f>
        <v>0</v>
      </c>
      <c r="J53" s="166">
        <f>COUNTIF(Berekening!H$51:H$66,'Overzicht pronostieken'!$E53)</f>
        <v>1</v>
      </c>
      <c r="K53" s="166">
        <f>COUNTIF(Berekening!I$51:I$66,'Overzicht pronostieken'!$E53)</f>
        <v>0</v>
      </c>
      <c r="L53" s="166">
        <f>COUNTIF(Berekening!J$51:J$66,'Overzicht pronostieken'!$E53)</f>
        <v>1</v>
      </c>
      <c r="M53" s="166">
        <f>COUNTIF(Berekening!K$51:K$66,'Overzicht pronostieken'!$E53)</f>
        <v>0</v>
      </c>
      <c r="N53" s="166">
        <f>COUNTIF(Berekening!L$51:L$66,'Overzicht pronostieken'!$E53)</f>
        <v>0</v>
      </c>
      <c r="O53" s="166">
        <f>COUNTIF(Berekening!M$51:M$66,'Overzicht pronostieken'!$E53)</f>
        <v>0</v>
      </c>
      <c r="P53" s="166">
        <f>COUNTIF(Berekening!N$51:N$66,'Overzicht pronostieken'!$E53)</f>
        <v>1</v>
      </c>
      <c r="Q53" s="166">
        <f>COUNTIF(Berekening!O$51:O$66,'Overzicht pronostieken'!$E53)</f>
        <v>1</v>
      </c>
      <c r="R53" s="166">
        <f>COUNTIF(Berekening!P$51:P$66,'Overzicht pronostieken'!$E53)</f>
        <v>0</v>
      </c>
      <c r="S53" s="166">
        <f>COUNTIF(Berekening!Q$51:Q$66,'Overzicht pronostieken'!$E53)</f>
        <v>1</v>
      </c>
      <c r="T53" s="166">
        <f>COUNTIF(Berekening!R$51:R$66,'Overzicht pronostieken'!$E53)</f>
        <v>1</v>
      </c>
      <c r="U53" s="166">
        <f>COUNTIF(Berekening!S$51:S$66,'Overzicht pronostieken'!$E53)</f>
        <v>1</v>
      </c>
      <c r="V53" s="166">
        <f>COUNTIF(Berekening!T$51:T$66,'Overzicht pronostieken'!$E53)</f>
        <v>1</v>
      </c>
      <c r="W53" s="166">
        <f>COUNTIF(Berekening!U$51:U$66,'Overzicht pronostieken'!$E53)</f>
        <v>0</v>
      </c>
      <c r="X53" s="166">
        <f>COUNTIF(Berekening!V$51:V$66,'Overzicht pronostieken'!$E53)</f>
        <v>0</v>
      </c>
      <c r="Y53" s="166">
        <f>COUNTIF(Berekening!W$51:W$66,'Overzicht pronostieken'!$E53)</f>
        <v>0</v>
      </c>
      <c r="Z53" s="166">
        <f>COUNTIF(Berekening!X$51:X$66,'Overzicht pronostieken'!$E53)</f>
        <v>0</v>
      </c>
      <c r="AA53" s="166">
        <f>COUNTIF(Berekening!Y$51:Y$66,'Overzicht pronostieken'!$E53)</f>
        <v>0</v>
      </c>
      <c r="AB53" s="166">
        <f>COUNTIF(Berekening!Z$51:Z$66,'Overzicht pronostieken'!$E53)</f>
        <v>0</v>
      </c>
      <c r="AC53" s="166">
        <f>COUNTIF(Berekening!AA$51:AA$66,'Overzicht pronostieken'!$E53)</f>
        <v>0</v>
      </c>
      <c r="AD53" s="166">
        <f>COUNTIF(Berekening!AB$51:AB$66,'Overzicht pronostieken'!$E53)</f>
        <v>0</v>
      </c>
      <c r="AE53" s="166">
        <f>COUNTIF(Berekening!AC$51:AC$66,'Overzicht pronostieken'!$E53)</f>
        <v>0</v>
      </c>
      <c r="AF53" s="166">
        <f>COUNTIF(Berekening!AD$51:AD$66,'Overzicht pronostieken'!$E53)</f>
        <v>0</v>
      </c>
      <c r="AG53" s="166">
        <f>COUNTIF(Berekening!AE$51:AE$66,'Overzicht pronostieken'!$E53)</f>
        <v>0</v>
      </c>
      <c r="AH53" s="166">
        <f>COUNTIF(Berekening!AF$51:AF$66,'Overzicht pronostieken'!$E53)</f>
        <v>0</v>
      </c>
      <c r="AI53" s="166">
        <f>COUNTIF(Berekening!AG$51:AG$66,'Overzicht pronostieken'!$E53)</f>
        <v>0</v>
      </c>
      <c r="AJ53" s="166">
        <f>COUNTIF(Berekening!AH$51:AH$66,'Overzicht pronostieken'!$E53)</f>
        <v>0</v>
      </c>
      <c r="AK53" s="166">
        <f>COUNTIF(Berekening!AI$51:AI$66,'Overzicht pronostieken'!$E53)</f>
        <v>0</v>
      </c>
      <c r="AL53" s="166">
        <f>COUNTIF(Berekening!AJ$51:AJ$66,'Overzicht pronostieken'!$E53)</f>
        <v>0</v>
      </c>
      <c r="AM53" s="166">
        <f>COUNTIF(Berekening!AK$51:AK$66,'Overzicht pronostieken'!$E53)</f>
        <v>0</v>
      </c>
      <c r="AN53" s="166">
        <f>COUNTIF(Berekening!AL$51:AL$66,'Overzicht pronostieken'!$E53)</f>
        <v>0</v>
      </c>
      <c r="AO53" s="166">
        <f>COUNTIF(Berekening!AM$51:AM$66,'Overzicht pronostieken'!$E53)</f>
        <v>0</v>
      </c>
      <c r="AP53" s="166">
        <f>COUNTIF(Berekening!AN$51:AN$66,'Overzicht pronostieken'!$E53)</f>
        <v>0</v>
      </c>
      <c r="AQ53" s="166">
        <f>COUNTIF(Berekening!AO$51:AO$66,'Overzicht pronostieken'!$E53)</f>
        <v>0</v>
      </c>
      <c r="AR53" s="166">
        <f>COUNTIF(Berekening!AP$51:AP$66,'Overzicht pronostieken'!$E53)</f>
        <v>0</v>
      </c>
      <c r="AS53" s="166">
        <f>COUNTIF(Berekening!AQ$51:AQ$66,'Overzicht pronostieken'!$E53)</f>
        <v>0</v>
      </c>
      <c r="AT53" s="166">
        <f>COUNTIF(Berekening!AR$51:AR$66,'Overzicht pronostieken'!$E53)</f>
        <v>0</v>
      </c>
      <c r="AU53" s="166">
        <f>COUNTIF(Berekening!AS$51:AS$66,'Overzicht pronostieken'!$E53)</f>
        <v>0</v>
      </c>
      <c r="AV53" s="166">
        <f>COUNTIF(Berekening!AT$51:AT$66,'Overzicht pronostieken'!$E53)</f>
        <v>0</v>
      </c>
    </row>
    <row r="54" spans="5:48">
      <c r="E54" s="161" t="s">
        <v>1789</v>
      </c>
      <c r="F54" s="161">
        <f t="shared" si="1"/>
        <v>16</v>
      </c>
      <c r="G54" s="166">
        <f>COUNTIF(Berekening!E$51:E$66,'Overzicht pronostieken'!$E54)</f>
        <v>1</v>
      </c>
      <c r="H54" s="166">
        <f>COUNTIF(Berekening!F$51:F$66,'Overzicht pronostieken'!$E54)</f>
        <v>1</v>
      </c>
      <c r="I54" s="166">
        <f>COUNTIF(Berekening!G$51:G$66,'Overzicht pronostieken'!$E54)</f>
        <v>1</v>
      </c>
      <c r="J54" s="166">
        <f>COUNTIF(Berekening!H$51:H$66,'Overzicht pronostieken'!$E54)</f>
        <v>1</v>
      </c>
      <c r="K54" s="166">
        <f>COUNTIF(Berekening!I$51:I$66,'Overzicht pronostieken'!$E54)</f>
        <v>1</v>
      </c>
      <c r="L54" s="166">
        <f>COUNTIF(Berekening!J$51:J$66,'Overzicht pronostieken'!$E54)</f>
        <v>1</v>
      </c>
      <c r="M54" s="166">
        <f>COUNTIF(Berekening!K$51:K$66,'Overzicht pronostieken'!$E54)</f>
        <v>1</v>
      </c>
      <c r="N54" s="166">
        <f>COUNTIF(Berekening!L$51:L$66,'Overzicht pronostieken'!$E54)</f>
        <v>1</v>
      </c>
      <c r="O54" s="166">
        <f>COUNTIF(Berekening!M$51:M$66,'Overzicht pronostieken'!$E54)</f>
        <v>1</v>
      </c>
      <c r="P54" s="166">
        <f>COUNTIF(Berekening!N$51:N$66,'Overzicht pronostieken'!$E54)</f>
        <v>1</v>
      </c>
      <c r="Q54" s="166">
        <f>COUNTIF(Berekening!O$51:O$66,'Overzicht pronostieken'!$E54)</f>
        <v>1</v>
      </c>
      <c r="R54" s="166">
        <f>COUNTIF(Berekening!P$51:P$66,'Overzicht pronostieken'!$E54)</f>
        <v>1</v>
      </c>
      <c r="S54" s="166">
        <f>COUNTIF(Berekening!Q$51:Q$66,'Overzicht pronostieken'!$E54)</f>
        <v>1</v>
      </c>
      <c r="T54" s="166">
        <f>COUNTIF(Berekening!R$51:R$66,'Overzicht pronostieken'!$E54)</f>
        <v>1</v>
      </c>
      <c r="U54" s="166">
        <f>COUNTIF(Berekening!S$51:S$66,'Overzicht pronostieken'!$E54)</f>
        <v>1</v>
      </c>
      <c r="V54" s="166">
        <f>COUNTIF(Berekening!T$51:T$66,'Overzicht pronostieken'!$E54)</f>
        <v>1</v>
      </c>
      <c r="W54" s="166">
        <f>COUNTIF(Berekening!U$51:U$66,'Overzicht pronostieken'!$E54)</f>
        <v>0</v>
      </c>
      <c r="X54" s="166">
        <f>COUNTIF(Berekening!V$51:V$66,'Overzicht pronostieken'!$E54)</f>
        <v>0</v>
      </c>
      <c r="Y54" s="166">
        <f>COUNTIF(Berekening!W$51:W$66,'Overzicht pronostieken'!$E54)</f>
        <v>0</v>
      </c>
      <c r="Z54" s="166">
        <f>COUNTIF(Berekening!X$51:X$66,'Overzicht pronostieken'!$E54)</f>
        <v>0</v>
      </c>
      <c r="AA54" s="166">
        <f>COUNTIF(Berekening!Y$51:Y$66,'Overzicht pronostieken'!$E54)</f>
        <v>0</v>
      </c>
      <c r="AB54" s="166">
        <f>COUNTIF(Berekening!Z$51:Z$66,'Overzicht pronostieken'!$E54)</f>
        <v>0</v>
      </c>
      <c r="AC54" s="166">
        <f>COUNTIF(Berekening!AA$51:AA$66,'Overzicht pronostieken'!$E54)</f>
        <v>0</v>
      </c>
      <c r="AD54" s="166">
        <f>COUNTIF(Berekening!AB$51:AB$66,'Overzicht pronostieken'!$E54)</f>
        <v>0</v>
      </c>
      <c r="AE54" s="166">
        <f>COUNTIF(Berekening!AC$51:AC$66,'Overzicht pronostieken'!$E54)</f>
        <v>0</v>
      </c>
      <c r="AF54" s="166">
        <f>COUNTIF(Berekening!AD$51:AD$66,'Overzicht pronostieken'!$E54)</f>
        <v>0</v>
      </c>
      <c r="AG54" s="166">
        <f>COUNTIF(Berekening!AE$51:AE$66,'Overzicht pronostieken'!$E54)</f>
        <v>0</v>
      </c>
      <c r="AH54" s="166">
        <f>COUNTIF(Berekening!AF$51:AF$66,'Overzicht pronostieken'!$E54)</f>
        <v>0</v>
      </c>
      <c r="AI54" s="166">
        <f>COUNTIF(Berekening!AG$51:AG$66,'Overzicht pronostieken'!$E54)</f>
        <v>0</v>
      </c>
      <c r="AJ54" s="166">
        <f>COUNTIF(Berekening!AH$51:AH$66,'Overzicht pronostieken'!$E54)</f>
        <v>0</v>
      </c>
      <c r="AK54" s="166">
        <f>COUNTIF(Berekening!AI$51:AI$66,'Overzicht pronostieken'!$E54)</f>
        <v>0</v>
      </c>
      <c r="AL54" s="166">
        <f>COUNTIF(Berekening!AJ$51:AJ$66,'Overzicht pronostieken'!$E54)</f>
        <v>0</v>
      </c>
      <c r="AM54" s="166">
        <f>COUNTIF(Berekening!AK$51:AK$66,'Overzicht pronostieken'!$E54)</f>
        <v>0</v>
      </c>
      <c r="AN54" s="166">
        <f>COUNTIF(Berekening!AL$51:AL$66,'Overzicht pronostieken'!$E54)</f>
        <v>0</v>
      </c>
      <c r="AO54" s="166">
        <f>COUNTIF(Berekening!AM$51:AM$66,'Overzicht pronostieken'!$E54)</f>
        <v>0</v>
      </c>
      <c r="AP54" s="166">
        <f>COUNTIF(Berekening!AN$51:AN$66,'Overzicht pronostieken'!$E54)</f>
        <v>0</v>
      </c>
      <c r="AQ54" s="166">
        <f>COUNTIF(Berekening!AO$51:AO$66,'Overzicht pronostieken'!$E54)</f>
        <v>0</v>
      </c>
      <c r="AR54" s="166">
        <f>COUNTIF(Berekening!AP$51:AP$66,'Overzicht pronostieken'!$E54)</f>
        <v>0</v>
      </c>
      <c r="AS54" s="166">
        <f>COUNTIF(Berekening!AQ$51:AQ$66,'Overzicht pronostieken'!$E54)</f>
        <v>0</v>
      </c>
      <c r="AT54" s="166">
        <f>COUNTIF(Berekening!AR$51:AR$66,'Overzicht pronostieken'!$E54)</f>
        <v>0</v>
      </c>
      <c r="AU54" s="166">
        <f>COUNTIF(Berekening!AS$51:AS$66,'Overzicht pronostieken'!$E54)</f>
        <v>0</v>
      </c>
      <c r="AV54" s="166">
        <f>COUNTIF(Berekening!AT$51:AT$66,'Overzicht pronostieken'!$E54)</f>
        <v>0</v>
      </c>
    </row>
    <row r="55" spans="5:48">
      <c r="E55" s="161" t="s">
        <v>1324</v>
      </c>
      <c r="F55" s="161">
        <f t="shared" si="1"/>
        <v>16</v>
      </c>
      <c r="G55" s="166">
        <f>COUNTIF(Berekening!E$51:E$66,'Overzicht pronostieken'!$E55)</f>
        <v>1</v>
      </c>
      <c r="H55" s="166">
        <f>COUNTIF(Berekening!F$51:F$66,'Overzicht pronostieken'!$E55)</f>
        <v>1</v>
      </c>
      <c r="I55" s="166">
        <f>COUNTIF(Berekening!G$51:G$66,'Overzicht pronostieken'!$E55)</f>
        <v>1</v>
      </c>
      <c r="J55" s="166">
        <f>COUNTIF(Berekening!H$51:H$66,'Overzicht pronostieken'!$E55)</f>
        <v>1</v>
      </c>
      <c r="K55" s="166">
        <f>COUNTIF(Berekening!I$51:I$66,'Overzicht pronostieken'!$E55)</f>
        <v>1</v>
      </c>
      <c r="L55" s="166">
        <f>COUNTIF(Berekening!J$51:J$66,'Overzicht pronostieken'!$E55)</f>
        <v>1</v>
      </c>
      <c r="M55" s="166">
        <f>COUNTIF(Berekening!K$51:K$66,'Overzicht pronostieken'!$E55)</f>
        <v>1</v>
      </c>
      <c r="N55" s="166">
        <f>COUNTIF(Berekening!L$51:L$66,'Overzicht pronostieken'!$E55)</f>
        <v>1</v>
      </c>
      <c r="O55" s="166">
        <f>COUNTIF(Berekening!M$51:M$66,'Overzicht pronostieken'!$E55)</f>
        <v>1</v>
      </c>
      <c r="P55" s="166">
        <f>COUNTIF(Berekening!N$51:N$66,'Overzicht pronostieken'!$E55)</f>
        <v>1</v>
      </c>
      <c r="Q55" s="166">
        <f>COUNTIF(Berekening!O$51:O$66,'Overzicht pronostieken'!$E55)</f>
        <v>1</v>
      </c>
      <c r="R55" s="166">
        <f>COUNTIF(Berekening!P$51:P$66,'Overzicht pronostieken'!$E55)</f>
        <v>1</v>
      </c>
      <c r="S55" s="166">
        <f>COUNTIF(Berekening!Q$51:Q$66,'Overzicht pronostieken'!$E55)</f>
        <v>1</v>
      </c>
      <c r="T55" s="166">
        <f>COUNTIF(Berekening!R$51:R$66,'Overzicht pronostieken'!$E55)</f>
        <v>1</v>
      </c>
      <c r="U55" s="166">
        <f>COUNTIF(Berekening!S$51:S$66,'Overzicht pronostieken'!$E55)</f>
        <v>1</v>
      </c>
      <c r="V55" s="166">
        <f>COUNTIF(Berekening!T$51:T$66,'Overzicht pronostieken'!$E55)</f>
        <v>1</v>
      </c>
      <c r="W55" s="166">
        <f>COUNTIF(Berekening!U$51:U$66,'Overzicht pronostieken'!$E55)</f>
        <v>0</v>
      </c>
      <c r="X55" s="166">
        <f>COUNTIF(Berekening!V$51:V$66,'Overzicht pronostieken'!$E55)</f>
        <v>0</v>
      </c>
      <c r="Y55" s="166">
        <f>COUNTIF(Berekening!W$51:W$66,'Overzicht pronostieken'!$E55)</f>
        <v>0</v>
      </c>
      <c r="Z55" s="166">
        <f>COUNTIF(Berekening!X$51:X$66,'Overzicht pronostieken'!$E55)</f>
        <v>0</v>
      </c>
      <c r="AA55" s="166">
        <f>COUNTIF(Berekening!Y$51:Y$66,'Overzicht pronostieken'!$E55)</f>
        <v>0</v>
      </c>
      <c r="AB55" s="166">
        <f>COUNTIF(Berekening!Z$51:Z$66,'Overzicht pronostieken'!$E55)</f>
        <v>0</v>
      </c>
      <c r="AC55" s="166">
        <f>COUNTIF(Berekening!AA$51:AA$66,'Overzicht pronostieken'!$E55)</f>
        <v>0</v>
      </c>
      <c r="AD55" s="166">
        <f>COUNTIF(Berekening!AB$51:AB$66,'Overzicht pronostieken'!$E55)</f>
        <v>0</v>
      </c>
      <c r="AE55" s="166">
        <f>COUNTIF(Berekening!AC$51:AC$66,'Overzicht pronostieken'!$E55)</f>
        <v>0</v>
      </c>
      <c r="AF55" s="166">
        <f>COUNTIF(Berekening!AD$51:AD$66,'Overzicht pronostieken'!$E55)</f>
        <v>0</v>
      </c>
      <c r="AG55" s="166">
        <f>COUNTIF(Berekening!AE$51:AE$66,'Overzicht pronostieken'!$E55)</f>
        <v>0</v>
      </c>
      <c r="AH55" s="166">
        <f>COUNTIF(Berekening!AF$51:AF$66,'Overzicht pronostieken'!$E55)</f>
        <v>0</v>
      </c>
      <c r="AI55" s="166">
        <f>COUNTIF(Berekening!AG$51:AG$66,'Overzicht pronostieken'!$E55)</f>
        <v>0</v>
      </c>
      <c r="AJ55" s="166">
        <f>COUNTIF(Berekening!AH$51:AH$66,'Overzicht pronostieken'!$E55)</f>
        <v>0</v>
      </c>
      <c r="AK55" s="166">
        <f>COUNTIF(Berekening!AI$51:AI$66,'Overzicht pronostieken'!$E55)</f>
        <v>0</v>
      </c>
      <c r="AL55" s="166">
        <f>COUNTIF(Berekening!AJ$51:AJ$66,'Overzicht pronostieken'!$E55)</f>
        <v>0</v>
      </c>
      <c r="AM55" s="166">
        <f>COUNTIF(Berekening!AK$51:AK$66,'Overzicht pronostieken'!$E55)</f>
        <v>0</v>
      </c>
      <c r="AN55" s="166">
        <f>COUNTIF(Berekening!AL$51:AL$66,'Overzicht pronostieken'!$E55)</f>
        <v>0</v>
      </c>
      <c r="AO55" s="166">
        <f>COUNTIF(Berekening!AM$51:AM$66,'Overzicht pronostieken'!$E55)</f>
        <v>0</v>
      </c>
      <c r="AP55" s="166">
        <f>COUNTIF(Berekening!AN$51:AN$66,'Overzicht pronostieken'!$E55)</f>
        <v>0</v>
      </c>
      <c r="AQ55" s="166">
        <f>COUNTIF(Berekening!AO$51:AO$66,'Overzicht pronostieken'!$E55)</f>
        <v>0</v>
      </c>
      <c r="AR55" s="166">
        <f>COUNTIF(Berekening!AP$51:AP$66,'Overzicht pronostieken'!$E55)</f>
        <v>0</v>
      </c>
      <c r="AS55" s="166">
        <f>COUNTIF(Berekening!AQ$51:AQ$66,'Overzicht pronostieken'!$E55)</f>
        <v>0</v>
      </c>
      <c r="AT55" s="166">
        <f>COUNTIF(Berekening!AR$51:AR$66,'Overzicht pronostieken'!$E55)</f>
        <v>0</v>
      </c>
      <c r="AU55" s="166">
        <f>COUNTIF(Berekening!AS$51:AS$66,'Overzicht pronostieken'!$E55)</f>
        <v>0</v>
      </c>
      <c r="AV55" s="166">
        <f>COUNTIF(Berekening!AT$51:AT$66,'Overzicht pronostieken'!$E55)</f>
        <v>0</v>
      </c>
    </row>
    <row r="56" spans="5:48">
      <c r="E56" s="161" t="s">
        <v>1822</v>
      </c>
      <c r="F56" s="161">
        <f t="shared" si="1"/>
        <v>2</v>
      </c>
      <c r="G56" s="166">
        <f>COUNTIF(Berekening!E$51:E$66,'Overzicht pronostieken'!$E56)</f>
        <v>0</v>
      </c>
      <c r="H56" s="166">
        <f>COUNTIF(Berekening!F$51:F$66,'Overzicht pronostieken'!$E56)</f>
        <v>0</v>
      </c>
      <c r="I56" s="166">
        <f>COUNTIF(Berekening!G$51:G$66,'Overzicht pronostieken'!$E56)</f>
        <v>1</v>
      </c>
      <c r="J56" s="166">
        <f>COUNTIF(Berekening!H$51:H$66,'Overzicht pronostieken'!$E56)</f>
        <v>0</v>
      </c>
      <c r="K56" s="166">
        <f>COUNTIF(Berekening!I$51:I$66,'Overzicht pronostieken'!$E56)</f>
        <v>0</v>
      </c>
      <c r="L56" s="166">
        <f>COUNTIF(Berekening!J$51:J$66,'Overzicht pronostieken'!$E56)</f>
        <v>0</v>
      </c>
      <c r="M56" s="166">
        <f>COUNTIF(Berekening!K$51:K$66,'Overzicht pronostieken'!$E56)</f>
        <v>0</v>
      </c>
      <c r="N56" s="166">
        <f>COUNTIF(Berekening!L$51:L$66,'Overzicht pronostieken'!$E56)</f>
        <v>0</v>
      </c>
      <c r="O56" s="166">
        <f>COUNTIF(Berekening!M$51:M$66,'Overzicht pronostieken'!$E56)</f>
        <v>0</v>
      </c>
      <c r="P56" s="166">
        <f>COUNTIF(Berekening!N$51:N$66,'Overzicht pronostieken'!$E56)</f>
        <v>0</v>
      </c>
      <c r="Q56" s="166">
        <f>COUNTIF(Berekening!O$51:O$66,'Overzicht pronostieken'!$E56)</f>
        <v>0</v>
      </c>
      <c r="R56" s="166">
        <f>COUNTIF(Berekening!P$51:P$66,'Overzicht pronostieken'!$E56)</f>
        <v>0</v>
      </c>
      <c r="S56" s="166">
        <f>COUNTIF(Berekening!Q$51:Q$66,'Overzicht pronostieken'!$E56)</f>
        <v>0</v>
      </c>
      <c r="T56" s="166">
        <f>COUNTIF(Berekening!R$51:R$66,'Overzicht pronostieken'!$E56)</f>
        <v>1</v>
      </c>
      <c r="U56" s="166">
        <f>COUNTIF(Berekening!S$51:S$66,'Overzicht pronostieken'!$E56)</f>
        <v>0</v>
      </c>
      <c r="V56" s="166">
        <f>COUNTIF(Berekening!T$51:T$66,'Overzicht pronostieken'!$E56)</f>
        <v>0</v>
      </c>
      <c r="W56" s="166">
        <f>COUNTIF(Berekening!U$51:U$66,'Overzicht pronostieken'!$E56)</f>
        <v>0</v>
      </c>
      <c r="X56" s="166">
        <f>COUNTIF(Berekening!V$51:V$66,'Overzicht pronostieken'!$E56)</f>
        <v>0</v>
      </c>
      <c r="Y56" s="166">
        <f>COUNTIF(Berekening!W$51:W$66,'Overzicht pronostieken'!$E56)</f>
        <v>0</v>
      </c>
      <c r="Z56" s="166">
        <f>COUNTIF(Berekening!X$51:X$66,'Overzicht pronostieken'!$E56)</f>
        <v>0</v>
      </c>
      <c r="AA56" s="166">
        <f>COUNTIF(Berekening!Y$51:Y$66,'Overzicht pronostieken'!$E56)</f>
        <v>0</v>
      </c>
      <c r="AB56" s="166">
        <f>COUNTIF(Berekening!Z$51:Z$66,'Overzicht pronostieken'!$E56)</f>
        <v>0</v>
      </c>
      <c r="AC56" s="166">
        <f>COUNTIF(Berekening!AA$51:AA$66,'Overzicht pronostieken'!$E56)</f>
        <v>0</v>
      </c>
      <c r="AD56" s="166">
        <f>COUNTIF(Berekening!AB$51:AB$66,'Overzicht pronostieken'!$E56)</f>
        <v>0</v>
      </c>
      <c r="AE56" s="166">
        <f>COUNTIF(Berekening!AC$51:AC$66,'Overzicht pronostieken'!$E56)</f>
        <v>0</v>
      </c>
      <c r="AF56" s="166">
        <f>COUNTIF(Berekening!AD$51:AD$66,'Overzicht pronostieken'!$E56)</f>
        <v>0</v>
      </c>
      <c r="AG56" s="166">
        <f>COUNTIF(Berekening!AE$51:AE$66,'Overzicht pronostieken'!$E56)</f>
        <v>0</v>
      </c>
      <c r="AH56" s="166">
        <f>COUNTIF(Berekening!AF$51:AF$66,'Overzicht pronostieken'!$E56)</f>
        <v>0</v>
      </c>
      <c r="AI56" s="166">
        <f>COUNTIF(Berekening!AG$51:AG$66,'Overzicht pronostieken'!$E56)</f>
        <v>0</v>
      </c>
      <c r="AJ56" s="166">
        <f>COUNTIF(Berekening!AH$51:AH$66,'Overzicht pronostieken'!$E56)</f>
        <v>0</v>
      </c>
      <c r="AK56" s="166">
        <f>COUNTIF(Berekening!AI$51:AI$66,'Overzicht pronostieken'!$E56)</f>
        <v>0</v>
      </c>
      <c r="AL56" s="166">
        <f>COUNTIF(Berekening!AJ$51:AJ$66,'Overzicht pronostieken'!$E56)</f>
        <v>0</v>
      </c>
      <c r="AM56" s="166">
        <f>COUNTIF(Berekening!AK$51:AK$66,'Overzicht pronostieken'!$E56)</f>
        <v>0</v>
      </c>
      <c r="AN56" s="166">
        <f>COUNTIF(Berekening!AL$51:AL$66,'Overzicht pronostieken'!$E56)</f>
        <v>0</v>
      </c>
      <c r="AO56" s="166">
        <f>COUNTIF(Berekening!AM$51:AM$66,'Overzicht pronostieken'!$E56)</f>
        <v>0</v>
      </c>
      <c r="AP56" s="166">
        <f>COUNTIF(Berekening!AN$51:AN$66,'Overzicht pronostieken'!$E56)</f>
        <v>0</v>
      </c>
      <c r="AQ56" s="166">
        <f>COUNTIF(Berekening!AO$51:AO$66,'Overzicht pronostieken'!$E56)</f>
        <v>0</v>
      </c>
      <c r="AR56" s="166">
        <f>COUNTIF(Berekening!AP$51:AP$66,'Overzicht pronostieken'!$E56)</f>
        <v>0</v>
      </c>
      <c r="AS56" s="166">
        <f>COUNTIF(Berekening!AQ$51:AQ$66,'Overzicht pronostieken'!$E56)</f>
        <v>0</v>
      </c>
      <c r="AT56" s="166">
        <f>COUNTIF(Berekening!AR$51:AR$66,'Overzicht pronostieken'!$E56)</f>
        <v>0</v>
      </c>
      <c r="AU56" s="166">
        <f>COUNTIF(Berekening!AS$51:AS$66,'Overzicht pronostieken'!$E56)</f>
        <v>0</v>
      </c>
      <c r="AV56" s="166">
        <f>COUNTIF(Berekening!AT$51:AT$66,'Overzicht pronostieken'!$E56)</f>
        <v>0</v>
      </c>
    </row>
    <row r="57" spans="5:48">
      <c r="E57" s="161" t="s">
        <v>1755</v>
      </c>
      <c r="F57" s="161">
        <f t="shared" si="1"/>
        <v>9</v>
      </c>
      <c r="G57" s="166">
        <f>COUNTIF(Berekening!E$51:E$66,'Overzicht pronostieken'!$E57)</f>
        <v>0</v>
      </c>
      <c r="H57" s="166">
        <f>COUNTIF(Berekening!F$51:F$66,'Overzicht pronostieken'!$E57)</f>
        <v>1</v>
      </c>
      <c r="I57" s="166">
        <f>COUNTIF(Berekening!G$51:G$66,'Overzicht pronostieken'!$E57)</f>
        <v>0</v>
      </c>
      <c r="J57" s="166">
        <f>COUNTIF(Berekening!H$51:H$66,'Overzicht pronostieken'!$E57)</f>
        <v>0</v>
      </c>
      <c r="K57" s="166">
        <f>COUNTIF(Berekening!I$51:I$66,'Overzicht pronostieken'!$E57)</f>
        <v>1</v>
      </c>
      <c r="L57" s="166">
        <f>COUNTIF(Berekening!J$51:J$66,'Overzicht pronostieken'!$E57)</f>
        <v>1</v>
      </c>
      <c r="M57" s="166">
        <f>COUNTIF(Berekening!K$51:K$66,'Overzicht pronostieken'!$E57)</f>
        <v>1</v>
      </c>
      <c r="N57" s="166">
        <f>COUNTIF(Berekening!L$51:L$66,'Overzicht pronostieken'!$E57)</f>
        <v>1</v>
      </c>
      <c r="O57" s="166">
        <f>COUNTIF(Berekening!M$51:M$66,'Overzicht pronostieken'!$E57)</f>
        <v>0</v>
      </c>
      <c r="P57" s="166">
        <f>COUNTIF(Berekening!N$51:N$66,'Overzicht pronostieken'!$E57)</f>
        <v>0</v>
      </c>
      <c r="Q57" s="166">
        <f>COUNTIF(Berekening!O$51:O$66,'Overzicht pronostieken'!$E57)</f>
        <v>1</v>
      </c>
      <c r="R57" s="166">
        <f>COUNTIF(Berekening!P$51:P$66,'Overzicht pronostieken'!$E57)</f>
        <v>1</v>
      </c>
      <c r="S57" s="166">
        <f>COUNTIF(Berekening!Q$51:Q$66,'Overzicht pronostieken'!$E57)</f>
        <v>1</v>
      </c>
      <c r="T57" s="166">
        <f>COUNTIF(Berekening!R$51:R$66,'Overzicht pronostieken'!$E57)</f>
        <v>0</v>
      </c>
      <c r="U57" s="166">
        <f>COUNTIF(Berekening!S$51:S$66,'Overzicht pronostieken'!$E57)</f>
        <v>0</v>
      </c>
      <c r="V57" s="166">
        <f>COUNTIF(Berekening!T$51:T$66,'Overzicht pronostieken'!$E57)</f>
        <v>1</v>
      </c>
      <c r="W57" s="166">
        <f>COUNTIF(Berekening!U$51:U$66,'Overzicht pronostieken'!$E57)</f>
        <v>0</v>
      </c>
      <c r="X57" s="166">
        <f>COUNTIF(Berekening!V$51:V$66,'Overzicht pronostieken'!$E57)</f>
        <v>0</v>
      </c>
      <c r="Y57" s="166">
        <f>COUNTIF(Berekening!W$51:W$66,'Overzicht pronostieken'!$E57)</f>
        <v>0</v>
      </c>
      <c r="Z57" s="166">
        <f>COUNTIF(Berekening!X$51:X$66,'Overzicht pronostieken'!$E57)</f>
        <v>0</v>
      </c>
      <c r="AA57" s="166">
        <f>COUNTIF(Berekening!Y$51:Y$66,'Overzicht pronostieken'!$E57)</f>
        <v>0</v>
      </c>
      <c r="AB57" s="166">
        <f>COUNTIF(Berekening!Z$51:Z$66,'Overzicht pronostieken'!$E57)</f>
        <v>0</v>
      </c>
      <c r="AC57" s="166">
        <f>COUNTIF(Berekening!AA$51:AA$66,'Overzicht pronostieken'!$E57)</f>
        <v>0</v>
      </c>
      <c r="AD57" s="166">
        <f>COUNTIF(Berekening!AB$51:AB$66,'Overzicht pronostieken'!$E57)</f>
        <v>0</v>
      </c>
      <c r="AE57" s="166">
        <f>COUNTIF(Berekening!AC$51:AC$66,'Overzicht pronostieken'!$E57)</f>
        <v>0</v>
      </c>
      <c r="AF57" s="166">
        <f>COUNTIF(Berekening!AD$51:AD$66,'Overzicht pronostieken'!$E57)</f>
        <v>0</v>
      </c>
      <c r="AG57" s="166">
        <f>COUNTIF(Berekening!AE$51:AE$66,'Overzicht pronostieken'!$E57)</f>
        <v>0</v>
      </c>
      <c r="AH57" s="166">
        <f>COUNTIF(Berekening!AF$51:AF$66,'Overzicht pronostieken'!$E57)</f>
        <v>0</v>
      </c>
      <c r="AI57" s="166">
        <f>COUNTIF(Berekening!AG$51:AG$66,'Overzicht pronostieken'!$E57)</f>
        <v>0</v>
      </c>
      <c r="AJ57" s="166">
        <f>COUNTIF(Berekening!AH$51:AH$66,'Overzicht pronostieken'!$E57)</f>
        <v>0</v>
      </c>
      <c r="AK57" s="166">
        <f>COUNTIF(Berekening!AI$51:AI$66,'Overzicht pronostieken'!$E57)</f>
        <v>0</v>
      </c>
      <c r="AL57" s="166">
        <f>COUNTIF(Berekening!AJ$51:AJ$66,'Overzicht pronostieken'!$E57)</f>
        <v>0</v>
      </c>
      <c r="AM57" s="166">
        <f>COUNTIF(Berekening!AK$51:AK$66,'Overzicht pronostieken'!$E57)</f>
        <v>0</v>
      </c>
      <c r="AN57" s="166">
        <f>COUNTIF(Berekening!AL$51:AL$66,'Overzicht pronostieken'!$E57)</f>
        <v>0</v>
      </c>
      <c r="AO57" s="166">
        <f>COUNTIF(Berekening!AM$51:AM$66,'Overzicht pronostieken'!$E57)</f>
        <v>0</v>
      </c>
      <c r="AP57" s="166">
        <f>COUNTIF(Berekening!AN$51:AN$66,'Overzicht pronostieken'!$E57)</f>
        <v>0</v>
      </c>
      <c r="AQ57" s="166">
        <f>COUNTIF(Berekening!AO$51:AO$66,'Overzicht pronostieken'!$E57)</f>
        <v>0</v>
      </c>
      <c r="AR57" s="166">
        <f>COUNTIF(Berekening!AP$51:AP$66,'Overzicht pronostieken'!$E57)</f>
        <v>0</v>
      </c>
      <c r="AS57" s="166">
        <f>COUNTIF(Berekening!AQ$51:AQ$66,'Overzicht pronostieken'!$E57)</f>
        <v>0</v>
      </c>
      <c r="AT57" s="166">
        <f>COUNTIF(Berekening!AR$51:AR$66,'Overzicht pronostieken'!$E57)</f>
        <v>0</v>
      </c>
      <c r="AU57" s="166">
        <f>COUNTIF(Berekening!AS$51:AS$66,'Overzicht pronostieken'!$E57)</f>
        <v>0</v>
      </c>
      <c r="AV57" s="166">
        <f>COUNTIF(Berekening!AT$51:AT$66,'Overzicht pronostieken'!$E57)</f>
        <v>0</v>
      </c>
    </row>
    <row r="58" spans="5:48">
      <c r="E58" s="161" t="s">
        <v>1889</v>
      </c>
      <c r="F58" s="161">
        <f t="shared" si="1"/>
        <v>16</v>
      </c>
      <c r="G58" s="166">
        <f>COUNTIF(Berekening!E$51:E$66,'Overzicht pronostieken'!$E58)</f>
        <v>1</v>
      </c>
      <c r="H58" s="166">
        <f>COUNTIF(Berekening!F$51:F$66,'Overzicht pronostieken'!$E58)</f>
        <v>1</v>
      </c>
      <c r="I58" s="166">
        <f>COUNTIF(Berekening!G$51:G$66,'Overzicht pronostieken'!$E58)</f>
        <v>1</v>
      </c>
      <c r="J58" s="166">
        <f>COUNTIF(Berekening!H$51:H$66,'Overzicht pronostieken'!$E58)</f>
        <v>1</v>
      </c>
      <c r="K58" s="166">
        <f>COUNTIF(Berekening!I$51:I$66,'Overzicht pronostieken'!$E58)</f>
        <v>1</v>
      </c>
      <c r="L58" s="166">
        <f>COUNTIF(Berekening!J$51:J$66,'Overzicht pronostieken'!$E58)</f>
        <v>1</v>
      </c>
      <c r="M58" s="166">
        <f>COUNTIF(Berekening!K$51:K$66,'Overzicht pronostieken'!$E58)</f>
        <v>1</v>
      </c>
      <c r="N58" s="166">
        <f>COUNTIF(Berekening!L$51:L$66,'Overzicht pronostieken'!$E58)</f>
        <v>1</v>
      </c>
      <c r="O58" s="166">
        <f>COUNTIF(Berekening!M$51:M$66,'Overzicht pronostieken'!$E58)</f>
        <v>1</v>
      </c>
      <c r="P58" s="166">
        <f>COUNTIF(Berekening!N$51:N$66,'Overzicht pronostieken'!$E58)</f>
        <v>1</v>
      </c>
      <c r="Q58" s="166">
        <f>COUNTIF(Berekening!O$51:O$66,'Overzicht pronostieken'!$E58)</f>
        <v>1</v>
      </c>
      <c r="R58" s="166">
        <f>COUNTIF(Berekening!P$51:P$66,'Overzicht pronostieken'!$E58)</f>
        <v>1</v>
      </c>
      <c r="S58" s="166">
        <f>COUNTIF(Berekening!Q$51:Q$66,'Overzicht pronostieken'!$E58)</f>
        <v>1</v>
      </c>
      <c r="T58" s="166">
        <f>COUNTIF(Berekening!R$51:R$66,'Overzicht pronostieken'!$E58)</f>
        <v>1</v>
      </c>
      <c r="U58" s="166">
        <f>COUNTIF(Berekening!S$51:S$66,'Overzicht pronostieken'!$E58)</f>
        <v>1</v>
      </c>
      <c r="V58" s="166">
        <f>COUNTIF(Berekening!T$51:T$66,'Overzicht pronostieken'!$E58)</f>
        <v>1</v>
      </c>
      <c r="W58" s="166">
        <f>COUNTIF(Berekening!U$51:U$66,'Overzicht pronostieken'!$E58)</f>
        <v>0</v>
      </c>
      <c r="X58" s="166">
        <f>COUNTIF(Berekening!V$51:V$66,'Overzicht pronostieken'!$E58)</f>
        <v>0</v>
      </c>
      <c r="Y58" s="166">
        <f>COUNTIF(Berekening!W$51:W$66,'Overzicht pronostieken'!$E58)</f>
        <v>0</v>
      </c>
      <c r="Z58" s="166">
        <f>COUNTIF(Berekening!X$51:X$66,'Overzicht pronostieken'!$E58)</f>
        <v>0</v>
      </c>
      <c r="AA58" s="166">
        <f>COUNTIF(Berekening!Y$51:Y$66,'Overzicht pronostieken'!$E58)</f>
        <v>0</v>
      </c>
      <c r="AB58" s="166">
        <f>COUNTIF(Berekening!Z$51:Z$66,'Overzicht pronostieken'!$E58)</f>
        <v>0</v>
      </c>
      <c r="AC58" s="166">
        <f>COUNTIF(Berekening!AA$51:AA$66,'Overzicht pronostieken'!$E58)</f>
        <v>0</v>
      </c>
      <c r="AD58" s="166">
        <f>COUNTIF(Berekening!AB$51:AB$66,'Overzicht pronostieken'!$E58)</f>
        <v>0</v>
      </c>
      <c r="AE58" s="166">
        <f>COUNTIF(Berekening!AC$51:AC$66,'Overzicht pronostieken'!$E58)</f>
        <v>0</v>
      </c>
      <c r="AF58" s="166">
        <f>COUNTIF(Berekening!AD$51:AD$66,'Overzicht pronostieken'!$E58)</f>
        <v>0</v>
      </c>
      <c r="AG58" s="166">
        <f>COUNTIF(Berekening!AE$51:AE$66,'Overzicht pronostieken'!$E58)</f>
        <v>0</v>
      </c>
      <c r="AH58" s="166">
        <f>COUNTIF(Berekening!AF$51:AF$66,'Overzicht pronostieken'!$E58)</f>
        <v>0</v>
      </c>
      <c r="AI58" s="166">
        <f>COUNTIF(Berekening!AG$51:AG$66,'Overzicht pronostieken'!$E58)</f>
        <v>0</v>
      </c>
      <c r="AJ58" s="166">
        <f>COUNTIF(Berekening!AH$51:AH$66,'Overzicht pronostieken'!$E58)</f>
        <v>0</v>
      </c>
      <c r="AK58" s="166">
        <f>COUNTIF(Berekening!AI$51:AI$66,'Overzicht pronostieken'!$E58)</f>
        <v>0</v>
      </c>
      <c r="AL58" s="166">
        <f>COUNTIF(Berekening!AJ$51:AJ$66,'Overzicht pronostieken'!$E58)</f>
        <v>0</v>
      </c>
      <c r="AM58" s="166">
        <f>COUNTIF(Berekening!AK$51:AK$66,'Overzicht pronostieken'!$E58)</f>
        <v>0</v>
      </c>
      <c r="AN58" s="166">
        <f>COUNTIF(Berekening!AL$51:AL$66,'Overzicht pronostieken'!$E58)</f>
        <v>0</v>
      </c>
      <c r="AO58" s="166">
        <f>COUNTIF(Berekening!AM$51:AM$66,'Overzicht pronostieken'!$E58)</f>
        <v>0</v>
      </c>
      <c r="AP58" s="166">
        <f>COUNTIF(Berekening!AN$51:AN$66,'Overzicht pronostieken'!$E58)</f>
        <v>0</v>
      </c>
      <c r="AQ58" s="166">
        <f>COUNTIF(Berekening!AO$51:AO$66,'Overzicht pronostieken'!$E58)</f>
        <v>0</v>
      </c>
      <c r="AR58" s="166">
        <f>COUNTIF(Berekening!AP$51:AP$66,'Overzicht pronostieken'!$E58)</f>
        <v>0</v>
      </c>
      <c r="AS58" s="166">
        <f>COUNTIF(Berekening!AQ$51:AQ$66,'Overzicht pronostieken'!$E58)</f>
        <v>0</v>
      </c>
      <c r="AT58" s="166">
        <f>COUNTIF(Berekening!AR$51:AR$66,'Overzicht pronostieken'!$E58)</f>
        <v>0</v>
      </c>
      <c r="AU58" s="166">
        <f>COUNTIF(Berekening!AS$51:AS$66,'Overzicht pronostieken'!$E58)</f>
        <v>0</v>
      </c>
      <c r="AV58" s="166">
        <f>COUNTIF(Berekening!AT$51:AT$66,'Overzicht pronostieken'!$E58)</f>
        <v>0</v>
      </c>
    </row>
    <row r="59" spans="5:48">
      <c r="E59" s="161" t="s">
        <v>1235</v>
      </c>
      <c r="F59" s="161">
        <f t="shared" si="1"/>
        <v>16</v>
      </c>
      <c r="G59" s="166">
        <f>COUNTIF(Berekening!E$51:E$66,'Overzicht pronostieken'!$E59)</f>
        <v>1</v>
      </c>
      <c r="H59" s="166">
        <f>COUNTIF(Berekening!F$51:F$66,'Overzicht pronostieken'!$E59)</f>
        <v>1</v>
      </c>
      <c r="I59" s="166">
        <f>COUNTIF(Berekening!G$51:G$66,'Overzicht pronostieken'!$E59)</f>
        <v>1</v>
      </c>
      <c r="J59" s="166">
        <f>COUNTIF(Berekening!H$51:H$66,'Overzicht pronostieken'!$E59)</f>
        <v>1</v>
      </c>
      <c r="K59" s="166">
        <f>COUNTIF(Berekening!I$51:I$66,'Overzicht pronostieken'!$E59)</f>
        <v>1</v>
      </c>
      <c r="L59" s="166">
        <f>COUNTIF(Berekening!J$51:J$66,'Overzicht pronostieken'!$E59)</f>
        <v>1</v>
      </c>
      <c r="M59" s="166">
        <f>COUNTIF(Berekening!K$51:K$66,'Overzicht pronostieken'!$E59)</f>
        <v>1</v>
      </c>
      <c r="N59" s="166">
        <f>COUNTIF(Berekening!L$51:L$66,'Overzicht pronostieken'!$E59)</f>
        <v>1</v>
      </c>
      <c r="O59" s="166">
        <f>COUNTIF(Berekening!M$51:M$66,'Overzicht pronostieken'!$E59)</f>
        <v>1</v>
      </c>
      <c r="P59" s="166">
        <f>COUNTIF(Berekening!N$51:N$66,'Overzicht pronostieken'!$E59)</f>
        <v>1</v>
      </c>
      <c r="Q59" s="166">
        <f>COUNTIF(Berekening!O$51:O$66,'Overzicht pronostieken'!$E59)</f>
        <v>1</v>
      </c>
      <c r="R59" s="166">
        <f>COUNTIF(Berekening!P$51:P$66,'Overzicht pronostieken'!$E59)</f>
        <v>1</v>
      </c>
      <c r="S59" s="166">
        <f>COUNTIF(Berekening!Q$51:Q$66,'Overzicht pronostieken'!$E59)</f>
        <v>1</v>
      </c>
      <c r="T59" s="166">
        <f>COUNTIF(Berekening!R$51:R$66,'Overzicht pronostieken'!$E59)</f>
        <v>1</v>
      </c>
      <c r="U59" s="166">
        <f>COUNTIF(Berekening!S$51:S$66,'Overzicht pronostieken'!$E59)</f>
        <v>1</v>
      </c>
      <c r="V59" s="166">
        <f>COUNTIF(Berekening!T$51:T$66,'Overzicht pronostieken'!$E59)</f>
        <v>1</v>
      </c>
      <c r="W59" s="166">
        <f>COUNTIF(Berekening!U$51:U$66,'Overzicht pronostieken'!$E59)</f>
        <v>0</v>
      </c>
      <c r="X59" s="166">
        <f>COUNTIF(Berekening!V$51:V$66,'Overzicht pronostieken'!$E59)</f>
        <v>0</v>
      </c>
      <c r="Y59" s="166">
        <f>COUNTIF(Berekening!W$51:W$66,'Overzicht pronostieken'!$E59)</f>
        <v>0</v>
      </c>
      <c r="Z59" s="166">
        <f>COUNTIF(Berekening!X$51:X$66,'Overzicht pronostieken'!$E59)</f>
        <v>0</v>
      </c>
      <c r="AA59" s="166">
        <f>COUNTIF(Berekening!Y$51:Y$66,'Overzicht pronostieken'!$E59)</f>
        <v>0</v>
      </c>
      <c r="AB59" s="166">
        <f>COUNTIF(Berekening!Z$51:Z$66,'Overzicht pronostieken'!$E59)</f>
        <v>0</v>
      </c>
      <c r="AC59" s="166">
        <f>COUNTIF(Berekening!AA$51:AA$66,'Overzicht pronostieken'!$E59)</f>
        <v>0</v>
      </c>
      <c r="AD59" s="166">
        <f>COUNTIF(Berekening!AB$51:AB$66,'Overzicht pronostieken'!$E59)</f>
        <v>0</v>
      </c>
      <c r="AE59" s="166">
        <f>COUNTIF(Berekening!AC$51:AC$66,'Overzicht pronostieken'!$E59)</f>
        <v>0</v>
      </c>
      <c r="AF59" s="166">
        <f>COUNTIF(Berekening!AD$51:AD$66,'Overzicht pronostieken'!$E59)</f>
        <v>0</v>
      </c>
      <c r="AG59" s="166">
        <f>COUNTIF(Berekening!AE$51:AE$66,'Overzicht pronostieken'!$E59)</f>
        <v>0</v>
      </c>
      <c r="AH59" s="166">
        <f>COUNTIF(Berekening!AF$51:AF$66,'Overzicht pronostieken'!$E59)</f>
        <v>0</v>
      </c>
      <c r="AI59" s="166">
        <f>COUNTIF(Berekening!AG$51:AG$66,'Overzicht pronostieken'!$E59)</f>
        <v>0</v>
      </c>
      <c r="AJ59" s="166">
        <f>COUNTIF(Berekening!AH$51:AH$66,'Overzicht pronostieken'!$E59)</f>
        <v>0</v>
      </c>
      <c r="AK59" s="166">
        <f>COUNTIF(Berekening!AI$51:AI$66,'Overzicht pronostieken'!$E59)</f>
        <v>0</v>
      </c>
      <c r="AL59" s="166">
        <f>COUNTIF(Berekening!AJ$51:AJ$66,'Overzicht pronostieken'!$E59)</f>
        <v>0</v>
      </c>
      <c r="AM59" s="166">
        <f>COUNTIF(Berekening!AK$51:AK$66,'Overzicht pronostieken'!$E59)</f>
        <v>0</v>
      </c>
      <c r="AN59" s="166">
        <f>COUNTIF(Berekening!AL$51:AL$66,'Overzicht pronostieken'!$E59)</f>
        <v>0</v>
      </c>
      <c r="AO59" s="166">
        <f>COUNTIF(Berekening!AM$51:AM$66,'Overzicht pronostieken'!$E59)</f>
        <v>0</v>
      </c>
      <c r="AP59" s="166">
        <f>COUNTIF(Berekening!AN$51:AN$66,'Overzicht pronostieken'!$E59)</f>
        <v>0</v>
      </c>
      <c r="AQ59" s="166">
        <f>COUNTIF(Berekening!AO$51:AO$66,'Overzicht pronostieken'!$E59)</f>
        <v>0</v>
      </c>
      <c r="AR59" s="166">
        <f>COUNTIF(Berekening!AP$51:AP$66,'Overzicht pronostieken'!$E59)</f>
        <v>0</v>
      </c>
      <c r="AS59" s="166">
        <f>COUNTIF(Berekening!AQ$51:AQ$66,'Overzicht pronostieken'!$E59)</f>
        <v>0</v>
      </c>
      <c r="AT59" s="166">
        <f>COUNTIF(Berekening!AR$51:AR$66,'Overzicht pronostieken'!$E59)</f>
        <v>0</v>
      </c>
      <c r="AU59" s="166">
        <f>COUNTIF(Berekening!AS$51:AS$66,'Overzicht pronostieken'!$E59)</f>
        <v>0</v>
      </c>
      <c r="AV59" s="166">
        <f>COUNTIF(Berekening!AT$51:AT$66,'Overzicht pronostieken'!$E59)</f>
        <v>0</v>
      </c>
    </row>
    <row r="60" spans="5:48">
      <c r="E60" s="161" t="s">
        <v>1043</v>
      </c>
      <c r="F60" s="161">
        <f t="shared" si="1"/>
        <v>2</v>
      </c>
      <c r="G60" s="166">
        <f>COUNTIF(Berekening!E$51:E$66,'Overzicht pronostieken'!$E60)</f>
        <v>0</v>
      </c>
      <c r="H60" s="166">
        <f>COUNTIF(Berekening!F$51:F$66,'Overzicht pronostieken'!$E60)</f>
        <v>0</v>
      </c>
      <c r="I60" s="166">
        <f>COUNTIF(Berekening!G$51:G$66,'Overzicht pronostieken'!$E60)</f>
        <v>0</v>
      </c>
      <c r="J60" s="166">
        <f>COUNTIF(Berekening!H$51:H$66,'Overzicht pronostieken'!$E60)</f>
        <v>0</v>
      </c>
      <c r="K60" s="166">
        <f>COUNTIF(Berekening!I$51:I$66,'Overzicht pronostieken'!$E60)</f>
        <v>0</v>
      </c>
      <c r="L60" s="166">
        <f>COUNTIF(Berekening!J$51:J$66,'Overzicht pronostieken'!$E60)</f>
        <v>1</v>
      </c>
      <c r="M60" s="166">
        <f>COUNTIF(Berekening!K$51:K$66,'Overzicht pronostieken'!$E60)</f>
        <v>0</v>
      </c>
      <c r="N60" s="166">
        <f>COUNTIF(Berekening!L$51:L$66,'Overzicht pronostieken'!$E60)</f>
        <v>0</v>
      </c>
      <c r="O60" s="166">
        <f>COUNTIF(Berekening!M$51:M$66,'Overzicht pronostieken'!$E60)</f>
        <v>0</v>
      </c>
      <c r="P60" s="166">
        <f>COUNTIF(Berekening!N$51:N$66,'Overzicht pronostieken'!$E60)</f>
        <v>0</v>
      </c>
      <c r="Q60" s="166">
        <f>COUNTIF(Berekening!O$51:O$66,'Overzicht pronostieken'!$E60)</f>
        <v>0</v>
      </c>
      <c r="R60" s="166">
        <f>COUNTIF(Berekening!P$51:P$66,'Overzicht pronostieken'!$E60)</f>
        <v>1</v>
      </c>
      <c r="S60" s="166">
        <f>COUNTIF(Berekening!Q$51:Q$66,'Overzicht pronostieken'!$E60)</f>
        <v>0</v>
      </c>
      <c r="T60" s="166">
        <f>COUNTIF(Berekening!R$51:R$66,'Overzicht pronostieken'!$E60)</f>
        <v>0</v>
      </c>
      <c r="U60" s="166">
        <f>COUNTIF(Berekening!S$51:S$66,'Overzicht pronostieken'!$E60)</f>
        <v>0</v>
      </c>
      <c r="V60" s="166">
        <f>COUNTIF(Berekening!T$51:T$66,'Overzicht pronostieken'!$E60)</f>
        <v>0</v>
      </c>
      <c r="W60" s="166">
        <f>COUNTIF(Berekening!U$51:U$66,'Overzicht pronostieken'!$E60)</f>
        <v>0</v>
      </c>
      <c r="X60" s="166">
        <f>COUNTIF(Berekening!V$51:V$66,'Overzicht pronostieken'!$E60)</f>
        <v>0</v>
      </c>
      <c r="Y60" s="166">
        <f>COUNTIF(Berekening!W$51:W$66,'Overzicht pronostieken'!$E60)</f>
        <v>0</v>
      </c>
      <c r="Z60" s="166">
        <f>COUNTIF(Berekening!X$51:X$66,'Overzicht pronostieken'!$E60)</f>
        <v>0</v>
      </c>
      <c r="AA60" s="166">
        <f>COUNTIF(Berekening!Y$51:Y$66,'Overzicht pronostieken'!$E60)</f>
        <v>0</v>
      </c>
      <c r="AB60" s="166">
        <f>COUNTIF(Berekening!Z$51:Z$66,'Overzicht pronostieken'!$E60)</f>
        <v>0</v>
      </c>
      <c r="AC60" s="166">
        <f>COUNTIF(Berekening!AA$51:AA$66,'Overzicht pronostieken'!$E60)</f>
        <v>0</v>
      </c>
      <c r="AD60" s="166">
        <f>COUNTIF(Berekening!AB$51:AB$66,'Overzicht pronostieken'!$E60)</f>
        <v>0</v>
      </c>
      <c r="AE60" s="166">
        <f>COUNTIF(Berekening!AC$51:AC$66,'Overzicht pronostieken'!$E60)</f>
        <v>0</v>
      </c>
      <c r="AF60" s="166">
        <f>COUNTIF(Berekening!AD$51:AD$66,'Overzicht pronostieken'!$E60)</f>
        <v>0</v>
      </c>
      <c r="AG60" s="166">
        <f>COUNTIF(Berekening!AE$51:AE$66,'Overzicht pronostieken'!$E60)</f>
        <v>0</v>
      </c>
      <c r="AH60" s="166">
        <f>COUNTIF(Berekening!AF$51:AF$66,'Overzicht pronostieken'!$E60)</f>
        <v>0</v>
      </c>
      <c r="AI60" s="166">
        <f>COUNTIF(Berekening!AG$51:AG$66,'Overzicht pronostieken'!$E60)</f>
        <v>0</v>
      </c>
      <c r="AJ60" s="166">
        <f>COUNTIF(Berekening!AH$51:AH$66,'Overzicht pronostieken'!$E60)</f>
        <v>0</v>
      </c>
      <c r="AK60" s="166">
        <f>COUNTIF(Berekening!AI$51:AI$66,'Overzicht pronostieken'!$E60)</f>
        <v>0</v>
      </c>
      <c r="AL60" s="166">
        <f>COUNTIF(Berekening!AJ$51:AJ$66,'Overzicht pronostieken'!$E60)</f>
        <v>0</v>
      </c>
      <c r="AM60" s="166">
        <f>COUNTIF(Berekening!AK$51:AK$66,'Overzicht pronostieken'!$E60)</f>
        <v>0</v>
      </c>
      <c r="AN60" s="166">
        <f>COUNTIF(Berekening!AL$51:AL$66,'Overzicht pronostieken'!$E60)</f>
        <v>0</v>
      </c>
      <c r="AO60" s="166">
        <f>COUNTIF(Berekening!AM$51:AM$66,'Overzicht pronostieken'!$E60)</f>
        <v>0</v>
      </c>
      <c r="AP60" s="166">
        <f>COUNTIF(Berekening!AN$51:AN$66,'Overzicht pronostieken'!$E60)</f>
        <v>0</v>
      </c>
      <c r="AQ60" s="166">
        <f>COUNTIF(Berekening!AO$51:AO$66,'Overzicht pronostieken'!$E60)</f>
        <v>0</v>
      </c>
      <c r="AR60" s="166">
        <f>COUNTIF(Berekening!AP$51:AP$66,'Overzicht pronostieken'!$E60)</f>
        <v>0</v>
      </c>
      <c r="AS60" s="166">
        <f>COUNTIF(Berekening!AQ$51:AQ$66,'Overzicht pronostieken'!$E60)</f>
        <v>0</v>
      </c>
      <c r="AT60" s="166">
        <f>COUNTIF(Berekening!AR$51:AR$66,'Overzicht pronostieken'!$E60)</f>
        <v>0</v>
      </c>
      <c r="AU60" s="166">
        <f>COUNTIF(Berekening!AS$51:AS$66,'Overzicht pronostieken'!$E60)</f>
        <v>0</v>
      </c>
      <c r="AV60" s="166">
        <f>COUNTIF(Berekening!AT$51:AT$66,'Overzicht pronostieken'!$E60)</f>
        <v>0</v>
      </c>
    </row>
    <row r="61" spans="5:48">
      <c r="E61" s="161" t="s">
        <v>1433</v>
      </c>
      <c r="F61" s="161">
        <f t="shared" si="1"/>
        <v>4</v>
      </c>
      <c r="G61" s="166">
        <f>COUNTIF(Berekening!E$51:E$66,'Overzicht pronostieken'!$E61)</f>
        <v>0</v>
      </c>
      <c r="H61" s="166">
        <f>COUNTIF(Berekening!F$51:F$66,'Overzicht pronostieken'!$E61)</f>
        <v>0</v>
      </c>
      <c r="I61" s="166">
        <f>COUNTIF(Berekening!G$51:G$66,'Overzicht pronostieken'!$E61)</f>
        <v>0</v>
      </c>
      <c r="J61" s="166">
        <f>COUNTIF(Berekening!H$51:H$66,'Overzicht pronostieken'!$E61)</f>
        <v>0</v>
      </c>
      <c r="K61" s="166">
        <f>COUNTIF(Berekening!I$51:I$66,'Overzicht pronostieken'!$E61)</f>
        <v>0</v>
      </c>
      <c r="L61" s="166">
        <f>COUNTIF(Berekening!J$51:J$66,'Overzicht pronostieken'!$E61)</f>
        <v>0</v>
      </c>
      <c r="M61" s="166">
        <f>COUNTIF(Berekening!K$51:K$66,'Overzicht pronostieken'!$E61)</f>
        <v>1</v>
      </c>
      <c r="N61" s="166">
        <f>COUNTIF(Berekening!L$51:L$66,'Overzicht pronostieken'!$E61)</f>
        <v>1</v>
      </c>
      <c r="O61" s="166">
        <f>COUNTIF(Berekening!M$51:M$66,'Overzicht pronostieken'!$E61)</f>
        <v>1</v>
      </c>
      <c r="P61" s="166">
        <f>COUNTIF(Berekening!N$51:N$66,'Overzicht pronostieken'!$E61)</f>
        <v>0</v>
      </c>
      <c r="Q61" s="166">
        <f>COUNTIF(Berekening!O$51:O$66,'Overzicht pronostieken'!$E61)</f>
        <v>0</v>
      </c>
      <c r="R61" s="166">
        <f>COUNTIF(Berekening!P$51:P$66,'Overzicht pronostieken'!$E61)</f>
        <v>0</v>
      </c>
      <c r="S61" s="166">
        <f>COUNTIF(Berekening!Q$51:Q$66,'Overzicht pronostieken'!$E61)</f>
        <v>0</v>
      </c>
      <c r="T61" s="166">
        <f>COUNTIF(Berekening!R$51:R$66,'Overzicht pronostieken'!$E61)</f>
        <v>0</v>
      </c>
      <c r="U61" s="166">
        <f>COUNTIF(Berekening!S$51:S$66,'Overzicht pronostieken'!$E61)</f>
        <v>1</v>
      </c>
      <c r="V61" s="166">
        <f>COUNTIF(Berekening!T$51:T$66,'Overzicht pronostieken'!$E61)</f>
        <v>0</v>
      </c>
      <c r="W61" s="166">
        <f>COUNTIF(Berekening!U$51:U$66,'Overzicht pronostieken'!$E61)</f>
        <v>0</v>
      </c>
      <c r="X61" s="166">
        <f>COUNTIF(Berekening!V$51:V$66,'Overzicht pronostieken'!$E61)</f>
        <v>0</v>
      </c>
      <c r="Y61" s="166">
        <f>COUNTIF(Berekening!W$51:W$66,'Overzicht pronostieken'!$E61)</f>
        <v>0</v>
      </c>
      <c r="Z61" s="166">
        <f>COUNTIF(Berekening!X$51:X$66,'Overzicht pronostieken'!$E61)</f>
        <v>0</v>
      </c>
      <c r="AA61" s="166">
        <f>COUNTIF(Berekening!Y$51:Y$66,'Overzicht pronostieken'!$E61)</f>
        <v>0</v>
      </c>
      <c r="AB61" s="166">
        <f>COUNTIF(Berekening!Z$51:Z$66,'Overzicht pronostieken'!$E61)</f>
        <v>0</v>
      </c>
      <c r="AC61" s="166">
        <f>COUNTIF(Berekening!AA$51:AA$66,'Overzicht pronostieken'!$E61)</f>
        <v>0</v>
      </c>
      <c r="AD61" s="166">
        <f>COUNTIF(Berekening!AB$51:AB$66,'Overzicht pronostieken'!$E61)</f>
        <v>0</v>
      </c>
      <c r="AE61" s="166">
        <f>COUNTIF(Berekening!AC$51:AC$66,'Overzicht pronostieken'!$E61)</f>
        <v>0</v>
      </c>
      <c r="AF61" s="166">
        <f>COUNTIF(Berekening!AD$51:AD$66,'Overzicht pronostieken'!$E61)</f>
        <v>0</v>
      </c>
      <c r="AG61" s="166">
        <f>COUNTIF(Berekening!AE$51:AE$66,'Overzicht pronostieken'!$E61)</f>
        <v>0</v>
      </c>
      <c r="AH61" s="166">
        <f>COUNTIF(Berekening!AF$51:AF$66,'Overzicht pronostieken'!$E61)</f>
        <v>0</v>
      </c>
      <c r="AI61" s="166">
        <f>COUNTIF(Berekening!AG$51:AG$66,'Overzicht pronostieken'!$E61)</f>
        <v>0</v>
      </c>
      <c r="AJ61" s="166">
        <f>COUNTIF(Berekening!AH$51:AH$66,'Overzicht pronostieken'!$E61)</f>
        <v>0</v>
      </c>
      <c r="AK61" s="166">
        <f>COUNTIF(Berekening!AI$51:AI$66,'Overzicht pronostieken'!$E61)</f>
        <v>0</v>
      </c>
      <c r="AL61" s="166">
        <f>COUNTIF(Berekening!AJ$51:AJ$66,'Overzicht pronostieken'!$E61)</f>
        <v>0</v>
      </c>
      <c r="AM61" s="166">
        <f>COUNTIF(Berekening!AK$51:AK$66,'Overzicht pronostieken'!$E61)</f>
        <v>0</v>
      </c>
      <c r="AN61" s="166">
        <f>COUNTIF(Berekening!AL$51:AL$66,'Overzicht pronostieken'!$E61)</f>
        <v>0</v>
      </c>
      <c r="AO61" s="166">
        <f>COUNTIF(Berekening!AM$51:AM$66,'Overzicht pronostieken'!$E61)</f>
        <v>0</v>
      </c>
      <c r="AP61" s="166">
        <f>COUNTIF(Berekening!AN$51:AN$66,'Overzicht pronostieken'!$E61)</f>
        <v>0</v>
      </c>
      <c r="AQ61" s="166">
        <f>COUNTIF(Berekening!AO$51:AO$66,'Overzicht pronostieken'!$E61)</f>
        <v>0</v>
      </c>
      <c r="AR61" s="166">
        <f>COUNTIF(Berekening!AP$51:AP$66,'Overzicht pronostieken'!$E61)</f>
        <v>0</v>
      </c>
      <c r="AS61" s="166">
        <f>COUNTIF(Berekening!AQ$51:AQ$66,'Overzicht pronostieken'!$E61)</f>
        <v>0</v>
      </c>
      <c r="AT61" s="166">
        <f>COUNTIF(Berekening!AR$51:AR$66,'Overzicht pronostieken'!$E61)</f>
        <v>0</v>
      </c>
      <c r="AU61" s="166">
        <f>COUNTIF(Berekening!AS$51:AS$66,'Overzicht pronostieken'!$E61)</f>
        <v>0</v>
      </c>
      <c r="AV61" s="166">
        <f>COUNTIF(Berekening!AT$51:AT$66,'Overzicht pronostieken'!$E61)</f>
        <v>0</v>
      </c>
    </row>
    <row r="62" spans="5:48">
      <c r="E62" s="161" t="s">
        <v>1132</v>
      </c>
      <c r="F62" s="161">
        <f t="shared" si="1"/>
        <v>16</v>
      </c>
      <c r="G62" s="166">
        <f>COUNTIF(Berekening!E$51:E$66,'Overzicht pronostieken'!$E62)</f>
        <v>1</v>
      </c>
      <c r="H62" s="166">
        <f>COUNTIF(Berekening!F$51:F$66,'Overzicht pronostieken'!$E62)</f>
        <v>1</v>
      </c>
      <c r="I62" s="166">
        <f>COUNTIF(Berekening!G$51:G$66,'Overzicht pronostieken'!$E62)</f>
        <v>1</v>
      </c>
      <c r="J62" s="166">
        <f>COUNTIF(Berekening!H$51:H$66,'Overzicht pronostieken'!$E62)</f>
        <v>1</v>
      </c>
      <c r="K62" s="166">
        <f>COUNTIF(Berekening!I$51:I$66,'Overzicht pronostieken'!$E62)</f>
        <v>1</v>
      </c>
      <c r="L62" s="166">
        <f>COUNTIF(Berekening!J$51:J$66,'Overzicht pronostieken'!$E62)</f>
        <v>1</v>
      </c>
      <c r="M62" s="166">
        <f>COUNTIF(Berekening!K$51:K$66,'Overzicht pronostieken'!$E62)</f>
        <v>1</v>
      </c>
      <c r="N62" s="166">
        <f>COUNTIF(Berekening!L$51:L$66,'Overzicht pronostieken'!$E62)</f>
        <v>1</v>
      </c>
      <c r="O62" s="166">
        <f>COUNTIF(Berekening!M$51:M$66,'Overzicht pronostieken'!$E62)</f>
        <v>1</v>
      </c>
      <c r="P62" s="166">
        <f>COUNTIF(Berekening!N$51:N$66,'Overzicht pronostieken'!$E62)</f>
        <v>1</v>
      </c>
      <c r="Q62" s="166">
        <f>COUNTIF(Berekening!O$51:O$66,'Overzicht pronostieken'!$E62)</f>
        <v>1</v>
      </c>
      <c r="R62" s="166">
        <f>COUNTIF(Berekening!P$51:P$66,'Overzicht pronostieken'!$E62)</f>
        <v>1</v>
      </c>
      <c r="S62" s="166">
        <f>COUNTIF(Berekening!Q$51:Q$66,'Overzicht pronostieken'!$E62)</f>
        <v>1</v>
      </c>
      <c r="T62" s="166">
        <f>COUNTIF(Berekening!R$51:R$66,'Overzicht pronostieken'!$E62)</f>
        <v>1</v>
      </c>
      <c r="U62" s="166">
        <f>COUNTIF(Berekening!S$51:S$66,'Overzicht pronostieken'!$E62)</f>
        <v>1</v>
      </c>
      <c r="V62" s="166">
        <f>COUNTIF(Berekening!T$51:T$66,'Overzicht pronostieken'!$E62)</f>
        <v>1</v>
      </c>
      <c r="W62" s="166">
        <f>COUNTIF(Berekening!U$51:U$66,'Overzicht pronostieken'!$E62)</f>
        <v>0</v>
      </c>
      <c r="X62" s="166">
        <f>COUNTIF(Berekening!V$51:V$66,'Overzicht pronostieken'!$E62)</f>
        <v>0</v>
      </c>
      <c r="Y62" s="166">
        <f>COUNTIF(Berekening!W$51:W$66,'Overzicht pronostieken'!$E62)</f>
        <v>0</v>
      </c>
      <c r="Z62" s="166">
        <f>COUNTIF(Berekening!X$51:X$66,'Overzicht pronostieken'!$E62)</f>
        <v>0</v>
      </c>
      <c r="AA62" s="166">
        <f>COUNTIF(Berekening!Y$51:Y$66,'Overzicht pronostieken'!$E62)</f>
        <v>0</v>
      </c>
      <c r="AB62" s="166">
        <f>COUNTIF(Berekening!Z$51:Z$66,'Overzicht pronostieken'!$E62)</f>
        <v>0</v>
      </c>
      <c r="AC62" s="166">
        <f>COUNTIF(Berekening!AA$51:AA$66,'Overzicht pronostieken'!$E62)</f>
        <v>0</v>
      </c>
      <c r="AD62" s="166">
        <f>COUNTIF(Berekening!AB$51:AB$66,'Overzicht pronostieken'!$E62)</f>
        <v>0</v>
      </c>
      <c r="AE62" s="166">
        <f>COUNTIF(Berekening!AC$51:AC$66,'Overzicht pronostieken'!$E62)</f>
        <v>0</v>
      </c>
      <c r="AF62" s="166">
        <f>COUNTIF(Berekening!AD$51:AD$66,'Overzicht pronostieken'!$E62)</f>
        <v>0</v>
      </c>
      <c r="AG62" s="166">
        <f>COUNTIF(Berekening!AE$51:AE$66,'Overzicht pronostieken'!$E62)</f>
        <v>0</v>
      </c>
      <c r="AH62" s="166">
        <f>COUNTIF(Berekening!AF$51:AF$66,'Overzicht pronostieken'!$E62)</f>
        <v>0</v>
      </c>
      <c r="AI62" s="166">
        <f>COUNTIF(Berekening!AG$51:AG$66,'Overzicht pronostieken'!$E62)</f>
        <v>0</v>
      </c>
      <c r="AJ62" s="166">
        <f>COUNTIF(Berekening!AH$51:AH$66,'Overzicht pronostieken'!$E62)</f>
        <v>0</v>
      </c>
      <c r="AK62" s="166">
        <f>COUNTIF(Berekening!AI$51:AI$66,'Overzicht pronostieken'!$E62)</f>
        <v>0</v>
      </c>
      <c r="AL62" s="166">
        <f>COUNTIF(Berekening!AJ$51:AJ$66,'Overzicht pronostieken'!$E62)</f>
        <v>0</v>
      </c>
      <c r="AM62" s="166">
        <f>COUNTIF(Berekening!AK$51:AK$66,'Overzicht pronostieken'!$E62)</f>
        <v>0</v>
      </c>
      <c r="AN62" s="166">
        <f>COUNTIF(Berekening!AL$51:AL$66,'Overzicht pronostieken'!$E62)</f>
        <v>0</v>
      </c>
      <c r="AO62" s="166">
        <f>COUNTIF(Berekening!AM$51:AM$66,'Overzicht pronostieken'!$E62)</f>
        <v>0</v>
      </c>
      <c r="AP62" s="166">
        <f>COUNTIF(Berekening!AN$51:AN$66,'Overzicht pronostieken'!$E62)</f>
        <v>0</v>
      </c>
      <c r="AQ62" s="166">
        <f>COUNTIF(Berekening!AO$51:AO$66,'Overzicht pronostieken'!$E62)</f>
        <v>0</v>
      </c>
      <c r="AR62" s="166">
        <f>COUNTIF(Berekening!AP$51:AP$66,'Overzicht pronostieken'!$E62)</f>
        <v>0</v>
      </c>
      <c r="AS62" s="166">
        <f>COUNTIF(Berekening!AQ$51:AQ$66,'Overzicht pronostieken'!$E62)</f>
        <v>0</v>
      </c>
      <c r="AT62" s="166">
        <f>COUNTIF(Berekening!AR$51:AR$66,'Overzicht pronostieken'!$E62)</f>
        <v>0</v>
      </c>
      <c r="AU62" s="166">
        <f>COUNTIF(Berekening!AS$51:AS$66,'Overzicht pronostieken'!$E62)</f>
        <v>0</v>
      </c>
      <c r="AV62" s="166">
        <f>COUNTIF(Berekening!AT$51:AT$66,'Overzicht pronostieken'!$E62)</f>
        <v>0</v>
      </c>
    </row>
    <row r="63" spans="5:48">
      <c r="E63" s="161" t="s">
        <v>2689</v>
      </c>
      <c r="F63" s="161">
        <f t="shared" si="1"/>
        <v>0</v>
      </c>
      <c r="G63" s="166">
        <f>COUNTIF(Berekening!E$51:E$66,'Overzicht pronostieken'!$E63)</f>
        <v>0</v>
      </c>
      <c r="H63" s="166">
        <f>COUNTIF(Berekening!F$51:F$66,'Overzicht pronostieken'!$E63)</f>
        <v>0</v>
      </c>
      <c r="I63" s="166">
        <f>COUNTIF(Berekening!G$51:G$66,'Overzicht pronostieken'!$E63)</f>
        <v>0</v>
      </c>
      <c r="J63" s="166">
        <f>COUNTIF(Berekening!H$51:H$66,'Overzicht pronostieken'!$E63)</f>
        <v>0</v>
      </c>
      <c r="K63" s="166">
        <f>COUNTIF(Berekening!I$51:I$66,'Overzicht pronostieken'!$E63)</f>
        <v>0</v>
      </c>
      <c r="L63" s="166">
        <f>COUNTIF(Berekening!J$51:J$66,'Overzicht pronostieken'!$E63)</f>
        <v>0</v>
      </c>
      <c r="M63" s="166">
        <f>COUNTIF(Berekening!K$51:K$66,'Overzicht pronostieken'!$E63)</f>
        <v>0</v>
      </c>
      <c r="N63" s="166">
        <f>COUNTIF(Berekening!L$51:L$66,'Overzicht pronostieken'!$E63)</f>
        <v>0</v>
      </c>
      <c r="O63" s="166">
        <f>COUNTIF(Berekening!M$51:M$66,'Overzicht pronostieken'!$E63)</f>
        <v>0</v>
      </c>
      <c r="P63" s="166">
        <f>COUNTIF(Berekening!N$51:N$66,'Overzicht pronostieken'!$E63)</f>
        <v>0</v>
      </c>
      <c r="Q63" s="166">
        <f>COUNTIF(Berekening!O$51:O$66,'Overzicht pronostieken'!$E63)</f>
        <v>0</v>
      </c>
      <c r="R63" s="166">
        <f>COUNTIF(Berekening!P$51:P$66,'Overzicht pronostieken'!$E63)</f>
        <v>0</v>
      </c>
      <c r="S63" s="166">
        <f>COUNTIF(Berekening!Q$51:Q$66,'Overzicht pronostieken'!$E63)</f>
        <v>0</v>
      </c>
      <c r="T63" s="166">
        <f>COUNTIF(Berekening!R$51:R$66,'Overzicht pronostieken'!$E63)</f>
        <v>0</v>
      </c>
      <c r="U63" s="166">
        <f>COUNTIF(Berekening!S$51:S$66,'Overzicht pronostieken'!$E63)</f>
        <v>0</v>
      </c>
      <c r="V63" s="166">
        <f>COUNTIF(Berekening!T$51:T$66,'Overzicht pronostieken'!$E63)</f>
        <v>0</v>
      </c>
      <c r="W63" s="166">
        <f>COUNTIF(Berekening!U$51:U$66,'Overzicht pronostieken'!$E63)</f>
        <v>0</v>
      </c>
      <c r="X63" s="166">
        <f>COUNTIF(Berekening!V$51:V$66,'Overzicht pronostieken'!$E63)</f>
        <v>0</v>
      </c>
      <c r="Y63" s="166">
        <f>COUNTIF(Berekening!W$51:W$66,'Overzicht pronostieken'!$E63)</f>
        <v>0</v>
      </c>
      <c r="Z63" s="166">
        <f>COUNTIF(Berekening!X$51:X$66,'Overzicht pronostieken'!$E63)</f>
        <v>0</v>
      </c>
      <c r="AA63" s="166">
        <f>COUNTIF(Berekening!Y$51:Y$66,'Overzicht pronostieken'!$E63)</f>
        <v>0</v>
      </c>
      <c r="AB63" s="166">
        <f>COUNTIF(Berekening!Z$51:Z$66,'Overzicht pronostieken'!$E63)</f>
        <v>0</v>
      </c>
      <c r="AC63" s="166">
        <f>COUNTIF(Berekening!AA$51:AA$66,'Overzicht pronostieken'!$E63)</f>
        <v>0</v>
      </c>
      <c r="AD63" s="166">
        <f>COUNTIF(Berekening!AB$51:AB$66,'Overzicht pronostieken'!$E63)</f>
        <v>0</v>
      </c>
      <c r="AE63" s="166">
        <f>COUNTIF(Berekening!AC$51:AC$66,'Overzicht pronostieken'!$E63)</f>
        <v>0</v>
      </c>
      <c r="AF63" s="166">
        <f>COUNTIF(Berekening!AD$51:AD$66,'Overzicht pronostieken'!$E63)</f>
        <v>0</v>
      </c>
      <c r="AG63" s="166">
        <f>COUNTIF(Berekening!AE$51:AE$66,'Overzicht pronostieken'!$E63)</f>
        <v>0</v>
      </c>
      <c r="AH63" s="166">
        <f>COUNTIF(Berekening!AF$51:AF$66,'Overzicht pronostieken'!$E63)</f>
        <v>0</v>
      </c>
      <c r="AI63" s="166">
        <f>COUNTIF(Berekening!AG$51:AG$66,'Overzicht pronostieken'!$E63)</f>
        <v>0</v>
      </c>
      <c r="AJ63" s="166">
        <f>COUNTIF(Berekening!AH$51:AH$66,'Overzicht pronostieken'!$E63)</f>
        <v>0</v>
      </c>
      <c r="AK63" s="166">
        <f>COUNTIF(Berekening!AI$51:AI$66,'Overzicht pronostieken'!$E63)</f>
        <v>0</v>
      </c>
      <c r="AL63" s="166">
        <f>COUNTIF(Berekening!AJ$51:AJ$66,'Overzicht pronostieken'!$E63)</f>
        <v>0</v>
      </c>
      <c r="AM63" s="166">
        <f>COUNTIF(Berekening!AK$51:AK$66,'Overzicht pronostieken'!$E63)</f>
        <v>0</v>
      </c>
      <c r="AN63" s="166">
        <f>COUNTIF(Berekening!AL$51:AL$66,'Overzicht pronostieken'!$E63)</f>
        <v>0</v>
      </c>
      <c r="AO63" s="166">
        <f>COUNTIF(Berekening!AM$51:AM$66,'Overzicht pronostieken'!$E63)</f>
        <v>0</v>
      </c>
      <c r="AP63" s="166">
        <f>COUNTIF(Berekening!AN$51:AN$66,'Overzicht pronostieken'!$E63)</f>
        <v>0</v>
      </c>
      <c r="AQ63" s="166">
        <f>COUNTIF(Berekening!AO$51:AO$66,'Overzicht pronostieken'!$E63)</f>
        <v>0</v>
      </c>
      <c r="AR63" s="166">
        <f>COUNTIF(Berekening!AP$51:AP$66,'Overzicht pronostieken'!$E63)</f>
        <v>0</v>
      </c>
      <c r="AS63" s="166">
        <f>COUNTIF(Berekening!AQ$51:AQ$66,'Overzicht pronostieken'!$E63)</f>
        <v>0</v>
      </c>
      <c r="AT63" s="166">
        <f>COUNTIF(Berekening!AR$51:AR$66,'Overzicht pronostieken'!$E63)</f>
        <v>0</v>
      </c>
      <c r="AU63" s="166">
        <f>COUNTIF(Berekening!AS$51:AS$66,'Overzicht pronostieken'!$E63)</f>
        <v>0</v>
      </c>
      <c r="AV63" s="166">
        <f>COUNTIF(Berekening!AT$51:AT$66,'Overzicht pronostieken'!$E63)</f>
        <v>0</v>
      </c>
    </row>
    <row r="64" spans="5:48">
      <c r="E64" s="161" t="s">
        <v>1647</v>
      </c>
      <c r="F64" s="161">
        <f t="shared" si="1"/>
        <v>12</v>
      </c>
      <c r="G64" s="166">
        <f>COUNTIF(Berekening!E$51:E$66,'Overzicht pronostieken'!$E64)</f>
        <v>1</v>
      </c>
      <c r="H64" s="166">
        <f>COUNTIF(Berekening!F$51:F$66,'Overzicht pronostieken'!$E64)</f>
        <v>1</v>
      </c>
      <c r="I64" s="166">
        <f>COUNTIF(Berekening!G$51:G$66,'Overzicht pronostieken'!$E64)</f>
        <v>1</v>
      </c>
      <c r="J64" s="166">
        <f>COUNTIF(Berekening!H$51:H$66,'Overzicht pronostieken'!$E64)</f>
        <v>1</v>
      </c>
      <c r="K64" s="166">
        <f>COUNTIF(Berekening!I$51:I$66,'Overzicht pronostieken'!$E64)</f>
        <v>1</v>
      </c>
      <c r="L64" s="166">
        <f>COUNTIF(Berekening!J$51:J$66,'Overzicht pronostieken'!$E64)</f>
        <v>0</v>
      </c>
      <c r="M64" s="166">
        <f>COUNTIF(Berekening!K$51:K$66,'Overzicht pronostieken'!$E64)</f>
        <v>0</v>
      </c>
      <c r="N64" s="166">
        <f>COUNTIF(Berekening!L$51:L$66,'Overzicht pronostieken'!$E64)</f>
        <v>0</v>
      </c>
      <c r="O64" s="166">
        <f>COUNTIF(Berekening!M$51:M$66,'Overzicht pronostieken'!$E64)</f>
        <v>1</v>
      </c>
      <c r="P64" s="166">
        <f>COUNTIF(Berekening!N$51:N$66,'Overzicht pronostieken'!$E64)</f>
        <v>1</v>
      </c>
      <c r="Q64" s="166">
        <f>COUNTIF(Berekening!O$51:O$66,'Overzicht pronostieken'!$E64)</f>
        <v>0</v>
      </c>
      <c r="R64" s="166">
        <f>COUNTIF(Berekening!P$51:P$66,'Overzicht pronostieken'!$E64)</f>
        <v>1</v>
      </c>
      <c r="S64" s="166">
        <f>COUNTIF(Berekening!Q$51:Q$66,'Overzicht pronostieken'!$E64)</f>
        <v>1</v>
      </c>
      <c r="T64" s="166">
        <f>COUNTIF(Berekening!R$51:R$66,'Overzicht pronostieken'!$E64)</f>
        <v>1</v>
      </c>
      <c r="U64" s="166">
        <f>COUNTIF(Berekening!S$51:S$66,'Overzicht pronostieken'!$E64)</f>
        <v>1</v>
      </c>
      <c r="V64" s="166">
        <f>COUNTIF(Berekening!T$51:T$66,'Overzicht pronostieken'!$E64)</f>
        <v>1</v>
      </c>
      <c r="W64" s="166">
        <f>COUNTIF(Berekening!U$51:U$66,'Overzicht pronostieken'!$E64)</f>
        <v>0</v>
      </c>
      <c r="X64" s="166">
        <f>COUNTIF(Berekening!V$51:V$66,'Overzicht pronostieken'!$E64)</f>
        <v>0</v>
      </c>
      <c r="Y64" s="166">
        <f>COUNTIF(Berekening!W$51:W$66,'Overzicht pronostieken'!$E64)</f>
        <v>0</v>
      </c>
      <c r="Z64" s="166">
        <f>COUNTIF(Berekening!X$51:X$66,'Overzicht pronostieken'!$E64)</f>
        <v>0</v>
      </c>
      <c r="AA64" s="166">
        <f>COUNTIF(Berekening!Y$51:Y$66,'Overzicht pronostieken'!$E64)</f>
        <v>0</v>
      </c>
      <c r="AB64" s="166">
        <f>COUNTIF(Berekening!Z$51:Z$66,'Overzicht pronostieken'!$E64)</f>
        <v>0</v>
      </c>
      <c r="AC64" s="166">
        <f>COUNTIF(Berekening!AA$51:AA$66,'Overzicht pronostieken'!$E64)</f>
        <v>0</v>
      </c>
      <c r="AD64" s="166">
        <f>COUNTIF(Berekening!AB$51:AB$66,'Overzicht pronostieken'!$E64)</f>
        <v>0</v>
      </c>
      <c r="AE64" s="166">
        <f>COUNTIF(Berekening!AC$51:AC$66,'Overzicht pronostieken'!$E64)</f>
        <v>0</v>
      </c>
      <c r="AF64" s="166">
        <f>COUNTIF(Berekening!AD$51:AD$66,'Overzicht pronostieken'!$E64)</f>
        <v>0</v>
      </c>
      <c r="AG64" s="166">
        <f>COUNTIF(Berekening!AE$51:AE$66,'Overzicht pronostieken'!$E64)</f>
        <v>0</v>
      </c>
      <c r="AH64" s="166">
        <f>COUNTIF(Berekening!AF$51:AF$66,'Overzicht pronostieken'!$E64)</f>
        <v>0</v>
      </c>
      <c r="AI64" s="166">
        <f>COUNTIF(Berekening!AG$51:AG$66,'Overzicht pronostieken'!$E64)</f>
        <v>0</v>
      </c>
      <c r="AJ64" s="166">
        <f>COUNTIF(Berekening!AH$51:AH$66,'Overzicht pronostieken'!$E64)</f>
        <v>0</v>
      </c>
      <c r="AK64" s="166">
        <f>COUNTIF(Berekening!AI$51:AI$66,'Overzicht pronostieken'!$E64)</f>
        <v>0</v>
      </c>
      <c r="AL64" s="166">
        <f>COUNTIF(Berekening!AJ$51:AJ$66,'Overzicht pronostieken'!$E64)</f>
        <v>0</v>
      </c>
      <c r="AM64" s="166">
        <f>COUNTIF(Berekening!AK$51:AK$66,'Overzicht pronostieken'!$E64)</f>
        <v>0</v>
      </c>
      <c r="AN64" s="166">
        <f>COUNTIF(Berekening!AL$51:AL$66,'Overzicht pronostieken'!$E64)</f>
        <v>0</v>
      </c>
      <c r="AO64" s="166">
        <f>COUNTIF(Berekening!AM$51:AM$66,'Overzicht pronostieken'!$E64)</f>
        <v>0</v>
      </c>
      <c r="AP64" s="166">
        <f>COUNTIF(Berekening!AN$51:AN$66,'Overzicht pronostieken'!$E64)</f>
        <v>0</v>
      </c>
      <c r="AQ64" s="166">
        <f>COUNTIF(Berekening!AO$51:AO$66,'Overzicht pronostieken'!$E64)</f>
        <v>0</v>
      </c>
      <c r="AR64" s="166">
        <f>COUNTIF(Berekening!AP$51:AP$66,'Overzicht pronostieken'!$E64)</f>
        <v>0</v>
      </c>
      <c r="AS64" s="166">
        <f>COUNTIF(Berekening!AQ$51:AQ$66,'Overzicht pronostieken'!$E64)</f>
        <v>0</v>
      </c>
      <c r="AT64" s="166">
        <f>COUNTIF(Berekening!AR$51:AR$66,'Overzicht pronostieken'!$E64)</f>
        <v>0</v>
      </c>
      <c r="AU64" s="166">
        <f>COUNTIF(Berekening!AS$51:AS$66,'Overzicht pronostieken'!$E64)</f>
        <v>0</v>
      </c>
      <c r="AV64" s="166">
        <f>COUNTIF(Berekening!AT$51:AT$66,'Overzicht pronostieken'!$E64)</f>
        <v>0</v>
      </c>
    </row>
    <row r="65" spans="3:48">
      <c r="E65" s="161" t="s">
        <v>1262</v>
      </c>
      <c r="F65" s="161">
        <f t="shared" si="1"/>
        <v>15</v>
      </c>
      <c r="G65" s="166">
        <f>COUNTIF(Berekening!E$51:E$66,'Overzicht pronostieken'!$E65)</f>
        <v>1</v>
      </c>
      <c r="H65" s="166">
        <f>COUNTIF(Berekening!F$51:F$66,'Overzicht pronostieken'!$E65)</f>
        <v>1</v>
      </c>
      <c r="I65" s="166">
        <f>COUNTIF(Berekening!G$51:G$66,'Overzicht pronostieken'!$E65)</f>
        <v>1</v>
      </c>
      <c r="J65" s="166">
        <f>COUNTIF(Berekening!H$51:H$66,'Overzicht pronostieken'!$E65)</f>
        <v>1</v>
      </c>
      <c r="K65" s="166">
        <f>COUNTIF(Berekening!I$51:I$66,'Overzicht pronostieken'!$E65)</f>
        <v>1</v>
      </c>
      <c r="L65" s="166">
        <f>COUNTIF(Berekening!J$51:J$66,'Overzicht pronostieken'!$E65)</f>
        <v>1</v>
      </c>
      <c r="M65" s="166">
        <f>COUNTIF(Berekening!K$51:K$66,'Overzicht pronostieken'!$E65)</f>
        <v>1</v>
      </c>
      <c r="N65" s="166">
        <f>COUNTIF(Berekening!L$51:L$66,'Overzicht pronostieken'!$E65)</f>
        <v>1</v>
      </c>
      <c r="O65" s="166">
        <f>COUNTIF(Berekening!M$51:M$66,'Overzicht pronostieken'!$E65)</f>
        <v>1</v>
      </c>
      <c r="P65" s="166">
        <f>COUNTIF(Berekening!N$51:N$66,'Overzicht pronostieken'!$E65)</f>
        <v>1</v>
      </c>
      <c r="Q65" s="166">
        <f>COUNTIF(Berekening!O$51:O$66,'Overzicht pronostieken'!$E65)</f>
        <v>1</v>
      </c>
      <c r="R65" s="166">
        <f>COUNTIF(Berekening!P$51:P$66,'Overzicht pronostieken'!$E65)</f>
        <v>1</v>
      </c>
      <c r="S65" s="166">
        <f>COUNTIF(Berekening!Q$51:Q$66,'Overzicht pronostieken'!$E65)</f>
        <v>1</v>
      </c>
      <c r="T65" s="166">
        <f>COUNTIF(Berekening!R$51:R$66,'Overzicht pronostieken'!$E65)</f>
        <v>1</v>
      </c>
      <c r="U65" s="166">
        <f>COUNTIF(Berekening!S$51:S$66,'Overzicht pronostieken'!$E65)</f>
        <v>1</v>
      </c>
      <c r="V65" s="166">
        <f>COUNTIF(Berekening!T$51:T$66,'Overzicht pronostieken'!$E65)</f>
        <v>0</v>
      </c>
      <c r="W65" s="166">
        <f>COUNTIF(Berekening!U$51:U$66,'Overzicht pronostieken'!$E65)</f>
        <v>0</v>
      </c>
      <c r="X65" s="166">
        <f>COUNTIF(Berekening!V$51:V$66,'Overzicht pronostieken'!$E65)</f>
        <v>0</v>
      </c>
      <c r="Y65" s="166">
        <f>COUNTIF(Berekening!W$51:W$66,'Overzicht pronostieken'!$E65)</f>
        <v>0</v>
      </c>
      <c r="Z65" s="166">
        <f>COUNTIF(Berekening!X$51:X$66,'Overzicht pronostieken'!$E65)</f>
        <v>0</v>
      </c>
      <c r="AA65" s="166">
        <f>COUNTIF(Berekening!Y$51:Y$66,'Overzicht pronostieken'!$E65)</f>
        <v>0</v>
      </c>
      <c r="AB65" s="166">
        <f>COUNTIF(Berekening!Z$51:Z$66,'Overzicht pronostieken'!$E65)</f>
        <v>0</v>
      </c>
      <c r="AC65" s="166">
        <f>COUNTIF(Berekening!AA$51:AA$66,'Overzicht pronostieken'!$E65)</f>
        <v>0</v>
      </c>
      <c r="AD65" s="166">
        <f>COUNTIF(Berekening!AB$51:AB$66,'Overzicht pronostieken'!$E65)</f>
        <v>0</v>
      </c>
      <c r="AE65" s="166">
        <f>COUNTIF(Berekening!AC$51:AC$66,'Overzicht pronostieken'!$E65)</f>
        <v>0</v>
      </c>
      <c r="AF65" s="166">
        <f>COUNTIF(Berekening!AD$51:AD$66,'Overzicht pronostieken'!$E65)</f>
        <v>0</v>
      </c>
      <c r="AG65" s="166">
        <f>COUNTIF(Berekening!AE$51:AE$66,'Overzicht pronostieken'!$E65)</f>
        <v>0</v>
      </c>
      <c r="AH65" s="166">
        <f>COUNTIF(Berekening!AF$51:AF$66,'Overzicht pronostieken'!$E65)</f>
        <v>0</v>
      </c>
      <c r="AI65" s="166">
        <f>COUNTIF(Berekening!AG$51:AG$66,'Overzicht pronostieken'!$E65)</f>
        <v>0</v>
      </c>
      <c r="AJ65" s="166">
        <f>COUNTIF(Berekening!AH$51:AH$66,'Overzicht pronostieken'!$E65)</f>
        <v>0</v>
      </c>
      <c r="AK65" s="166">
        <f>COUNTIF(Berekening!AI$51:AI$66,'Overzicht pronostieken'!$E65)</f>
        <v>0</v>
      </c>
      <c r="AL65" s="166">
        <f>COUNTIF(Berekening!AJ$51:AJ$66,'Overzicht pronostieken'!$E65)</f>
        <v>0</v>
      </c>
      <c r="AM65" s="166">
        <f>COUNTIF(Berekening!AK$51:AK$66,'Overzicht pronostieken'!$E65)</f>
        <v>0</v>
      </c>
      <c r="AN65" s="166">
        <f>COUNTIF(Berekening!AL$51:AL$66,'Overzicht pronostieken'!$E65)</f>
        <v>0</v>
      </c>
      <c r="AO65" s="166">
        <f>COUNTIF(Berekening!AM$51:AM$66,'Overzicht pronostieken'!$E65)</f>
        <v>0</v>
      </c>
      <c r="AP65" s="166">
        <f>COUNTIF(Berekening!AN$51:AN$66,'Overzicht pronostieken'!$E65)</f>
        <v>0</v>
      </c>
      <c r="AQ65" s="166">
        <f>COUNTIF(Berekening!AO$51:AO$66,'Overzicht pronostieken'!$E65)</f>
        <v>0</v>
      </c>
      <c r="AR65" s="166">
        <f>COUNTIF(Berekening!AP$51:AP$66,'Overzicht pronostieken'!$E65)</f>
        <v>0</v>
      </c>
      <c r="AS65" s="166">
        <f>COUNTIF(Berekening!AQ$51:AQ$66,'Overzicht pronostieken'!$E65)</f>
        <v>0</v>
      </c>
      <c r="AT65" s="166">
        <f>COUNTIF(Berekening!AR$51:AR$66,'Overzicht pronostieken'!$E65)</f>
        <v>0</v>
      </c>
      <c r="AU65" s="166">
        <f>COUNTIF(Berekening!AS$51:AS$66,'Overzicht pronostieken'!$E65)</f>
        <v>0</v>
      </c>
      <c r="AV65" s="166">
        <f>COUNTIF(Berekening!AT$51:AT$66,'Overzicht pronostieken'!$E65)</f>
        <v>0</v>
      </c>
    </row>
    <row r="68" spans="3:48">
      <c r="C68" s="167" t="s">
        <v>2973</v>
      </c>
    </row>
    <row r="69" spans="3:48" ht="32">
      <c r="G69" s="162" t="str">
        <f t="shared" ref="G69:AV69" si="2">G2</f>
        <v>Sam</v>
      </c>
      <c r="H69" s="162" t="str">
        <f t="shared" si="2"/>
        <v>Matthias</v>
      </c>
      <c r="I69" s="162" t="str">
        <f t="shared" si="2"/>
        <v>Billy</v>
      </c>
      <c r="J69" s="162" t="str">
        <f t="shared" si="2"/>
        <v>Timon</v>
      </c>
      <c r="K69" s="162" t="str">
        <f t="shared" si="2"/>
        <v>Bavo</v>
      </c>
      <c r="L69" s="162" t="str">
        <f t="shared" si="2"/>
        <v>Lowie</v>
      </c>
      <c r="M69" s="162" t="str">
        <f t="shared" si="2"/>
        <v>Stijn</v>
      </c>
      <c r="N69" s="162" t="str">
        <f t="shared" si="2"/>
        <v>Tom</v>
      </c>
      <c r="O69" s="162" t="str">
        <f t="shared" si="2"/>
        <v>Cas</v>
      </c>
      <c r="P69" s="162" t="str">
        <f t="shared" si="2"/>
        <v>Dean</v>
      </c>
      <c r="Q69" s="162" t="str">
        <f t="shared" si="2"/>
        <v>Jannes</v>
      </c>
      <c r="R69" s="162" t="str">
        <f t="shared" si="2"/>
        <v>Jens</v>
      </c>
      <c r="S69" s="162" t="str">
        <f t="shared" si="2"/>
        <v>Louis</v>
      </c>
      <c r="T69" s="162" t="str">
        <f t="shared" si="2"/>
        <v>Ruben</v>
      </c>
      <c r="U69" s="162" t="str">
        <f t="shared" si="2"/>
        <v>Karl</v>
      </c>
      <c r="V69" s="162" t="str">
        <f t="shared" si="2"/>
        <v>Seppe</v>
      </c>
      <c r="W69" s="162" t="str">
        <f t="shared" si="2"/>
        <v>deelnemer 17</v>
      </c>
      <c r="X69" s="162" t="str">
        <f t="shared" si="2"/>
        <v>deelnemer 18</v>
      </c>
      <c r="Y69" s="162" t="str">
        <f t="shared" si="2"/>
        <v>deelnemer 19</v>
      </c>
      <c r="Z69" s="162" t="str">
        <f t="shared" si="2"/>
        <v>deelnemer 20</v>
      </c>
      <c r="AA69" s="162" t="str">
        <f t="shared" si="2"/>
        <v>deelnemer 21</v>
      </c>
      <c r="AB69" s="162" t="str">
        <f t="shared" si="2"/>
        <v>deelnemer 22</v>
      </c>
      <c r="AC69" s="162" t="str">
        <f t="shared" si="2"/>
        <v>deelnemer 23</v>
      </c>
      <c r="AD69" s="162" t="str">
        <f t="shared" si="2"/>
        <v>deelnemer 24</v>
      </c>
      <c r="AE69" s="162" t="str">
        <f t="shared" si="2"/>
        <v>deelnemer 25</v>
      </c>
      <c r="AF69" s="162" t="str">
        <f t="shared" si="2"/>
        <v>deelnemer 26</v>
      </c>
      <c r="AG69" s="162" t="str">
        <f t="shared" si="2"/>
        <v>deelnemer 27</v>
      </c>
      <c r="AH69" s="162" t="str">
        <f t="shared" si="2"/>
        <v>deelnemer 28</v>
      </c>
      <c r="AI69" s="162" t="str">
        <f t="shared" si="2"/>
        <v>deelnemer 29</v>
      </c>
      <c r="AJ69" s="162" t="str">
        <f t="shared" si="2"/>
        <v>deelnemer 30</v>
      </c>
      <c r="AK69" s="162" t="str">
        <f t="shared" si="2"/>
        <v>deelnemer 31</v>
      </c>
      <c r="AL69" s="162" t="str">
        <f t="shared" si="2"/>
        <v>deelnemer 32</v>
      </c>
      <c r="AM69" s="162" t="str">
        <f t="shared" si="2"/>
        <v>deelnemer 33</v>
      </c>
      <c r="AN69" s="162" t="str">
        <f t="shared" si="2"/>
        <v>deelnemer 34</v>
      </c>
      <c r="AO69" s="162" t="str">
        <f t="shared" si="2"/>
        <v>deelnemer 35</v>
      </c>
      <c r="AP69" s="162" t="str">
        <f t="shared" si="2"/>
        <v>deelnemer 36</v>
      </c>
      <c r="AQ69" s="162" t="str">
        <f t="shared" si="2"/>
        <v>deelnemer 37</v>
      </c>
      <c r="AR69" s="162" t="str">
        <f t="shared" si="2"/>
        <v>deelnemer 38</v>
      </c>
      <c r="AS69" s="162" t="str">
        <f t="shared" si="2"/>
        <v>deelnemer 39</v>
      </c>
      <c r="AT69" s="162" t="str">
        <f t="shared" si="2"/>
        <v>deelnemer 40</v>
      </c>
      <c r="AU69" s="162" t="str">
        <f t="shared" si="2"/>
        <v>deelnemer 41</v>
      </c>
      <c r="AV69" s="162" t="str">
        <f t="shared" si="2"/>
        <v>deelnemer 42</v>
      </c>
    </row>
    <row r="70" spans="3:48">
      <c r="E70" s="161" t="s">
        <v>1608</v>
      </c>
      <c r="F70" s="161">
        <f t="shared" ref="F70:F93" si="3">SUM(G70:AV70)</f>
        <v>0</v>
      </c>
      <c r="G70" s="168">
        <f>COUNTIF(Berekening!E$67:E$74,'Overzicht pronostieken'!$E70)</f>
        <v>0</v>
      </c>
      <c r="H70" s="168">
        <f>COUNTIF(Berekening!F$67:F$74,'Overzicht pronostieken'!$E70)</f>
        <v>0</v>
      </c>
      <c r="I70" s="168">
        <f>COUNTIF(Berekening!G$67:G$74,'Overzicht pronostieken'!$E70)</f>
        <v>0</v>
      </c>
      <c r="J70" s="168">
        <f>COUNTIF(Berekening!H$67:H$74,'Overzicht pronostieken'!$E70)</f>
        <v>0</v>
      </c>
      <c r="K70" s="168">
        <f>COUNTIF(Berekening!I$67:I$74,'Overzicht pronostieken'!$E70)</f>
        <v>0</v>
      </c>
      <c r="L70" s="168">
        <f>COUNTIF(Berekening!J$67:J$74,'Overzicht pronostieken'!$E70)</f>
        <v>0</v>
      </c>
      <c r="M70" s="168">
        <f>COUNTIF(Berekening!K$67:K$74,'Overzicht pronostieken'!$E70)</f>
        <v>0</v>
      </c>
      <c r="N70" s="168">
        <f>COUNTIF(Berekening!L$67:L$74,'Overzicht pronostieken'!$E70)</f>
        <v>0</v>
      </c>
      <c r="O70" s="168">
        <f>COUNTIF(Berekening!M$67:M$74,'Overzicht pronostieken'!$E70)</f>
        <v>0</v>
      </c>
      <c r="P70" s="168">
        <f>COUNTIF(Berekening!N$67:N$74,'Overzicht pronostieken'!$E70)</f>
        <v>0</v>
      </c>
      <c r="Q70" s="168">
        <f>COUNTIF(Berekening!O$67:O$74,'Overzicht pronostieken'!$E70)</f>
        <v>0</v>
      </c>
      <c r="R70" s="168">
        <f>COUNTIF(Berekening!P$67:P$74,'Overzicht pronostieken'!$E70)</f>
        <v>0</v>
      </c>
      <c r="S70" s="168">
        <f>COUNTIF(Berekening!Q$67:Q$74,'Overzicht pronostieken'!$E70)</f>
        <v>0</v>
      </c>
      <c r="T70" s="168">
        <f>COUNTIF(Berekening!R$67:R$74,'Overzicht pronostieken'!$E70)</f>
        <v>0</v>
      </c>
      <c r="U70" s="168">
        <f>COUNTIF(Berekening!S$67:S$74,'Overzicht pronostieken'!$E70)</f>
        <v>0</v>
      </c>
      <c r="V70" s="168">
        <f>COUNTIF(Berekening!T$67:T$74,'Overzicht pronostieken'!$E70)</f>
        <v>0</v>
      </c>
      <c r="W70" s="168">
        <f>COUNTIF(Berekening!U$67:U$74,'Overzicht pronostieken'!$E70)</f>
        <v>0</v>
      </c>
      <c r="X70" s="168">
        <f>COUNTIF(Berekening!V$67:V$74,'Overzicht pronostieken'!$E70)</f>
        <v>0</v>
      </c>
      <c r="Y70" s="168">
        <f>COUNTIF(Berekening!W$67:W$74,'Overzicht pronostieken'!$E70)</f>
        <v>0</v>
      </c>
      <c r="Z70" s="168">
        <f>COUNTIF(Berekening!X$67:X$74,'Overzicht pronostieken'!$E70)</f>
        <v>0</v>
      </c>
      <c r="AA70" s="168">
        <f>COUNTIF(Berekening!Y$67:Y$74,'Overzicht pronostieken'!$E70)</f>
        <v>0</v>
      </c>
      <c r="AB70" s="168">
        <f>COUNTIF(Berekening!Z$67:Z$74,'Overzicht pronostieken'!$E70)</f>
        <v>0</v>
      </c>
      <c r="AC70" s="168">
        <f>COUNTIF(Berekening!AA$67:AA$74,'Overzicht pronostieken'!$E70)</f>
        <v>0</v>
      </c>
      <c r="AD70" s="168">
        <f>COUNTIF(Berekening!AB$67:AB$74,'Overzicht pronostieken'!$E70)</f>
        <v>0</v>
      </c>
      <c r="AE70" s="168">
        <f>COUNTIF(Berekening!AC$67:AC$74,'Overzicht pronostieken'!$E70)</f>
        <v>0</v>
      </c>
      <c r="AF70" s="168">
        <f>COUNTIF(Berekening!AD$67:AD$74,'Overzicht pronostieken'!$E70)</f>
        <v>0</v>
      </c>
      <c r="AG70" s="168">
        <f>COUNTIF(Berekening!AE$67:AE$74,'Overzicht pronostieken'!$E70)</f>
        <v>0</v>
      </c>
      <c r="AH70" s="168">
        <f>COUNTIF(Berekening!AF$67:AF$74,'Overzicht pronostieken'!$E70)</f>
        <v>0</v>
      </c>
      <c r="AI70" s="168">
        <f>COUNTIF(Berekening!AG$67:AG$74,'Overzicht pronostieken'!$E70)</f>
        <v>0</v>
      </c>
      <c r="AJ70" s="168">
        <f>COUNTIF(Berekening!AH$67:AH$74,'Overzicht pronostieken'!$E70)</f>
        <v>0</v>
      </c>
      <c r="AK70" s="168">
        <f>COUNTIF(Berekening!AI$67:AI$74,'Overzicht pronostieken'!$E70)</f>
        <v>0</v>
      </c>
      <c r="AL70" s="168">
        <f>COUNTIF(Berekening!AJ$67:AJ$74,'Overzicht pronostieken'!$E70)</f>
        <v>0</v>
      </c>
      <c r="AM70" s="168">
        <f>COUNTIF(Berekening!AK$67:AK$74,'Overzicht pronostieken'!$E70)</f>
        <v>0</v>
      </c>
      <c r="AN70" s="168">
        <f>COUNTIF(Berekening!AL$67:AL$74,'Overzicht pronostieken'!$E70)</f>
        <v>0</v>
      </c>
      <c r="AO70" s="168">
        <f>COUNTIF(Berekening!AM$67:AM$74,'Overzicht pronostieken'!$E70)</f>
        <v>0</v>
      </c>
      <c r="AP70" s="168">
        <f>COUNTIF(Berekening!AN$67:AN$74,'Overzicht pronostieken'!$E70)</f>
        <v>0</v>
      </c>
      <c r="AQ70" s="168">
        <f>COUNTIF(Berekening!AO$67:AO$74,'Overzicht pronostieken'!$E70)</f>
        <v>0</v>
      </c>
      <c r="AR70" s="168">
        <f>COUNTIF(Berekening!AP$67:AP$74,'Overzicht pronostieken'!$E70)</f>
        <v>0</v>
      </c>
      <c r="AS70" s="168">
        <f>COUNTIF(Berekening!AQ$67:AQ$74,'Overzicht pronostieken'!$E70)</f>
        <v>0</v>
      </c>
      <c r="AT70" s="168">
        <f>COUNTIF(Berekening!AR$67:AR$74,'Overzicht pronostieken'!$E70)</f>
        <v>0</v>
      </c>
      <c r="AU70" s="168">
        <f>COUNTIF(Berekening!AS$67:AS$74,'Overzicht pronostieken'!$E70)</f>
        <v>0</v>
      </c>
      <c r="AV70" s="168">
        <f>COUNTIF(Berekening!AT$67:AT$74,'Overzicht pronostieken'!$E70)</f>
        <v>0</v>
      </c>
    </row>
    <row r="71" spans="3:48">
      <c r="E71" s="161" t="s">
        <v>1168</v>
      </c>
      <c r="F71" s="161">
        <f t="shared" si="3"/>
        <v>1</v>
      </c>
      <c r="G71" s="168">
        <f>COUNTIF(Berekening!E$67:E$74,'Overzicht pronostieken'!$E71)</f>
        <v>0</v>
      </c>
      <c r="H71" s="168">
        <f>COUNTIF(Berekening!F$67:F$74,'Overzicht pronostieken'!$E71)</f>
        <v>0</v>
      </c>
      <c r="I71" s="168">
        <f>COUNTIF(Berekening!G$67:G$74,'Overzicht pronostieken'!$E71)</f>
        <v>0</v>
      </c>
      <c r="J71" s="168">
        <f>COUNTIF(Berekening!H$67:H$74,'Overzicht pronostieken'!$E71)</f>
        <v>0</v>
      </c>
      <c r="K71" s="168">
        <f>COUNTIF(Berekening!I$67:I$74,'Overzicht pronostieken'!$E71)</f>
        <v>0</v>
      </c>
      <c r="L71" s="168">
        <f>COUNTIF(Berekening!J$67:J$74,'Overzicht pronostieken'!$E71)</f>
        <v>1</v>
      </c>
      <c r="M71" s="168">
        <f>COUNTIF(Berekening!K$67:K$74,'Overzicht pronostieken'!$E71)</f>
        <v>0</v>
      </c>
      <c r="N71" s="168">
        <f>COUNTIF(Berekening!L$67:L$74,'Overzicht pronostieken'!$E71)</f>
        <v>0</v>
      </c>
      <c r="O71" s="168">
        <f>COUNTIF(Berekening!M$67:M$74,'Overzicht pronostieken'!$E71)</f>
        <v>0</v>
      </c>
      <c r="P71" s="168">
        <f>COUNTIF(Berekening!N$67:N$74,'Overzicht pronostieken'!$E71)</f>
        <v>0</v>
      </c>
      <c r="Q71" s="168">
        <f>COUNTIF(Berekening!O$67:O$74,'Overzicht pronostieken'!$E71)</f>
        <v>0</v>
      </c>
      <c r="R71" s="168">
        <f>COUNTIF(Berekening!P$67:P$74,'Overzicht pronostieken'!$E71)</f>
        <v>0</v>
      </c>
      <c r="S71" s="168">
        <f>COUNTIF(Berekening!Q$67:Q$74,'Overzicht pronostieken'!$E71)</f>
        <v>0</v>
      </c>
      <c r="T71" s="168">
        <f>COUNTIF(Berekening!R$67:R$74,'Overzicht pronostieken'!$E71)</f>
        <v>0</v>
      </c>
      <c r="U71" s="168">
        <f>COUNTIF(Berekening!S$67:S$74,'Overzicht pronostieken'!$E71)</f>
        <v>0</v>
      </c>
      <c r="V71" s="168">
        <f>COUNTIF(Berekening!T$67:T$74,'Overzicht pronostieken'!$E71)</f>
        <v>0</v>
      </c>
      <c r="W71" s="168">
        <f>COUNTIF(Berekening!U$67:U$74,'Overzicht pronostieken'!$E71)</f>
        <v>0</v>
      </c>
      <c r="X71" s="168">
        <f>COUNTIF(Berekening!V$67:V$74,'Overzicht pronostieken'!$E71)</f>
        <v>0</v>
      </c>
      <c r="Y71" s="168">
        <f>COUNTIF(Berekening!W$67:W$74,'Overzicht pronostieken'!$E71)</f>
        <v>0</v>
      </c>
      <c r="Z71" s="168">
        <f>COUNTIF(Berekening!X$67:X$74,'Overzicht pronostieken'!$E71)</f>
        <v>0</v>
      </c>
      <c r="AA71" s="168">
        <f>COUNTIF(Berekening!Y$67:Y$74,'Overzicht pronostieken'!$E71)</f>
        <v>0</v>
      </c>
      <c r="AB71" s="168">
        <f>COUNTIF(Berekening!Z$67:Z$74,'Overzicht pronostieken'!$E71)</f>
        <v>0</v>
      </c>
      <c r="AC71" s="168">
        <f>COUNTIF(Berekening!AA$67:AA$74,'Overzicht pronostieken'!$E71)</f>
        <v>0</v>
      </c>
      <c r="AD71" s="168">
        <f>COUNTIF(Berekening!AB$67:AB$74,'Overzicht pronostieken'!$E71)</f>
        <v>0</v>
      </c>
      <c r="AE71" s="168">
        <f>COUNTIF(Berekening!AC$67:AC$74,'Overzicht pronostieken'!$E71)</f>
        <v>0</v>
      </c>
      <c r="AF71" s="168">
        <f>COUNTIF(Berekening!AD$67:AD$74,'Overzicht pronostieken'!$E71)</f>
        <v>0</v>
      </c>
      <c r="AG71" s="168">
        <f>COUNTIF(Berekening!AE$67:AE$74,'Overzicht pronostieken'!$E71)</f>
        <v>0</v>
      </c>
      <c r="AH71" s="168">
        <f>COUNTIF(Berekening!AF$67:AF$74,'Overzicht pronostieken'!$E71)</f>
        <v>0</v>
      </c>
      <c r="AI71" s="168">
        <f>COUNTIF(Berekening!AG$67:AG$74,'Overzicht pronostieken'!$E71)</f>
        <v>0</v>
      </c>
      <c r="AJ71" s="168">
        <f>COUNTIF(Berekening!AH$67:AH$74,'Overzicht pronostieken'!$E71)</f>
        <v>0</v>
      </c>
      <c r="AK71" s="168">
        <f>COUNTIF(Berekening!AI$67:AI$74,'Overzicht pronostieken'!$E71)</f>
        <v>0</v>
      </c>
      <c r="AL71" s="168">
        <f>COUNTIF(Berekening!AJ$67:AJ$74,'Overzicht pronostieken'!$E71)</f>
        <v>0</v>
      </c>
      <c r="AM71" s="168">
        <f>COUNTIF(Berekening!AK$67:AK$74,'Overzicht pronostieken'!$E71)</f>
        <v>0</v>
      </c>
      <c r="AN71" s="168">
        <f>COUNTIF(Berekening!AL$67:AL$74,'Overzicht pronostieken'!$E71)</f>
        <v>0</v>
      </c>
      <c r="AO71" s="168">
        <f>COUNTIF(Berekening!AM$67:AM$74,'Overzicht pronostieken'!$E71)</f>
        <v>0</v>
      </c>
      <c r="AP71" s="168">
        <f>COUNTIF(Berekening!AN$67:AN$74,'Overzicht pronostieken'!$E71)</f>
        <v>0</v>
      </c>
      <c r="AQ71" s="168">
        <f>COUNTIF(Berekening!AO$67:AO$74,'Overzicht pronostieken'!$E71)</f>
        <v>0</v>
      </c>
      <c r="AR71" s="168">
        <f>COUNTIF(Berekening!AP$67:AP$74,'Overzicht pronostieken'!$E71)</f>
        <v>0</v>
      </c>
      <c r="AS71" s="168">
        <f>COUNTIF(Berekening!AQ$67:AQ$74,'Overzicht pronostieken'!$E71)</f>
        <v>0</v>
      </c>
      <c r="AT71" s="168">
        <f>COUNTIF(Berekening!AR$67:AR$74,'Overzicht pronostieken'!$E71)</f>
        <v>0</v>
      </c>
      <c r="AU71" s="168">
        <f>COUNTIF(Berekening!AS$67:AS$74,'Overzicht pronostieken'!$E71)</f>
        <v>0</v>
      </c>
      <c r="AV71" s="168">
        <f>COUNTIF(Berekening!AT$67:AT$74,'Overzicht pronostieken'!$E71)</f>
        <v>0</v>
      </c>
    </row>
    <row r="72" spans="3:48">
      <c r="E72" s="161" t="s">
        <v>1399</v>
      </c>
      <c r="F72" s="161">
        <f t="shared" si="3"/>
        <v>0</v>
      </c>
      <c r="G72" s="168">
        <f>COUNTIF(Berekening!E$67:E$74,'Overzicht pronostieken'!$E72)</f>
        <v>0</v>
      </c>
      <c r="H72" s="168">
        <f>COUNTIF(Berekening!F$67:F$74,'Overzicht pronostieken'!$E72)</f>
        <v>0</v>
      </c>
      <c r="I72" s="168">
        <f>COUNTIF(Berekening!G$67:G$74,'Overzicht pronostieken'!$E72)</f>
        <v>0</v>
      </c>
      <c r="J72" s="168">
        <f>COUNTIF(Berekening!H$67:H$74,'Overzicht pronostieken'!$E72)</f>
        <v>0</v>
      </c>
      <c r="K72" s="168">
        <f>COUNTIF(Berekening!I$67:I$74,'Overzicht pronostieken'!$E72)</f>
        <v>0</v>
      </c>
      <c r="L72" s="168">
        <f>COUNTIF(Berekening!J$67:J$74,'Overzicht pronostieken'!$E72)</f>
        <v>0</v>
      </c>
      <c r="M72" s="168">
        <f>COUNTIF(Berekening!K$67:K$74,'Overzicht pronostieken'!$E72)</f>
        <v>0</v>
      </c>
      <c r="N72" s="168">
        <f>COUNTIF(Berekening!L$67:L$74,'Overzicht pronostieken'!$E72)</f>
        <v>0</v>
      </c>
      <c r="O72" s="168">
        <f>COUNTIF(Berekening!M$67:M$74,'Overzicht pronostieken'!$E72)</f>
        <v>0</v>
      </c>
      <c r="P72" s="168">
        <f>COUNTIF(Berekening!N$67:N$74,'Overzicht pronostieken'!$E72)</f>
        <v>0</v>
      </c>
      <c r="Q72" s="168">
        <f>COUNTIF(Berekening!O$67:O$74,'Overzicht pronostieken'!$E72)</f>
        <v>0</v>
      </c>
      <c r="R72" s="168">
        <f>COUNTIF(Berekening!P$67:P$74,'Overzicht pronostieken'!$E72)</f>
        <v>0</v>
      </c>
      <c r="S72" s="168">
        <f>COUNTIF(Berekening!Q$67:Q$74,'Overzicht pronostieken'!$E72)</f>
        <v>0</v>
      </c>
      <c r="T72" s="168">
        <f>COUNTIF(Berekening!R$67:R$74,'Overzicht pronostieken'!$E72)</f>
        <v>0</v>
      </c>
      <c r="U72" s="168">
        <f>COUNTIF(Berekening!S$67:S$74,'Overzicht pronostieken'!$E72)</f>
        <v>0</v>
      </c>
      <c r="V72" s="168">
        <f>COUNTIF(Berekening!T$67:T$74,'Overzicht pronostieken'!$E72)</f>
        <v>0</v>
      </c>
      <c r="W72" s="168">
        <f>COUNTIF(Berekening!U$67:U$74,'Overzicht pronostieken'!$E72)</f>
        <v>0</v>
      </c>
      <c r="X72" s="168">
        <f>COUNTIF(Berekening!V$67:V$74,'Overzicht pronostieken'!$E72)</f>
        <v>0</v>
      </c>
      <c r="Y72" s="168">
        <f>COUNTIF(Berekening!W$67:W$74,'Overzicht pronostieken'!$E72)</f>
        <v>0</v>
      </c>
      <c r="Z72" s="168">
        <f>COUNTIF(Berekening!X$67:X$74,'Overzicht pronostieken'!$E72)</f>
        <v>0</v>
      </c>
      <c r="AA72" s="168">
        <f>COUNTIF(Berekening!Y$67:Y$74,'Overzicht pronostieken'!$E72)</f>
        <v>0</v>
      </c>
      <c r="AB72" s="168">
        <f>COUNTIF(Berekening!Z$67:Z$74,'Overzicht pronostieken'!$E72)</f>
        <v>0</v>
      </c>
      <c r="AC72" s="168">
        <f>COUNTIF(Berekening!AA$67:AA$74,'Overzicht pronostieken'!$E72)</f>
        <v>0</v>
      </c>
      <c r="AD72" s="168">
        <f>COUNTIF(Berekening!AB$67:AB$74,'Overzicht pronostieken'!$E72)</f>
        <v>0</v>
      </c>
      <c r="AE72" s="168">
        <f>COUNTIF(Berekening!AC$67:AC$74,'Overzicht pronostieken'!$E72)</f>
        <v>0</v>
      </c>
      <c r="AF72" s="168">
        <f>COUNTIF(Berekening!AD$67:AD$74,'Overzicht pronostieken'!$E72)</f>
        <v>0</v>
      </c>
      <c r="AG72" s="168">
        <f>COUNTIF(Berekening!AE$67:AE$74,'Overzicht pronostieken'!$E72)</f>
        <v>0</v>
      </c>
      <c r="AH72" s="168">
        <f>COUNTIF(Berekening!AF$67:AF$74,'Overzicht pronostieken'!$E72)</f>
        <v>0</v>
      </c>
      <c r="AI72" s="168">
        <f>COUNTIF(Berekening!AG$67:AG$74,'Overzicht pronostieken'!$E72)</f>
        <v>0</v>
      </c>
      <c r="AJ72" s="168">
        <f>COUNTIF(Berekening!AH$67:AH$74,'Overzicht pronostieken'!$E72)</f>
        <v>0</v>
      </c>
      <c r="AK72" s="168">
        <f>COUNTIF(Berekening!AI$67:AI$74,'Overzicht pronostieken'!$E72)</f>
        <v>0</v>
      </c>
      <c r="AL72" s="168">
        <f>COUNTIF(Berekening!AJ$67:AJ$74,'Overzicht pronostieken'!$E72)</f>
        <v>0</v>
      </c>
      <c r="AM72" s="168">
        <f>COUNTIF(Berekening!AK$67:AK$74,'Overzicht pronostieken'!$E72)</f>
        <v>0</v>
      </c>
      <c r="AN72" s="168">
        <f>COUNTIF(Berekening!AL$67:AL$74,'Overzicht pronostieken'!$E72)</f>
        <v>0</v>
      </c>
      <c r="AO72" s="168">
        <f>COUNTIF(Berekening!AM$67:AM$74,'Overzicht pronostieken'!$E72)</f>
        <v>0</v>
      </c>
      <c r="AP72" s="168">
        <f>COUNTIF(Berekening!AN$67:AN$74,'Overzicht pronostieken'!$E72)</f>
        <v>0</v>
      </c>
      <c r="AQ72" s="168">
        <f>COUNTIF(Berekening!AO$67:AO$74,'Overzicht pronostieken'!$E72)</f>
        <v>0</v>
      </c>
      <c r="AR72" s="168">
        <f>COUNTIF(Berekening!AP$67:AP$74,'Overzicht pronostieken'!$E72)</f>
        <v>0</v>
      </c>
      <c r="AS72" s="168">
        <f>COUNTIF(Berekening!AQ$67:AQ$74,'Overzicht pronostieken'!$E72)</f>
        <v>0</v>
      </c>
      <c r="AT72" s="168">
        <f>COUNTIF(Berekening!AR$67:AR$74,'Overzicht pronostieken'!$E72)</f>
        <v>0</v>
      </c>
      <c r="AU72" s="168">
        <f>COUNTIF(Berekening!AS$67:AS$74,'Overzicht pronostieken'!$E72)</f>
        <v>0</v>
      </c>
      <c r="AV72" s="168">
        <f>COUNTIF(Berekening!AT$67:AT$74,'Overzicht pronostieken'!$E72)</f>
        <v>0</v>
      </c>
    </row>
    <row r="73" spans="3:48">
      <c r="E73" s="161" t="s">
        <v>1468</v>
      </c>
      <c r="F73" s="161">
        <f t="shared" si="3"/>
        <v>16</v>
      </c>
      <c r="G73" s="168">
        <f>COUNTIF(Berekening!E$67:E$74,'Overzicht pronostieken'!$E73)</f>
        <v>1</v>
      </c>
      <c r="H73" s="168">
        <f>COUNTIF(Berekening!F$67:F$74,'Overzicht pronostieken'!$E73)</f>
        <v>1</v>
      </c>
      <c r="I73" s="168">
        <f>COUNTIF(Berekening!G$67:G$74,'Overzicht pronostieken'!$E73)</f>
        <v>1</v>
      </c>
      <c r="J73" s="168">
        <f>COUNTIF(Berekening!H$67:H$74,'Overzicht pronostieken'!$E73)</f>
        <v>1</v>
      </c>
      <c r="K73" s="168">
        <f>COUNTIF(Berekening!I$67:I$74,'Overzicht pronostieken'!$E73)</f>
        <v>1</v>
      </c>
      <c r="L73" s="168">
        <f>COUNTIF(Berekening!J$67:J$74,'Overzicht pronostieken'!$E73)</f>
        <v>1</v>
      </c>
      <c r="M73" s="168">
        <f>COUNTIF(Berekening!K$67:K$74,'Overzicht pronostieken'!$E73)</f>
        <v>1</v>
      </c>
      <c r="N73" s="168">
        <f>COUNTIF(Berekening!L$67:L$74,'Overzicht pronostieken'!$E73)</f>
        <v>1</v>
      </c>
      <c r="O73" s="168">
        <f>COUNTIF(Berekening!M$67:M$74,'Overzicht pronostieken'!$E73)</f>
        <v>1</v>
      </c>
      <c r="P73" s="168">
        <f>COUNTIF(Berekening!N$67:N$74,'Overzicht pronostieken'!$E73)</f>
        <v>1</v>
      </c>
      <c r="Q73" s="168">
        <f>COUNTIF(Berekening!O$67:O$74,'Overzicht pronostieken'!$E73)</f>
        <v>1</v>
      </c>
      <c r="R73" s="168">
        <f>COUNTIF(Berekening!P$67:P$74,'Overzicht pronostieken'!$E73)</f>
        <v>1</v>
      </c>
      <c r="S73" s="168">
        <f>COUNTIF(Berekening!Q$67:Q$74,'Overzicht pronostieken'!$E73)</f>
        <v>1</v>
      </c>
      <c r="T73" s="168">
        <f>COUNTIF(Berekening!R$67:R$74,'Overzicht pronostieken'!$E73)</f>
        <v>1</v>
      </c>
      <c r="U73" s="168">
        <f>COUNTIF(Berekening!S$67:S$74,'Overzicht pronostieken'!$E73)</f>
        <v>1</v>
      </c>
      <c r="V73" s="168">
        <f>COUNTIF(Berekening!T$67:T$74,'Overzicht pronostieken'!$E73)</f>
        <v>1</v>
      </c>
      <c r="W73" s="168">
        <f>COUNTIF(Berekening!U$67:U$74,'Overzicht pronostieken'!$E73)</f>
        <v>0</v>
      </c>
      <c r="X73" s="168">
        <f>COUNTIF(Berekening!V$67:V$74,'Overzicht pronostieken'!$E73)</f>
        <v>0</v>
      </c>
      <c r="Y73" s="168">
        <f>COUNTIF(Berekening!W$67:W$74,'Overzicht pronostieken'!$E73)</f>
        <v>0</v>
      </c>
      <c r="Z73" s="168">
        <f>COUNTIF(Berekening!X$67:X$74,'Overzicht pronostieken'!$E73)</f>
        <v>0</v>
      </c>
      <c r="AA73" s="168">
        <f>COUNTIF(Berekening!Y$67:Y$74,'Overzicht pronostieken'!$E73)</f>
        <v>0</v>
      </c>
      <c r="AB73" s="168">
        <f>COUNTIF(Berekening!Z$67:Z$74,'Overzicht pronostieken'!$E73)</f>
        <v>0</v>
      </c>
      <c r="AC73" s="168">
        <f>COUNTIF(Berekening!AA$67:AA$74,'Overzicht pronostieken'!$E73)</f>
        <v>0</v>
      </c>
      <c r="AD73" s="168">
        <f>COUNTIF(Berekening!AB$67:AB$74,'Overzicht pronostieken'!$E73)</f>
        <v>0</v>
      </c>
      <c r="AE73" s="168">
        <f>COUNTIF(Berekening!AC$67:AC$74,'Overzicht pronostieken'!$E73)</f>
        <v>0</v>
      </c>
      <c r="AF73" s="168">
        <f>COUNTIF(Berekening!AD$67:AD$74,'Overzicht pronostieken'!$E73)</f>
        <v>0</v>
      </c>
      <c r="AG73" s="168">
        <f>COUNTIF(Berekening!AE$67:AE$74,'Overzicht pronostieken'!$E73)</f>
        <v>0</v>
      </c>
      <c r="AH73" s="168">
        <f>COUNTIF(Berekening!AF$67:AF$74,'Overzicht pronostieken'!$E73)</f>
        <v>0</v>
      </c>
      <c r="AI73" s="168">
        <f>COUNTIF(Berekening!AG$67:AG$74,'Overzicht pronostieken'!$E73)</f>
        <v>0</v>
      </c>
      <c r="AJ73" s="168">
        <f>COUNTIF(Berekening!AH$67:AH$74,'Overzicht pronostieken'!$E73)</f>
        <v>0</v>
      </c>
      <c r="AK73" s="168">
        <f>COUNTIF(Berekening!AI$67:AI$74,'Overzicht pronostieken'!$E73)</f>
        <v>0</v>
      </c>
      <c r="AL73" s="168">
        <f>COUNTIF(Berekening!AJ$67:AJ$74,'Overzicht pronostieken'!$E73)</f>
        <v>0</v>
      </c>
      <c r="AM73" s="168">
        <f>COUNTIF(Berekening!AK$67:AK$74,'Overzicht pronostieken'!$E73)</f>
        <v>0</v>
      </c>
      <c r="AN73" s="168">
        <f>COUNTIF(Berekening!AL$67:AL$74,'Overzicht pronostieken'!$E73)</f>
        <v>0</v>
      </c>
      <c r="AO73" s="168">
        <f>COUNTIF(Berekening!AM$67:AM$74,'Overzicht pronostieken'!$E73)</f>
        <v>0</v>
      </c>
      <c r="AP73" s="168">
        <f>COUNTIF(Berekening!AN$67:AN$74,'Overzicht pronostieken'!$E73)</f>
        <v>0</v>
      </c>
      <c r="AQ73" s="168">
        <f>COUNTIF(Berekening!AO$67:AO$74,'Overzicht pronostieken'!$E73)</f>
        <v>0</v>
      </c>
      <c r="AR73" s="168">
        <f>COUNTIF(Berekening!AP$67:AP$74,'Overzicht pronostieken'!$E73)</f>
        <v>0</v>
      </c>
      <c r="AS73" s="168">
        <f>COUNTIF(Berekening!AQ$67:AQ$74,'Overzicht pronostieken'!$E73)</f>
        <v>0</v>
      </c>
      <c r="AT73" s="168">
        <f>COUNTIF(Berekening!AR$67:AR$74,'Overzicht pronostieken'!$E73)</f>
        <v>0</v>
      </c>
      <c r="AU73" s="168">
        <f>COUNTIF(Berekening!AS$67:AS$74,'Overzicht pronostieken'!$E73)</f>
        <v>0</v>
      </c>
      <c r="AV73" s="168">
        <f>COUNTIF(Berekening!AT$67:AT$74,'Overzicht pronostieken'!$E73)</f>
        <v>0</v>
      </c>
    </row>
    <row r="74" spans="3:48">
      <c r="E74" s="161" t="s">
        <v>1113</v>
      </c>
      <c r="F74" s="161">
        <f t="shared" si="3"/>
        <v>7</v>
      </c>
      <c r="G74" s="168">
        <f>COUNTIF(Berekening!E$67:E$74,'Overzicht pronostieken'!$E74)</f>
        <v>1</v>
      </c>
      <c r="H74" s="168">
        <f>COUNTIF(Berekening!F$67:F$74,'Overzicht pronostieken'!$E74)</f>
        <v>1</v>
      </c>
      <c r="I74" s="168">
        <f>COUNTIF(Berekening!G$67:G$74,'Overzicht pronostieken'!$E74)</f>
        <v>0</v>
      </c>
      <c r="J74" s="168">
        <f>COUNTIF(Berekening!H$67:H$74,'Overzicht pronostieken'!$E74)</f>
        <v>1</v>
      </c>
      <c r="K74" s="168">
        <f>COUNTIF(Berekening!I$67:I$74,'Overzicht pronostieken'!$E74)</f>
        <v>0</v>
      </c>
      <c r="L74" s="168">
        <f>COUNTIF(Berekening!J$67:J$74,'Overzicht pronostieken'!$E74)</f>
        <v>0</v>
      </c>
      <c r="M74" s="168">
        <f>COUNTIF(Berekening!K$67:K$74,'Overzicht pronostieken'!$E74)</f>
        <v>1</v>
      </c>
      <c r="N74" s="168">
        <f>COUNTIF(Berekening!L$67:L$74,'Overzicht pronostieken'!$E74)</f>
        <v>0</v>
      </c>
      <c r="O74" s="168">
        <f>COUNTIF(Berekening!M$67:M$74,'Overzicht pronostieken'!$E74)</f>
        <v>1</v>
      </c>
      <c r="P74" s="168">
        <f>COUNTIF(Berekening!N$67:N$74,'Overzicht pronostieken'!$E74)</f>
        <v>0</v>
      </c>
      <c r="Q74" s="168">
        <f>COUNTIF(Berekening!O$67:O$74,'Overzicht pronostieken'!$E74)</f>
        <v>1</v>
      </c>
      <c r="R74" s="168">
        <f>COUNTIF(Berekening!P$67:P$74,'Overzicht pronostieken'!$E74)</f>
        <v>0</v>
      </c>
      <c r="S74" s="168">
        <f>COUNTIF(Berekening!Q$67:Q$74,'Overzicht pronostieken'!$E74)</f>
        <v>0</v>
      </c>
      <c r="T74" s="168">
        <f>COUNTIF(Berekening!R$67:R$74,'Overzicht pronostieken'!$E74)</f>
        <v>1</v>
      </c>
      <c r="U74" s="168">
        <f>COUNTIF(Berekening!S$67:S$74,'Overzicht pronostieken'!$E74)</f>
        <v>0</v>
      </c>
      <c r="V74" s="168">
        <f>COUNTIF(Berekening!T$67:T$74,'Overzicht pronostieken'!$E74)</f>
        <v>0</v>
      </c>
      <c r="W74" s="168">
        <f>COUNTIF(Berekening!U$67:U$74,'Overzicht pronostieken'!$E74)</f>
        <v>0</v>
      </c>
      <c r="X74" s="168">
        <f>COUNTIF(Berekening!V$67:V$74,'Overzicht pronostieken'!$E74)</f>
        <v>0</v>
      </c>
      <c r="Y74" s="168">
        <f>COUNTIF(Berekening!W$67:W$74,'Overzicht pronostieken'!$E74)</f>
        <v>0</v>
      </c>
      <c r="Z74" s="168">
        <f>COUNTIF(Berekening!X$67:X$74,'Overzicht pronostieken'!$E74)</f>
        <v>0</v>
      </c>
      <c r="AA74" s="168">
        <f>COUNTIF(Berekening!Y$67:Y$74,'Overzicht pronostieken'!$E74)</f>
        <v>0</v>
      </c>
      <c r="AB74" s="168">
        <f>COUNTIF(Berekening!Z$67:Z$74,'Overzicht pronostieken'!$E74)</f>
        <v>0</v>
      </c>
      <c r="AC74" s="168">
        <f>COUNTIF(Berekening!AA$67:AA$74,'Overzicht pronostieken'!$E74)</f>
        <v>0</v>
      </c>
      <c r="AD74" s="168">
        <f>COUNTIF(Berekening!AB$67:AB$74,'Overzicht pronostieken'!$E74)</f>
        <v>0</v>
      </c>
      <c r="AE74" s="168">
        <f>COUNTIF(Berekening!AC$67:AC$74,'Overzicht pronostieken'!$E74)</f>
        <v>0</v>
      </c>
      <c r="AF74" s="168">
        <f>COUNTIF(Berekening!AD$67:AD$74,'Overzicht pronostieken'!$E74)</f>
        <v>0</v>
      </c>
      <c r="AG74" s="168">
        <f>COUNTIF(Berekening!AE$67:AE$74,'Overzicht pronostieken'!$E74)</f>
        <v>0</v>
      </c>
      <c r="AH74" s="168">
        <f>COUNTIF(Berekening!AF$67:AF$74,'Overzicht pronostieken'!$E74)</f>
        <v>0</v>
      </c>
      <c r="AI74" s="168">
        <f>COUNTIF(Berekening!AG$67:AG$74,'Overzicht pronostieken'!$E74)</f>
        <v>0</v>
      </c>
      <c r="AJ74" s="168">
        <f>COUNTIF(Berekening!AH$67:AH$74,'Overzicht pronostieken'!$E74)</f>
        <v>0</v>
      </c>
      <c r="AK74" s="168">
        <f>COUNTIF(Berekening!AI$67:AI$74,'Overzicht pronostieken'!$E74)</f>
        <v>0</v>
      </c>
      <c r="AL74" s="168">
        <f>COUNTIF(Berekening!AJ$67:AJ$74,'Overzicht pronostieken'!$E74)</f>
        <v>0</v>
      </c>
      <c r="AM74" s="168">
        <f>COUNTIF(Berekening!AK$67:AK$74,'Overzicht pronostieken'!$E74)</f>
        <v>0</v>
      </c>
      <c r="AN74" s="168">
        <f>COUNTIF(Berekening!AL$67:AL$74,'Overzicht pronostieken'!$E74)</f>
        <v>0</v>
      </c>
      <c r="AO74" s="168">
        <f>COUNTIF(Berekening!AM$67:AM$74,'Overzicht pronostieken'!$E74)</f>
        <v>0</v>
      </c>
      <c r="AP74" s="168">
        <f>COUNTIF(Berekening!AN$67:AN$74,'Overzicht pronostieken'!$E74)</f>
        <v>0</v>
      </c>
      <c r="AQ74" s="168">
        <f>COUNTIF(Berekening!AO$67:AO$74,'Overzicht pronostieken'!$E74)</f>
        <v>0</v>
      </c>
      <c r="AR74" s="168">
        <f>COUNTIF(Berekening!AP$67:AP$74,'Overzicht pronostieken'!$E74)</f>
        <v>0</v>
      </c>
      <c r="AS74" s="168">
        <f>COUNTIF(Berekening!AQ$67:AQ$74,'Overzicht pronostieken'!$E74)</f>
        <v>0</v>
      </c>
      <c r="AT74" s="168">
        <f>COUNTIF(Berekening!AR$67:AR$74,'Overzicht pronostieken'!$E74)</f>
        <v>0</v>
      </c>
      <c r="AU74" s="168">
        <f>COUNTIF(Berekening!AS$67:AS$74,'Overzicht pronostieken'!$E74)</f>
        <v>0</v>
      </c>
      <c r="AV74" s="168">
        <f>COUNTIF(Berekening!AT$67:AT$74,'Overzicht pronostieken'!$E74)</f>
        <v>0</v>
      </c>
    </row>
    <row r="75" spans="3:48">
      <c r="E75" s="161" t="s">
        <v>1077</v>
      </c>
      <c r="F75" s="161">
        <f t="shared" si="3"/>
        <v>16</v>
      </c>
      <c r="G75" s="168">
        <f>COUNTIF(Berekening!E$67:E$74,'Overzicht pronostieken'!$E75)</f>
        <v>1</v>
      </c>
      <c r="H75" s="168">
        <f>COUNTIF(Berekening!F$67:F$74,'Overzicht pronostieken'!$E75)</f>
        <v>1</v>
      </c>
      <c r="I75" s="168">
        <f>COUNTIF(Berekening!G$67:G$74,'Overzicht pronostieken'!$E75)</f>
        <v>1</v>
      </c>
      <c r="J75" s="168">
        <f>COUNTIF(Berekening!H$67:H$74,'Overzicht pronostieken'!$E75)</f>
        <v>1</v>
      </c>
      <c r="K75" s="168">
        <f>COUNTIF(Berekening!I$67:I$74,'Overzicht pronostieken'!$E75)</f>
        <v>1</v>
      </c>
      <c r="L75" s="168">
        <f>COUNTIF(Berekening!J$67:J$74,'Overzicht pronostieken'!$E75)</f>
        <v>1</v>
      </c>
      <c r="M75" s="168">
        <f>COUNTIF(Berekening!K$67:K$74,'Overzicht pronostieken'!$E75)</f>
        <v>1</v>
      </c>
      <c r="N75" s="168">
        <f>COUNTIF(Berekening!L$67:L$74,'Overzicht pronostieken'!$E75)</f>
        <v>1</v>
      </c>
      <c r="O75" s="168">
        <f>COUNTIF(Berekening!M$67:M$74,'Overzicht pronostieken'!$E75)</f>
        <v>1</v>
      </c>
      <c r="P75" s="168">
        <f>COUNTIF(Berekening!N$67:N$74,'Overzicht pronostieken'!$E75)</f>
        <v>1</v>
      </c>
      <c r="Q75" s="168">
        <f>COUNTIF(Berekening!O$67:O$74,'Overzicht pronostieken'!$E75)</f>
        <v>1</v>
      </c>
      <c r="R75" s="168">
        <f>COUNTIF(Berekening!P$67:P$74,'Overzicht pronostieken'!$E75)</f>
        <v>1</v>
      </c>
      <c r="S75" s="168">
        <f>COUNTIF(Berekening!Q$67:Q$74,'Overzicht pronostieken'!$E75)</f>
        <v>1</v>
      </c>
      <c r="T75" s="168">
        <f>COUNTIF(Berekening!R$67:R$74,'Overzicht pronostieken'!$E75)</f>
        <v>1</v>
      </c>
      <c r="U75" s="168">
        <f>COUNTIF(Berekening!S$67:S$74,'Overzicht pronostieken'!$E75)</f>
        <v>1</v>
      </c>
      <c r="V75" s="168">
        <f>COUNTIF(Berekening!T$67:T$74,'Overzicht pronostieken'!$E75)</f>
        <v>1</v>
      </c>
      <c r="W75" s="168">
        <f>COUNTIF(Berekening!U$67:U$74,'Overzicht pronostieken'!$E75)</f>
        <v>0</v>
      </c>
      <c r="X75" s="168">
        <f>COUNTIF(Berekening!V$67:V$74,'Overzicht pronostieken'!$E75)</f>
        <v>0</v>
      </c>
      <c r="Y75" s="168">
        <f>COUNTIF(Berekening!W$67:W$74,'Overzicht pronostieken'!$E75)</f>
        <v>0</v>
      </c>
      <c r="Z75" s="168">
        <f>COUNTIF(Berekening!X$67:X$74,'Overzicht pronostieken'!$E75)</f>
        <v>0</v>
      </c>
      <c r="AA75" s="168">
        <f>COUNTIF(Berekening!Y$67:Y$74,'Overzicht pronostieken'!$E75)</f>
        <v>0</v>
      </c>
      <c r="AB75" s="168">
        <f>COUNTIF(Berekening!Z$67:Z$74,'Overzicht pronostieken'!$E75)</f>
        <v>0</v>
      </c>
      <c r="AC75" s="168">
        <f>COUNTIF(Berekening!AA$67:AA$74,'Overzicht pronostieken'!$E75)</f>
        <v>0</v>
      </c>
      <c r="AD75" s="168">
        <f>COUNTIF(Berekening!AB$67:AB$74,'Overzicht pronostieken'!$E75)</f>
        <v>0</v>
      </c>
      <c r="AE75" s="168">
        <f>COUNTIF(Berekening!AC$67:AC$74,'Overzicht pronostieken'!$E75)</f>
        <v>0</v>
      </c>
      <c r="AF75" s="168">
        <f>COUNTIF(Berekening!AD$67:AD$74,'Overzicht pronostieken'!$E75)</f>
        <v>0</v>
      </c>
      <c r="AG75" s="168">
        <f>COUNTIF(Berekening!AE$67:AE$74,'Overzicht pronostieken'!$E75)</f>
        <v>0</v>
      </c>
      <c r="AH75" s="168">
        <f>COUNTIF(Berekening!AF$67:AF$74,'Overzicht pronostieken'!$E75)</f>
        <v>0</v>
      </c>
      <c r="AI75" s="168">
        <f>COUNTIF(Berekening!AG$67:AG$74,'Overzicht pronostieken'!$E75)</f>
        <v>0</v>
      </c>
      <c r="AJ75" s="168">
        <f>COUNTIF(Berekening!AH$67:AH$74,'Overzicht pronostieken'!$E75)</f>
        <v>0</v>
      </c>
      <c r="AK75" s="168">
        <f>COUNTIF(Berekening!AI$67:AI$74,'Overzicht pronostieken'!$E75)</f>
        <v>0</v>
      </c>
      <c r="AL75" s="168">
        <f>COUNTIF(Berekening!AJ$67:AJ$74,'Overzicht pronostieken'!$E75)</f>
        <v>0</v>
      </c>
      <c r="AM75" s="168">
        <f>COUNTIF(Berekening!AK$67:AK$74,'Overzicht pronostieken'!$E75)</f>
        <v>0</v>
      </c>
      <c r="AN75" s="168">
        <f>COUNTIF(Berekening!AL$67:AL$74,'Overzicht pronostieken'!$E75)</f>
        <v>0</v>
      </c>
      <c r="AO75" s="168">
        <f>COUNTIF(Berekening!AM$67:AM$74,'Overzicht pronostieken'!$E75)</f>
        <v>0</v>
      </c>
      <c r="AP75" s="168">
        <f>COUNTIF(Berekening!AN$67:AN$74,'Overzicht pronostieken'!$E75)</f>
        <v>0</v>
      </c>
      <c r="AQ75" s="168">
        <f>COUNTIF(Berekening!AO$67:AO$74,'Overzicht pronostieken'!$E75)</f>
        <v>0</v>
      </c>
      <c r="AR75" s="168">
        <f>COUNTIF(Berekening!AP$67:AP$74,'Overzicht pronostieken'!$E75)</f>
        <v>0</v>
      </c>
      <c r="AS75" s="168">
        <f>COUNTIF(Berekening!AQ$67:AQ$74,'Overzicht pronostieken'!$E75)</f>
        <v>0</v>
      </c>
      <c r="AT75" s="168">
        <f>COUNTIF(Berekening!AR$67:AR$74,'Overzicht pronostieken'!$E75)</f>
        <v>0</v>
      </c>
      <c r="AU75" s="168">
        <f>COUNTIF(Berekening!AS$67:AS$74,'Overzicht pronostieken'!$E75)</f>
        <v>0</v>
      </c>
      <c r="AV75" s="168">
        <f>COUNTIF(Berekening!AT$67:AT$74,'Overzicht pronostieken'!$E75)</f>
        <v>0</v>
      </c>
    </row>
    <row r="76" spans="3:48">
      <c r="E76" s="161" t="s">
        <v>1016</v>
      </c>
      <c r="F76" s="161">
        <f t="shared" si="3"/>
        <v>0</v>
      </c>
      <c r="G76" s="168">
        <f>COUNTIF(Berekening!E$67:E$74,'Overzicht pronostieken'!$E76)</f>
        <v>0</v>
      </c>
      <c r="H76" s="168">
        <f>COUNTIF(Berekening!F$67:F$74,'Overzicht pronostieken'!$E76)</f>
        <v>0</v>
      </c>
      <c r="I76" s="168">
        <f>COUNTIF(Berekening!G$67:G$74,'Overzicht pronostieken'!$E76)</f>
        <v>0</v>
      </c>
      <c r="J76" s="168">
        <f>COUNTIF(Berekening!H$67:H$74,'Overzicht pronostieken'!$E76)</f>
        <v>0</v>
      </c>
      <c r="K76" s="168">
        <f>COUNTIF(Berekening!I$67:I$74,'Overzicht pronostieken'!$E76)</f>
        <v>0</v>
      </c>
      <c r="L76" s="168">
        <f>COUNTIF(Berekening!J$67:J$74,'Overzicht pronostieken'!$E76)</f>
        <v>0</v>
      </c>
      <c r="M76" s="168">
        <f>COUNTIF(Berekening!K$67:K$74,'Overzicht pronostieken'!$E76)</f>
        <v>0</v>
      </c>
      <c r="N76" s="168">
        <f>COUNTIF(Berekening!L$67:L$74,'Overzicht pronostieken'!$E76)</f>
        <v>0</v>
      </c>
      <c r="O76" s="168">
        <f>COUNTIF(Berekening!M$67:M$74,'Overzicht pronostieken'!$E76)</f>
        <v>0</v>
      </c>
      <c r="P76" s="168">
        <f>COUNTIF(Berekening!N$67:N$74,'Overzicht pronostieken'!$E76)</f>
        <v>0</v>
      </c>
      <c r="Q76" s="168">
        <f>COUNTIF(Berekening!O$67:O$74,'Overzicht pronostieken'!$E76)</f>
        <v>0</v>
      </c>
      <c r="R76" s="168">
        <f>COUNTIF(Berekening!P$67:P$74,'Overzicht pronostieken'!$E76)</f>
        <v>0</v>
      </c>
      <c r="S76" s="168">
        <f>COUNTIF(Berekening!Q$67:Q$74,'Overzicht pronostieken'!$E76)</f>
        <v>0</v>
      </c>
      <c r="T76" s="168">
        <f>COUNTIF(Berekening!R$67:R$74,'Overzicht pronostieken'!$E76)</f>
        <v>0</v>
      </c>
      <c r="U76" s="168">
        <f>COUNTIF(Berekening!S$67:S$74,'Overzicht pronostieken'!$E76)</f>
        <v>0</v>
      </c>
      <c r="V76" s="168">
        <f>COUNTIF(Berekening!T$67:T$74,'Overzicht pronostieken'!$E76)</f>
        <v>0</v>
      </c>
      <c r="W76" s="168">
        <f>COUNTIF(Berekening!U$67:U$74,'Overzicht pronostieken'!$E76)</f>
        <v>0</v>
      </c>
      <c r="X76" s="168">
        <f>COUNTIF(Berekening!V$67:V$74,'Overzicht pronostieken'!$E76)</f>
        <v>0</v>
      </c>
      <c r="Y76" s="168">
        <f>COUNTIF(Berekening!W$67:W$74,'Overzicht pronostieken'!$E76)</f>
        <v>0</v>
      </c>
      <c r="Z76" s="168">
        <f>COUNTIF(Berekening!X$67:X$74,'Overzicht pronostieken'!$E76)</f>
        <v>0</v>
      </c>
      <c r="AA76" s="168">
        <f>COUNTIF(Berekening!Y$67:Y$74,'Overzicht pronostieken'!$E76)</f>
        <v>0</v>
      </c>
      <c r="AB76" s="168">
        <f>COUNTIF(Berekening!Z$67:Z$74,'Overzicht pronostieken'!$E76)</f>
        <v>0</v>
      </c>
      <c r="AC76" s="168">
        <f>COUNTIF(Berekening!AA$67:AA$74,'Overzicht pronostieken'!$E76)</f>
        <v>0</v>
      </c>
      <c r="AD76" s="168">
        <f>COUNTIF(Berekening!AB$67:AB$74,'Overzicht pronostieken'!$E76)</f>
        <v>0</v>
      </c>
      <c r="AE76" s="168">
        <f>COUNTIF(Berekening!AC$67:AC$74,'Overzicht pronostieken'!$E76)</f>
        <v>0</v>
      </c>
      <c r="AF76" s="168">
        <f>COUNTIF(Berekening!AD$67:AD$74,'Overzicht pronostieken'!$E76)</f>
        <v>0</v>
      </c>
      <c r="AG76" s="168">
        <f>COUNTIF(Berekening!AE$67:AE$74,'Overzicht pronostieken'!$E76)</f>
        <v>0</v>
      </c>
      <c r="AH76" s="168">
        <f>COUNTIF(Berekening!AF$67:AF$74,'Overzicht pronostieken'!$E76)</f>
        <v>0</v>
      </c>
      <c r="AI76" s="168">
        <f>COUNTIF(Berekening!AG$67:AG$74,'Overzicht pronostieken'!$E76)</f>
        <v>0</v>
      </c>
      <c r="AJ76" s="168">
        <f>COUNTIF(Berekening!AH$67:AH$74,'Overzicht pronostieken'!$E76)</f>
        <v>0</v>
      </c>
      <c r="AK76" s="168">
        <f>COUNTIF(Berekening!AI$67:AI$74,'Overzicht pronostieken'!$E76)</f>
        <v>0</v>
      </c>
      <c r="AL76" s="168">
        <f>COUNTIF(Berekening!AJ$67:AJ$74,'Overzicht pronostieken'!$E76)</f>
        <v>0</v>
      </c>
      <c r="AM76" s="168">
        <f>COUNTIF(Berekening!AK$67:AK$74,'Overzicht pronostieken'!$E76)</f>
        <v>0</v>
      </c>
      <c r="AN76" s="168">
        <f>COUNTIF(Berekening!AL$67:AL$74,'Overzicht pronostieken'!$E76)</f>
        <v>0</v>
      </c>
      <c r="AO76" s="168">
        <f>COUNTIF(Berekening!AM$67:AM$74,'Overzicht pronostieken'!$E76)</f>
        <v>0</v>
      </c>
      <c r="AP76" s="168">
        <f>COUNTIF(Berekening!AN$67:AN$74,'Overzicht pronostieken'!$E76)</f>
        <v>0</v>
      </c>
      <c r="AQ76" s="168">
        <f>COUNTIF(Berekening!AO$67:AO$74,'Overzicht pronostieken'!$E76)</f>
        <v>0</v>
      </c>
      <c r="AR76" s="168">
        <f>COUNTIF(Berekening!AP$67:AP$74,'Overzicht pronostieken'!$E76)</f>
        <v>0</v>
      </c>
      <c r="AS76" s="168">
        <f>COUNTIF(Berekening!AQ$67:AQ$74,'Overzicht pronostieken'!$E76)</f>
        <v>0</v>
      </c>
      <c r="AT76" s="168">
        <f>COUNTIF(Berekening!AR$67:AR$74,'Overzicht pronostieken'!$E76)</f>
        <v>0</v>
      </c>
      <c r="AU76" s="168">
        <f>COUNTIF(Berekening!AS$67:AS$74,'Overzicht pronostieken'!$E76)</f>
        <v>0</v>
      </c>
      <c r="AV76" s="168">
        <f>COUNTIF(Berekening!AT$67:AT$74,'Overzicht pronostieken'!$E76)</f>
        <v>0</v>
      </c>
    </row>
    <row r="77" spans="3:48">
      <c r="E77" s="161" t="s">
        <v>1533</v>
      </c>
      <c r="F77" s="161">
        <f t="shared" si="3"/>
        <v>9</v>
      </c>
      <c r="G77" s="168">
        <f>COUNTIF(Berekening!E$67:E$74,'Overzicht pronostieken'!$E77)</f>
        <v>0</v>
      </c>
      <c r="H77" s="168">
        <f>COUNTIF(Berekening!F$67:F$74,'Overzicht pronostieken'!$E77)</f>
        <v>0</v>
      </c>
      <c r="I77" s="168">
        <f>COUNTIF(Berekening!G$67:G$74,'Overzicht pronostieken'!$E77)</f>
        <v>1</v>
      </c>
      <c r="J77" s="168">
        <f>COUNTIF(Berekening!H$67:H$74,'Overzicht pronostieken'!$E77)</f>
        <v>0</v>
      </c>
      <c r="K77" s="168">
        <f>COUNTIF(Berekening!I$67:I$74,'Overzicht pronostieken'!$E77)</f>
        <v>1</v>
      </c>
      <c r="L77" s="168">
        <f>COUNTIF(Berekening!J$67:J$74,'Overzicht pronostieken'!$E77)</f>
        <v>0</v>
      </c>
      <c r="M77" s="168">
        <f>COUNTIF(Berekening!K$67:K$74,'Overzicht pronostieken'!$E77)</f>
        <v>0</v>
      </c>
      <c r="N77" s="168">
        <f>COUNTIF(Berekening!L$67:L$74,'Overzicht pronostieken'!$E77)</f>
        <v>1</v>
      </c>
      <c r="O77" s="168">
        <f>COUNTIF(Berekening!M$67:M$74,'Overzicht pronostieken'!$E77)</f>
        <v>1</v>
      </c>
      <c r="P77" s="168">
        <f>COUNTIF(Berekening!N$67:N$74,'Overzicht pronostieken'!$E77)</f>
        <v>1</v>
      </c>
      <c r="Q77" s="168">
        <f>COUNTIF(Berekening!O$67:O$74,'Overzicht pronostieken'!$E77)</f>
        <v>0</v>
      </c>
      <c r="R77" s="168">
        <f>COUNTIF(Berekening!P$67:P$74,'Overzicht pronostieken'!$E77)</f>
        <v>1</v>
      </c>
      <c r="S77" s="168">
        <f>COUNTIF(Berekening!Q$67:Q$74,'Overzicht pronostieken'!$E77)</f>
        <v>1</v>
      </c>
      <c r="T77" s="168">
        <f>COUNTIF(Berekening!R$67:R$74,'Overzicht pronostieken'!$E77)</f>
        <v>0</v>
      </c>
      <c r="U77" s="168">
        <f>COUNTIF(Berekening!S$67:S$74,'Overzicht pronostieken'!$E77)</f>
        <v>1</v>
      </c>
      <c r="V77" s="168">
        <f>COUNTIF(Berekening!T$67:T$74,'Overzicht pronostieken'!$E77)</f>
        <v>1</v>
      </c>
      <c r="W77" s="168">
        <f>COUNTIF(Berekening!U$67:U$74,'Overzicht pronostieken'!$E77)</f>
        <v>0</v>
      </c>
      <c r="X77" s="168">
        <f>COUNTIF(Berekening!V$67:V$74,'Overzicht pronostieken'!$E77)</f>
        <v>0</v>
      </c>
      <c r="Y77" s="168">
        <f>COUNTIF(Berekening!W$67:W$74,'Overzicht pronostieken'!$E77)</f>
        <v>0</v>
      </c>
      <c r="Z77" s="168">
        <f>COUNTIF(Berekening!X$67:X$74,'Overzicht pronostieken'!$E77)</f>
        <v>0</v>
      </c>
      <c r="AA77" s="168">
        <f>COUNTIF(Berekening!Y$67:Y$74,'Overzicht pronostieken'!$E77)</f>
        <v>0</v>
      </c>
      <c r="AB77" s="168">
        <f>COUNTIF(Berekening!Z$67:Z$74,'Overzicht pronostieken'!$E77)</f>
        <v>0</v>
      </c>
      <c r="AC77" s="168">
        <f>COUNTIF(Berekening!AA$67:AA$74,'Overzicht pronostieken'!$E77)</f>
        <v>0</v>
      </c>
      <c r="AD77" s="168">
        <f>COUNTIF(Berekening!AB$67:AB$74,'Overzicht pronostieken'!$E77)</f>
        <v>0</v>
      </c>
      <c r="AE77" s="168">
        <f>COUNTIF(Berekening!AC$67:AC$74,'Overzicht pronostieken'!$E77)</f>
        <v>0</v>
      </c>
      <c r="AF77" s="168">
        <f>COUNTIF(Berekening!AD$67:AD$74,'Overzicht pronostieken'!$E77)</f>
        <v>0</v>
      </c>
      <c r="AG77" s="168">
        <f>COUNTIF(Berekening!AE$67:AE$74,'Overzicht pronostieken'!$E77)</f>
        <v>0</v>
      </c>
      <c r="AH77" s="168">
        <f>COUNTIF(Berekening!AF$67:AF$74,'Overzicht pronostieken'!$E77)</f>
        <v>0</v>
      </c>
      <c r="AI77" s="168">
        <f>COUNTIF(Berekening!AG$67:AG$74,'Overzicht pronostieken'!$E77)</f>
        <v>0</v>
      </c>
      <c r="AJ77" s="168">
        <f>COUNTIF(Berekening!AH$67:AH$74,'Overzicht pronostieken'!$E77)</f>
        <v>0</v>
      </c>
      <c r="AK77" s="168">
        <f>COUNTIF(Berekening!AI$67:AI$74,'Overzicht pronostieken'!$E77)</f>
        <v>0</v>
      </c>
      <c r="AL77" s="168">
        <f>COUNTIF(Berekening!AJ$67:AJ$74,'Overzicht pronostieken'!$E77)</f>
        <v>0</v>
      </c>
      <c r="AM77" s="168">
        <f>COUNTIF(Berekening!AK$67:AK$74,'Overzicht pronostieken'!$E77)</f>
        <v>0</v>
      </c>
      <c r="AN77" s="168">
        <f>COUNTIF(Berekening!AL$67:AL$74,'Overzicht pronostieken'!$E77)</f>
        <v>0</v>
      </c>
      <c r="AO77" s="168">
        <f>COUNTIF(Berekening!AM$67:AM$74,'Overzicht pronostieken'!$E77)</f>
        <v>0</v>
      </c>
      <c r="AP77" s="168">
        <f>COUNTIF(Berekening!AN$67:AN$74,'Overzicht pronostieken'!$E77)</f>
        <v>0</v>
      </c>
      <c r="AQ77" s="168">
        <f>COUNTIF(Berekening!AO$67:AO$74,'Overzicht pronostieken'!$E77)</f>
        <v>0</v>
      </c>
      <c r="AR77" s="168">
        <f>COUNTIF(Berekening!AP$67:AP$74,'Overzicht pronostieken'!$E77)</f>
        <v>0</v>
      </c>
      <c r="AS77" s="168">
        <f>COUNTIF(Berekening!AQ$67:AQ$74,'Overzicht pronostieken'!$E77)</f>
        <v>0</v>
      </c>
      <c r="AT77" s="168">
        <f>COUNTIF(Berekening!AR$67:AR$74,'Overzicht pronostieken'!$E77)</f>
        <v>0</v>
      </c>
      <c r="AU77" s="168">
        <f>COUNTIF(Berekening!AS$67:AS$74,'Overzicht pronostieken'!$E77)</f>
        <v>0</v>
      </c>
      <c r="AV77" s="168">
        <f>COUNTIF(Berekening!AT$67:AT$74,'Overzicht pronostieken'!$E77)</f>
        <v>0</v>
      </c>
    </row>
    <row r="78" spans="3:48">
      <c r="E78" s="161" t="s">
        <v>2630</v>
      </c>
      <c r="F78" s="161">
        <f t="shared" si="3"/>
        <v>0</v>
      </c>
      <c r="G78" s="168">
        <f>COUNTIF(Berekening!E$67:E$74,'Overzicht pronostieken'!$E78)</f>
        <v>0</v>
      </c>
      <c r="H78" s="168">
        <f>COUNTIF(Berekening!F$67:F$74,'Overzicht pronostieken'!$E78)</f>
        <v>0</v>
      </c>
      <c r="I78" s="168">
        <f>COUNTIF(Berekening!G$67:G$74,'Overzicht pronostieken'!$E78)</f>
        <v>0</v>
      </c>
      <c r="J78" s="168">
        <f>COUNTIF(Berekening!H$67:H$74,'Overzicht pronostieken'!$E78)</f>
        <v>0</v>
      </c>
      <c r="K78" s="168">
        <f>COUNTIF(Berekening!I$67:I$74,'Overzicht pronostieken'!$E78)</f>
        <v>0</v>
      </c>
      <c r="L78" s="168">
        <f>COUNTIF(Berekening!J$67:J$74,'Overzicht pronostieken'!$E78)</f>
        <v>0</v>
      </c>
      <c r="M78" s="168">
        <f>COUNTIF(Berekening!K$67:K$74,'Overzicht pronostieken'!$E78)</f>
        <v>0</v>
      </c>
      <c r="N78" s="168">
        <f>COUNTIF(Berekening!L$67:L$74,'Overzicht pronostieken'!$E78)</f>
        <v>0</v>
      </c>
      <c r="O78" s="168">
        <f>COUNTIF(Berekening!M$67:M$74,'Overzicht pronostieken'!$E78)</f>
        <v>0</v>
      </c>
      <c r="P78" s="168">
        <f>COUNTIF(Berekening!N$67:N$74,'Overzicht pronostieken'!$E78)</f>
        <v>0</v>
      </c>
      <c r="Q78" s="168">
        <f>COUNTIF(Berekening!O$67:O$74,'Overzicht pronostieken'!$E78)</f>
        <v>0</v>
      </c>
      <c r="R78" s="168">
        <f>COUNTIF(Berekening!P$67:P$74,'Overzicht pronostieken'!$E78)</f>
        <v>0</v>
      </c>
      <c r="S78" s="168">
        <f>COUNTIF(Berekening!Q$67:Q$74,'Overzicht pronostieken'!$E78)</f>
        <v>0</v>
      </c>
      <c r="T78" s="168">
        <f>COUNTIF(Berekening!R$67:R$74,'Overzicht pronostieken'!$E78)</f>
        <v>0</v>
      </c>
      <c r="U78" s="168">
        <f>COUNTIF(Berekening!S$67:S$74,'Overzicht pronostieken'!$E78)</f>
        <v>0</v>
      </c>
      <c r="V78" s="168">
        <f>COUNTIF(Berekening!T$67:T$74,'Overzicht pronostieken'!$E78)</f>
        <v>0</v>
      </c>
      <c r="W78" s="168">
        <f>COUNTIF(Berekening!U$67:U$74,'Overzicht pronostieken'!$E78)</f>
        <v>0</v>
      </c>
      <c r="X78" s="168">
        <f>COUNTIF(Berekening!V$67:V$74,'Overzicht pronostieken'!$E78)</f>
        <v>0</v>
      </c>
      <c r="Y78" s="168">
        <f>COUNTIF(Berekening!W$67:W$74,'Overzicht pronostieken'!$E78)</f>
        <v>0</v>
      </c>
      <c r="Z78" s="168">
        <f>COUNTIF(Berekening!X$67:X$74,'Overzicht pronostieken'!$E78)</f>
        <v>0</v>
      </c>
      <c r="AA78" s="168">
        <f>COUNTIF(Berekening!Y$67:Y$74,'Overzicht pronostieken'!$E78)</f>
        <v>0</v>
      </c>
      <c r="AB78" s="168">
        <f>COUNTIF(Berekening!Z$67:Z$74,'Overzicht pronostieken'!$E78)</f>
        <v>0</v>
      </c>
      <c r="AC78" s="168">
        <f>COUNTIF(Berekening!AA$67:AA$74,'Overzicht pronostieken'!$E78)</f>
        <v>0</v>
      </c>
      <c r="AD78" s="168">
        <f>COUNTIF(Berekening!AB$67:AB$74,'Overzicht pronostieken'!$E78)</f>
        <v>0</v>
      </c>
      <c r="AE78" s="168">
        <f>COUNTIF(Berekening!AC$67:AC$74,'Overzicht pronostieken'!$E78)</f>
        <v>0</v>
      </c>
      <c r="AF78" s="168">
        <f>COUNTIF(Berekening!AD$67:AD$74,'Overzicht pronostieken'!$E78)</f>
        <v>0</v>
      </c>
      <c r="AG78" s="168">
        <f>COUNTIF(Berekening!AE$67:AE$74,'Overzicht pronostieken'!$E78)</f>
        <v>0</v>
      </c>
      <c r="AH78" s="168">
        <f>COUNTIF(Berekening!AF$67:AF$74,'Overzicht pronostieken'!$E78)</f>
        <v>0</v>
      </c>
      <c r="AI78" s="168">
        <f>COUNTIF(Berekening!AG$67:AG$74,'Overzicht pronostieken'!$E78)</f>
        <v>0</v>
      </c>
      <c r="AJ78" s="168">
        <f>COUNTIF(Berekening!AH$67:AH$74,'Overzicht pronostieken'!$E78)</f>
        <v>0</v>
      </c>
      <c r="AK78" s="168">
        <f>COUNTIF(Berekening!AI$67:AI$74,'Overzicht pronostieken'!$E78)</f>
        <v>0</v>
      </c>
      <c r="AL78" s="168">
        <f>COUNTIF(Berekening!AJ$67:AJ$74,'Overzicht pronostieken'!$E78)</f>
        <v>0</v>
      </c>
      <c r="AM78" s="168">
        <f>COUNTIF(Berekening!AK$67:AK$74,'Overzicht pronostieken'!$E78)</f>
        <v>0</v>
      </c>
      <c r="AN78" s="168">
        <f>COUNTIF(Berekening!AL$67:AL$74,'Overzicht pronostieken'!$E78)</f>
        <v>0</v>
      </c>
      <c r="AO78" s="168">
        <f>COUNTIF(Berekening!AM$67:AM$74,'Overzicht pronostieken'!$E78)</f>
        <v>0</v>
      </c>
      <c r="AP78" s="168">
        <f>COUNTIF(Berekening!AN$67:AN$74,'Overzicht pronostieken'!$E78)</f>
        <v>0</v>
      </c>
      <c r="AQ78" s="168">
        <f>COUNTIF(Berekening!AO$67:AO$74,'Overzicht pronostieken'!$E78)</f>
        <v>0</v>
      </c>
      <c r="AR78" s="168">
        <f>COUNTIF(Berekening!AP$67:AP$74,'Overzicht pronostieken'!$E78)</f>
        <v>0</v>
      </c>
      <c r="AS78" s="168">
        <f>COUNTIF(Berekening!AQ$67:AQ$74,'Overzicht pronostieken'!$E78)</f>
        <v>0</v>
      </c>
      <c r="AT78" s="168">
        <f>COUNTIF(Berekening!AR$67:AR$74,'Overzicht pronostieken'!$E78)</f>
        <v>0</v>
      </c>
      <c r="AU78" s="168">
        <f>COUNTIF(Berekening!AS$67:AS$74,'Overzicht pronostieken'!$E78)</f>
        <v>0</v>
      </c>
      <c r="AV78" s="168">
        <f>COUNTIF(Berekening!AT$67:AT$74,'Overzicht pronostieken'!$E78)</f>
        <v>0</v>
      </c>
    </row>
    <row r="79" spans="3:48">
      <c r="E79" s="161" t="s">
        <v>1206</v>
      </c>
      <c r="F79" s="161">
        <f t="shared" si="3"/>
        <v>0</v>
      </c>
      <c r="G79" s="168">
        <f>COUNTIF(Berekening!E$67:E$74,'Overzicht pronostieken'!$E79)</f>
        <v>0</v>
      </c>
      <c r="H79" s="168">
        <f>COUNTIF(Berekening!F$67:F$74,'Overzicht pronostieken'!$E79)</f>
        <v>0</v>
      </c>
      <c r="I79" s="168">
        <f>COUNTIF(Berekening!G$67:G$74,'Overzicht pronostieken'!$E79)</f>
        <v>0</v>
      </c>
      <c r="J79" s="168">
        <f>COUNTIF(Berekening!H$67:H$74,'Overzicht pronostieken'!$E79)</f>
        <v>0</v>
      </c>
      <c r="K79" s="168">
        <f>COUNTIF(Berekening!I$67:I$74,'Overzicht pronostieken'!$E79)</f>
        <v>0</v>
      </c>
      <c r="L79" s="168">
        <f>COUNTIF(Berekening!J$67:J$74,'Overzicht pronostieken'!$E79)</f>
        <v>0</v>
      </c>
      <c r="M79" s="168">
        <f>COUNTIF(Berekening!K$67:K$74,'Overzicht pronostieken'!$E79)</f>
        <v>0</v>
      </c>
      <c r="N79" s="168">
        <f>COUNTIF(Berekening!L$67:L$74,'Overzicht pronostieken'!$E79)</f>
        <v>0</v>
      </c>
      <c r="O79" s="168">
        <f>COUNTIF(Berekening!M$67:M$74,'Overzicht pronostieken'!$E79)</f>
        <v>0</v>
      </c>
      <c r="P79" s="168">
        <f>COUNTIF(Berekening!N$67:N$74,'Overzicht pronostieken'!$E79)</f>
        <v>0</v>
      </c>
      <c r="Q79" s="168">
        <f>COUNTIF(Berekening!O$67:O$74,'Overzicht pronostieken'!$E79)</f>
        <v>0</v>
      </c>
      <c r="R79" s="168">
        <f>COUNTIF(Berekening!P$67:P$74,'Overzicht pronostieken'!$E79)</f>
        <v>0</v>
      </c>
      <c r="S79" s="168">
        <f>COUNTIF(Berekening!Q$67:Q$74,'Overzicht pronostieken'!$E79)</f>
        <v>0</v>
      </c>
      <c r="T79" s="168">
        <f>COUNTIF(Berekening!R$67:R$74,'Overzicht pronostieken'!$E79)</f>
        <v>0</v>
      </c>
      <c r="U79" s="168">
        <f>COUNTIF(Berekening!S$67:S$74,'Overzicht pronostieken'!$E79)</f>
        <v>0</v>
      </c>
      <c r="V79" s="168">
        <f>COUNTIF(Berekening!T$67:T$74,'Overzicht pronostieken'!$E79)</f>
        <v>0</v>
      </c>
      <c r="W79" s="168">
        <f>COUNTIF(Berekening!U$67:U$74,'Overzicht pronostieken'!$E79)</f>
        <v>0</v>
      </c>
      <c r="X79" s="168">
        <f>COUNTIF(Berekening!V$67:V$74,'Overzicht pronostieken'!$E79)</f>
        <v>0</v>
      </c>
      <c r="Y79" s="168">
        <f>COUNTIF(Berekening!W$67:W$74,'Overzicht pronostieken'!$E79)</f>
        <v>0</v>
      </c>
      <c r="Z79" s="168">
        <f>COUNTIF(Berekening!X$67:X$74,'Overzicht pronostieken'!$E79)</f>
        <v>0</v>
      </c>
      <c r="AA79" s="168">
        <f>COUNTIF(Berekening!Y$67:Y$74,'Overzicht pronostieken'!$E79)</f>
        <v>0</v>
      </c>
      <c r="AB79" s="168">
        <f>COUNTIF(Berekening!Z$67:Z$74,'Overzicht pronostieken'!$E79)</f>
        <v>0</v>
      </c>
      <c r="AC79" s="168">
        <f>COUNTIF(Berekening!AA$67:AA$74,'Overzicht pronostieken'!$E79)</f>
        <v>0</v>
      </c>
      <c r="AD79" s="168">
        <f>COUNTIF(Berekening!AB$67:AB$74,'Overzicht pronostieken'!$E79)</f>
        <v>0</v>
      </c>
      <c r="AE79" s="168">
        <f>COUNTIF(Berekening!AC$67:AC$74,'Overzicht pronostieken'!$E79)</f>
        <v>0</v>
      </c>
      <c r="AF79" s="168">
        <f>COUNTIF(Berekening!AD$67:AD$74,'Overzicht pronostieken'!$E79)</f>
        <v>0</v>
      </c>
      <c r="AG79" s="168">
        <f>COUNTIF(Berekening!AE$67:AE$74,'Overzicht pronostieken'!$E79)</f>
        <v>0</v>
      </c>
      <c r="AH79" s="168">
        <f>COUNTIF(Berekening!AF$67:AF$74,'Overzicht pronostieken'!$E79)</f>
        <v>0</v>
      </c>
      <c r="AI79" s="168">
        <f>COUNTIF(Berekening!AG$67:AG$74,'Overzicht pronostieken'!$E79)</f>
        <v>0</v>
      </c>
      <c r="AJ79" s="168">
        <f>COUNTIF(Berekening!AH$67:AH$74,'Overzicht pronostieken'!$E79)</f>
        <v>0</v>
      </c>
      <c r="AK79" s="168">
        <f>COUNTIF(Berekening!AI$67:AI$74,'Overzicht pronostieken'!$E79)</f>
        <v>0</v>
      </c>
      <c r="AL79" s="168">
        <f>COUNTIF(Berekening!AJ$67:AJ$74,'Overzicht pronostieken'!$E79)</f>
        <v>0</v>
      </c>
      <c r="AM79" s="168">
        <f>COUNTIF(Berekening!AK$67:AK$74,'Overzicht pronostieken'!$E79)</f>
        <v>0</v>
      </c>
      <c r="AN79" s="168">
        <f>COUNTIF(Berekening!AL$67:AL$74,'Overzicht pronostieken'!$E79)</f>
        <v>0</v>
      </c>
      <c r="AO79" s="168">
        <f>COUNTIF(Berekening!AM$67:AM$74,'Overzicht pronostieken'!$E79)</f>
        <v>0</v>
      </c>
      <c r="AP79" s="168">
        <f>COUNTIF(Berekening!AN$67:AN$74,'Overzicht pronostieken'!$E79)</f>
        <v>0</v>
      </c>
      <c r="AQ79" s="168">
        <f>COUNTIF(Berekening!AO$67:AO$74,'Overzicht pronostieken'!$E79)</f>
        <v>0</v>
      </c>
      <c r="AR79" s="168">
        <f>COUNTIF(Berekening!AP$67:AP$74,'Overzicht pronostieken'!$E79)</f>
        <v>0</v>
      </c>
      <c r="AS79" s="168">
        <f>COUNTIF(Berekening!AQ$67:AQ$74,'Overzicht pronostieken'!$E79)</f>
        <v>0</v>
      </c>
      <c r="AT79" s="168">
        <f>COUNTIF(Berekening!AR$67:AR$74,'Overzicht pronostieken'!$E79)</f>
        <v>0</v>
      </c>
      <c r="AU79" s="168">
        <f>COUNTIF(Berekening!AS$67:AS$74,'Overzicht pronostieken'!$E79)</f>
        <v>0</v>
      </c>
      <c r="AV79" s="168">
        <f>COUNTIF(Berekening!AT$67:AT$74,'Overzicht pronostieken'!$E79)</f>
        <v>0</v>
      </c>
    </row>
    <row r="80" spans="3:48">
      <c r="E80" s="161" t="s">
        <v>1856</v>
      </c>
      <c r="F80" s="161">
        <f t="shared" si="3"/>
        <v>16</v>
      </c>
      <c r="G80" s="168">
        <f>COUNTIF(Berekening!E$67:E$74,'Overzicht pronostieken'!$E80)</f>
        <v>1</v>
      </c>
      <c r="H80" s="168">
        <f>COUNTIF(Berekening!F$67:F$74,'Overzicht pronostieken'!$E80)</f>
        <v>1</v>
      </c>
      <c r="I80" s="168">
        <f>COUNTIF(Berekening!G$67:G$74,'Overzicht pronostieken'!$E80)</f>
        <v>1</v>
      </c>
      <c r="J80" s="168">
        <f>COUNTIF(Berekening!H$67:H$74,'Overzicht pronostieken'!$E80)</f>
        <v>1</v>
      </c>
      <c r="K80" s="168">
        <f>COUNTIF(Berekening!I$67:I$74,'Overzicht pronostieken'!$E80)</f>
        <v>1</v>
      </c>
      <c r="L80" s="168">
        <f>COUNTIF(Berekening!J$67:J$74,'Overzicht pronostieken'!$E80)</f>
        <v>1</v>
      </c>
      <c r="M80" s="168">
        <f>COUNTIF(Berekening!K$67:K$74,'Overzicht pronostieken'!$E80)</f>
        <v>1</v>
      </c>
      <c r="N80" s="168">
        <f>COUNTIF(Berekening!L$67:L$74,'Overzicht pronostieken'!$E80)</f>
        <v>1</v>
      </c>
      <c r="O80" s="168">
        <f>COUNTIF(Berekening!M$67:M$74,'Overzicht pronostieken'!$E80)</f>
        <v>1</v>
      </c>
      <c r="P80" s="168">
        <f>COUNTIF(Berekening!N$67:N$74,'Overzicht pronostieken'!$E80)</f>
        <v>1</v>
      </c>
      <c r="Q80" s="168">
        <f>COUNTIF(Berekening!O$67:O$74,'Overzicht pronostieken'!$E80)</f>
        <v>1</v>
      </c>
      <c r="R80" s="168">
        <f>COUNTIF(Berekening!P$67:P$74,'Overzicht pronostieken'!$E80)</f>
        <v>1</v>
      </c>
      <c r="S80" s="168">
        <f>COUNTIF(Berekening!Q$67:Q$74,'Overzicht pronostieken'!$E80)</f>
        <v>1</v>
      </c>
      <c r="T80" s="168">
        <f>COUNTIF(Berekening!R$67:R$74,'Overzicht pronostieken'!$E80)</f>
        <v>1</v>
      </c>
      <c r="U80" s="168">
        <f>COUNTIF(Berekening!S$67:S$74,'Overzicht pronostieken'!$E80)</f>
        <v>1</v>
      </c>
      <c r="V80" s="168">
        <f>COUNTIF(Berekening!T$67:T$74,'Overzicht pronostieken'!$E80)</f>
        <v>1</v>
      </c>
      <c r="W80" s="168">
        <f>COUNTIF(Berekening!U$67:U$74,'Overzicht pronostieken'!$E80)</f>
        <v>0</v>
      </c>
      <c r="X80" s="168">
        <f>COUNTIF(Berekening!V$67:V$74,'Overzicht pronostieken'!$E80)</f>
        <v>0</v>
      </c>
      <c r="Y80" s="168">
        <f>COUNTIF(Berekening!W$67:W$74,'Overzicht pronostieken'!$E80)</f>
        <v>0</v>
      </c>
      <c r="Z80" s="168">
        <f>COUNTIF(Berekening!X$67:X$74,'Overzicht pronostieken'!$E80)</f>
        <v>0</v>
      </c>
      <c r="AA80" s="168">
        <f>COUNTIF(Berekening!Y$67:Y$74,'Overzicht pronostieken'!$E80)</f>
        <v>0</v>
      </c>
      <c r="AB80" s="168">
        <f>COUNTIF(Berekening!Z$67:Z$74,'Overzicht pronostieken'!$E80)</f>
        <v>0</v>
      </c>
      <c r="AC80" s="168">
        <f>COUNTIF(Berekening!AA$67:AA$74,'Overzicht pronostieken'!$E80)</f>
        <v>0</v>
      </c>
      <c r="AD80" s="168">
        <f>COUNTIF(Berekening!AB$67:AB$74,'Overzicht pronostieken'!$E80)</f>
        <v>0</v>
      </c>
      <c r="AE80" s="168">
        <f>COUNTIF(Berekening!AC$67:AC$74,'Overzicht pronostieken'!$E80)</f>
        <v>0</v>
      </c>
      <c r="AF80" s="168">
        <f>COUNTIF(Berekening!AD$67:AD$74,'Overzicht pronostieken'!$E80)</f>
        <v>0</v>
      </c>
      <c r="AG80" s="168">
        <f>COUNTIF(Berekening!AE$67:AE$74,'Overzicht pronostieken'!$E80)</f>
        <v>0</v>
      </c>
      <c r="AH80" s="168">
        <f>COUNTIF(Berekening!AF$67:AF$74,'Overzicht pronostieken'!$E80)</f>
        <v>0</v>
      </c>
      <c r="AI80" s="168">
        <f>COUNTIF(Berekening!AG$67:AG$74,'Overzicht pronostieken'!$E80)</f>
        <v>0</v>
      </c>
      <c r="AJ80" s="168">
        <f>COUNTIF(Berekening!AH$67:AH$74,'Overzicht pronostieken'!$E80)</f>
        <v>0</v>
      </c>
      <c r="AK80" s="168">
        <f>COUNTIF(Berekening!AI$67:AI$74,'Overzicht pronostieken'!$E80)</f>
        <v>0</v>
      </c>
      <c r="AL80" s="168">
        <f>COUNTIF(Berekening!AJ$67:AJ$74,'Overzicht pronostieken'!$E80)</f>
        <v>0</v>
      </c>
      <c r="AM80" s="168">
        <f>COUNTIF(Berekening!AK$67:AK$74,'Overzicht pronostieken'!$E80)</f>
        <v>0</v>
      </c>
      <c r="AN80" s="168">
        <f>COUNTIF(Berekening!AL$67:AL$74,'Overzicht pronostieken'!$E80)</f>
        <v>0</v>
      </c>
      <c r="AO80" s="168">
        <f>COUNTIF(Berekening!AM$67:AM$74,'Overzicht pronostieken'!$E80)</f>
        <v>0</v>
      </c>
      <c r="AP80" s="168">
        <f>COUNTIF(Berekening!AN$67:AN$74,'Overzicht pronostieken'!$E80)</f>
        <v>0</v>
      </c>
      <c r="AQ80" s="168">
        <f>COUNTIF(Berekening!AO$67:AO$74,'Overzicht pronostieken'!$E80)</f>
        <v>0</v>
      </c>
      <c r="AR80" s="168">
        <f>COUNTIF(Berekening!AP$67:AP$74,'Overzicht pronostieken'!$E80)</f>
        <v>0</v>
      </c>
      <c r="AS80" s="168">
        <f>COUNTIF(Berekening!AQ$67:AQ$74,'Overzicht pronostieken'!$E80)</f>
        <v>0</v>
      </c>
      <c r="AT80" s="168">
        <f>COUNTIF(Berekening!AR$67:AR$74,'Overzicht pronostieken'!$E80)</f>
        <v>0</v>
      </c>
      <c r="AU80" s="168">
        <f>COUNTIF(Berekening!AS$67:AS$74,'Overzicht pronostieken'!$E80)</f>
        <v>0</v>
      </c>
      <c r="AV80" s="168">
        <f>COUNTIF(Berekening!AT$67:AT$74,'Overzicht pronostieken'!$E80)</f>
        <v>0</v>
      </c>
    </row>
    <row r="81" spans="3:48">
      <c r="E81" s="161" t="s">
        <v>2661</v>
      </c>
      <c r="F81" s="161">
        <f t="shared" si="3"/>
        <v>0</v>
      </c>
      <c r="G81" s="168">
        <f>COUNTIF(Berekening!E$67:E$74,'Overzicht pronostieken'!$E81)</f>
        <v>0</v>
      </c>
      <c r="H81" s="168">
        <f>COUNTIF(Berekening!F$67:F$74,'Overzicht pronostieken'!$E81)</f>
        <v>0</v>
      </c>
      <c r="I81" s="168">
        <f>COUNTIF(Berekening!G$67:G$74,'Overzicht pronostieken'!$E81)</f>
        <v>0</v>
      </c>
      <c r="J81" s="168">
        <f>COUNTIF(Berekening!H$67:H$74,'Overzicht pronostieken'!$E81)</f>
        <v>0</v>
      </c>
      <c r="K81" s="168">
        <f>COUNTIF(Berekening!I$67:I$74,'Overzicht pronostieken'!$E81)</f>
        <v>0</v>
      </c>
      <c r="L81" s="168">
        <f>COUNTIF(Berekening!J$67:J$74,'Overzicht pronostieken'!$E81)</f>
        <v>0</v>
      </c>
      <c r="M81" s="168">
        <f>COUNTIF(Berekening!K$67:K$74,'Overzicht pronostieken'!$E81)</f>
        <v>0</v>
      </c>
      <c r="N81" s="168">
        <f>COUNTIF(Berekening!L$67:L$74,'Overzicht pronostieken'!$E81)</f>
        <v>0</v>
      </c>
      <c r="O81" s="168">
        <f>COUNTIF(Berekening!M$67:M$74,'Overzicht pronostieken'!$E81)</f>
        <v>0</v>
      </c>
      <c r="P81" s="168">
        <f>COUNTIF(Berekening!N$67:N$74,'Overzicht pronostieken'!$E81)</f>
        <v>0</v>
      </c>
      <c r="Q81" s="168">
        <f>COUNTIF(Berekening!O$67:O$74,'Overzicht pronostieken'!$E81)</f>
        <v>0</v>
      </c>
      <c r="R81" s="168">
        <f>COUNTIF(Berekening!P$67:P$74,'Overzicht pronostieken'!$E81)</f>
        <v>0</v>
      </c>
      <c r="S81" s="168">
        <f>COUNTIF(Berekening!Q$67:Q$74,'Overzicht pronostieken'!$E81)</f>
        <v>0</v>
      </c>
      <c r="T81" s="168">
        <f>COUNTIF(Berekening!R$67:R$74,'Overzicht pronostieken'!$E81)</f>
        <v>0</v>
      </c>
      <c r="U81" s="168">
        <f>COUNTIF(Berekening!S$67:S$74,'Overzicht pronostieken'!$E81)</f>
        <v>0</v>
      </c>
      <c r="V81" s="168">
        <f>COUNTIF(Berekening!T$67:T$74,'Overzicht pronostieken'!$E81)</f>
        <v>0</v>
      </c>
      <c r="W81" s="168">
        <f>COUNTIF(Berekening!U$67:U$74,'Overzicht pronostieken'!$E81)</f>
        <v>0</v>
      </c>
      <c r="X81" s="168">
        <f>COUNTIF(Berekening!V$67:V$74,'Overzicht pronostieken'!$E81)</f>
        <v>0</v>
      </c>
      <c r="Y81" s="168">
        <f>COUNTIF(Berekening!W$67:W$74,'Overzicht pronostieken'!$E81)</f>
        <v>0</v>
      </c>
      <c r="Z81" s="168">
        <f>COUNTIF(Berekening!X$67:X$74,'Overzicht pronostieken'!$E81)</f>
        <v>0</v>
      </c>
      <c r="AA81" s="168">
        <f>COUNTIF(Berekening!Y$67:Y$74,'Overzicht pronostieken'!$E81)</f>
        <v>0</v>
      </c>
      <c r="AB81" s="168">
        <f>COUNTIF(Berekening!Z$67:Z$74,'Overzicht pronostieken'!$E81)</f>
        <v>0</v>
      </c>
      <c r="AC81" s="168">
        <f>COUNTIF(Berekening!AA$67:AA$74,'Overzicht pronostieken'!$E81)</f>
        <v>0</v>
      </c>
      <c r="AD81" s="168">
        <f>COUNTIF(Berekening!AB$67:AB$74,'Overzicht pronostieken'!$E81)</f>
        <v>0</v>
      </c>
      <c r="AE81" s="168">
        <f>COUNTIF(Berekening!AC$67:AC$74,'Overzicht pronostieken'!$E81)</f>
        <v>0</v>
      </c>
      <c r="AF81" s="168">
        <f>COUNTIF(Berekening!AD$67:AD$74,'Overzicht pronostieken'!$E81)</f>
        <v>0</v>
      </c>
      <c r="AG81" s="168">
        <f>COUNTIF(Berekening!AE$67:AE$74,'Overzicht pronostieken'!$E81)</f>
        <v>0</v>
      </c>
      <c r="AH81" s="168">
        <f>COUNTIF(Berekening!AF$67:AF$74,'Overzicht pronostieken'!$E81)</f>
        <v>0</v>
      </c>
      <c r="AI81" s="168">
        <f>COUNTIF(Berekening!AG$67:AG$74,'Overzicht pronostieken'!$E81)</f>
        <v>0</v>
      </c>
      <c r="AJ81" s="168">
        <f>COUNTIF(Berekening!AH$67:AH$74,'Overzicht pronostieken'!$E81)</f>
        <v>0</v>
      </c>
      <c r="AK81" s="168">
        <f>COUNTIF(Berekening!AI$67:AI$74,'Overzicht pronostieken'!$E81)</f>
        <v>0</v>
      </c>
      <c r="AL81" s="168">
        <f>COUNTIF(Berekening!AJ$67:AJ$74,'Overzicht pronostieken'!$E81)</f>
        <v>0</v>
      </c>
      <c r="AM81" s="168">
        <f>COUNTIF(Berekening!AK$67:AK$74,'Overzicht pronostieken'!$E81)</f>
        <v>0</v>
      </c>
      <c r="AN81" s="168">
        <f>COUNTIF(Berekening!AL$67:AL$74,'Overzicht pronostieken'!$E81)</f>
        <v>0</v>
      </c>
      <c r="AO81" s="168">
        <f>COUNTIF(Berekening!AM$67:AM$74,'Overzicht pronostieken'!$E81)</f>
        <v>0</v>
      </c>
      <c r="AP81" s="168">
        <f>COUNTIF(Berekening!AN$67:AN$74,'Overzicht pronostieken'!$E81)</f>
        <v>0</v>
      </c>
      <c r="AQ81" s="168">
        <f>COUNTIF(Berekening!AO$67:AO$74,'Overzicht pronostieken'!$E81)</f>
        <v>0</v>
      </c>
      <c r="AR81" s="168">
        <f>COUNTIF(Berekening!AP$67:AP$74,'Overzicht pronostieken'!$E81)</f>
        <v>0</v>
      </c>
      <c r="AS81" s="168">
        <f>COUNTIF(Berekening!AQ$67:AQ$74,'Overzicht pronostieken'!$E81)</f>
        <v>0</v>
      </c>
      <c r="AT81" s="168">
        <f>COUNTIF(Berekening!AR$67:AR$74,'Overzicht pronostieken'!$E81)</f>
        <v>0</v>
      </c>
      <c r="AU81" s="168">
        <f>COUNTIF(Berekening!AS$67:AS$74,'Overzicht pronostieken'!$E81)</f>
        <v>0</v>
      </c>
      <c r="AV81" s="168">
        <f>COUNTIF(Berekening!AT$67:AT$74,'Overzicht pronostieken'!$E81)</f>
        <v>0</v>
      </c>
    </row>
    <row r="82" spans="3:48">
      <c r="E82" s="161" t="s">
        <v>1789</v>
      </c>
      <c r="F82" s="161">
        <f t="shared" si="3"/>
        <v>16</v>
      </c>
      <c r="G82" s="168">
        <f>COUNTIF(Berekening!E$67:E$74,'Overzicht pronostieken'!$E82)</f>
        <v>1</v>
      </c>
      <c r="H82" s="168">
        <f>COUNTIF(Berekening!F$67:F$74,'Overzicht pronostieken'!$E82)</f>
        <v>1</v>
      </c>
      <c r="I82" s="168">
        <f>COUNTIF(Berekening!G$67:G$74,'Overzicht pronostieken'!$E82)</f>
        <v>1</v>
      </c>
      <c r="J82" s="168">
        <f>COUNTIF(Berekening!H$67:H$74,'Overzicht pronostieken'!$E82)</f>
        <v>1</v>
      </c>
      <c r="K82" s="168">
        <f>COUNTIF(Berekening!I$67:I$74,'Overzicht pronostieken'!$E82)</f>
        <v>1</v>
      </c>
      <c r="L82" s="168">
        <f>COUNTIF(Berekening!J$67:J$74,'Overzicht pronostieken'!$E82)</f>
        <v>1</v>
      </c>
      <c r="M82" s="168">
        <f>COUNTIF(Berekening!K$67:K$74,'Overzicht pronostieken'!$E82)</f>
        <v>1</v>
      </c>
      <c r="N82" s="168">
        <f>COUNTIF(Berekening!L$67:L$74,'Overzicht pronostieken'!$E82)</f>
        <v>1</v>
      </c>
      <c r="O82" s="168">
        <f>COUNTIF(Berekening!M$67:M$74,'Overzicht pronostieken'!$E82)</f>
        <v>1</v>
      </c>
      <c r="P82" s="168">
        <f>COUNTIF(Berekening!N$67:N$74,'Overzicht pronostieken'!$E82)</f>
        <v>1</v>
      </c>
      <c r="Q82" s="168">
        <f>COUNTIF(Berekening!O$67:O$74,'Overzicht pronostieken'!$E82)</f>
        <v>1</v>
      </c>
      <c r="R82" s="168">
        <f>COUNTIF(Berekening!P$67:P$74,'Overzicht pronostieken'!$E82)</f>
        <v>1</v>
      </c>
      <c r="S82" s="168">
        <f>COUNTIF(Berekening!Q$67:Q$74,'Overzicht pronostieken'!$E82)</f>
        <v>1</v>
      </c>
      <c r="T82" s="168">
        <f>COUNTIF(Berekening!R$67:R$74,'Overzicht pronostieken'!$E82)</f>
        <v>1</v>
      </c>
      <c r="U82" s="168">
        <f>COUNTIF(Berekening!S$67:S$74,'Overzicht pronostieken'!$E82)</f>
        <v>1</v>
      </c>
      <c r="V82" s="168">
        <f>COUNTIF(Berekening!T$67:T$74,'Overzicht pronostieken'!$E82)</f>
        <v>1</v>
      </c>
      <c r="W82" s="168">
        <f>COUNTIF(Berekening!U$67:U$74,'Overzicht pronostieken'!$E82)</f>
        <v>0</v>
      </c>
      <c r="X82" s="168">
        <f>COUNTIF(Berekening!V$67:V$74,'Overzicht pronostieken'!$E82)</f>
        <v>0</v>
      </c>
      <c r="Y82" s="168">
        <f>COUNTIF(Berekening!W$67:W$74,'Overzicht pronostieken'!$E82)</f>
        <v>0</v>
      </c>
      <c r="Z82" s="168">
        <f>COUNTIF(Berekening!X$67:X$74,'Overzicht pronostieken'!$E82)</f>
        <v>0</v>
      </c>
      <c r="AA82" s="168">
        <f>COUNTIF(Berekening!Y$67:Y$74,'Overzicht pronostieken'!$E82)</f>
        <v>0</v>
      </c>
      <c r="AB82" s="168">
        <f>COUNTIF(Berekening!Z$67:Z$74,'Overzicht pronostieken'!$E82)</f>
        <v>0</v>
      </c>
      <c r="AC82" s="168">
        <f>COUNTIF(Berekening!AA$67:AA$74,'Overzicht pronostieken'!$E82)</f>
        <v>0</v>
      </c>
      <c r="AD82" s="168">
        <f>COUNTIF(Berekening!AB$67:AB$74,'Overzicht pronostieken'!$E82)</f>
        <v>0</v>
      </c>
      <c r="AE82" s="168">
        <f>COUNTIF(Berekening!AC$67:AC$74,'Overzicht pronostieken'!$E82)</f>
        <v>0</v>
      </c>
      <c r="AF82" s="168">
        <f>COUNTIF(Berekening!AD$67:AD$74,'Overzicht pronostieken'!$E82)</f>
        <v>0</v>
      </c>
      <c r="AG82" s="168">
        <f>COUNTIF(Berekening!AE$67:AE$74,'Overzicht pronostieken'!$E82)</f>
        <v>0</v>
      </c>
      <c r="AH82" s="168">
        <f>COUNTIF(Berekening!AF$67:AF$74,'Overzicht pronostieken'!$E82)</f>
        <v>0</v>
      </c>
      <c r="AI82" s="168">
        <f>COUNTIF(Berekening!AG$67:AG$74,'Overzicht pronostieken'!$E82)</f>
        <v>0</v>
      </c>
      <c r="AJ82" s="168">
        <f>COUNTIF(Berekening!AH$67:AH$74,'Overzicht pronostieken'!$E82)</f>
        <v>0</v>
      </c>
      <c r="AK82" s="168">
        <f>COUNTIF(Berekening!AI$67:AI$74,'Overzicht pronostieken'!$E82)</f>
        <v>0</v>
      </c>
      <c r="AL82" s="168">
        <f>COUNTIF(Berekening!AJ$67:AJ$74,'Overzicht pronostieken'!$E82)</f>
        <v>0</v>
      </c>
      <c r="AM82" s="168">
        <f>COUNTIF(Berekening!AK$67:AK$74,'Overzicht pronostieken'!$E82)</f>
        <v>0</v>
      </c>
      <c r="AN82" s="168">
        <f>COUNTIF(Berekening!AL$67:AL$74,'Overzicht pronostieken'!$E82)</f>
        <v>0</v>
      </c>
      <c r="AO82" s="168">
        <f>COUNTIF(Berekening!AM$67:AM$74,'Overzicht pronostieken'!$E82)</f>
        <v>0</v>
      </c>
      <c r="AP82" s="168">
        <f>COUNTIF(Berekening!AN$67:AN$74,'Overzicht pronostieken'!$E82)</f>
        <v>0</v>
      </c>
      <c r="AQ82" s="168">
        <f>COUNTIF(Berekening!AO$67:AO$74,'Overzicht pronostieken'!$E82)</f>
        <v>0</v>
      </c>
      <c r="AR82" s="168">
        <f>COUNTIF(Berekening!AP$67:AP$74,'Overzicht pronostieken'!$E82)</f>
        <v>0</v>
      </c>
      <c r="AS82" s="168">
        <f>COUNTIF(Berekening!AQ$67:AQ$74,'Overzicht pronostieken'!$E82)</f>
        <v>0</v>
      </c>
      <c r="AT82" s="168">
        <f>COUNTIF(Berekening!AR$67:AR$74,'Overzicht pronostieken'!$E82)</f>
        <v>0</v>
      </c>
      <c r="AU82" s="168">
        <f>COUNTIF(Berekening!AS$67:AS$74,'Overzicht pronostieken'!$E82)</f>
        <v>0</v>
      </c>
      <c r="AV82" s="168">
        <f>COUNTIF(Berekening!AT$67:AT$74,'Overzicht pronostieken'!$E82)</f>
        <v>0</v>
      </c>
    </row>
    <row r="83" spans="3:48">
      <c r="E83" s="161" t="s">
        <v>1324</v>
      </c>
      <c r="F83" s="161">
        <f t="shared" si="3"/>
        <v>10</v>
      </c>
      <c r="G83" s="168">
        <f>COUNTIF(Berekening!E$67:E$74,'Overzicht pronostieken'!$E83)</f>
        <v>0</v>
      </c>
      <c r="H83" s="168">
        <f>COUNTIF(Berekening!F$67:F$74,'Overzicht pronostieken'!$E83)</f>
        <v>1</v>
      </c>
      <c r="I83" s="168">
        <f>COUNTIF(Berekening!G$67:G$74,'Overzicht pronostieken'!$E83)</f>
        <v>1</v>
      </c>
      <c r="J83" s="168">
        <f>COUNTIF(Berekening!H$67:H$74,'Overzicht pronostieken'!$E83)</f>
        <v>1</v>
      </c>
      <c r="K83" s="168">
        <f>COUNTIF(Berekening!I$67:I$74,'Overzicht pronostieken'!$E83)</f>
        <v>1</v>
      </c>
      <c r="L83" s="168">
        <f>COUNTIF(Berekening!J$67:J$74,'Overzicht pronostieken'!$E83)</f>
        <v>1</v>
      </c>
      <c r="M83" s="168">
        <f>COUNTIF(Berekening!K$67:K$74,'Overzicht pronostieken'!$E83)</f>
        <v>0</v>
      </c>
      <c r="N83" s="168">
        <f>COUNTIF(Berekening!L$67:L$74,'Overzicht pronostieken'!$E83)</f>
        <v>0</v>
      </c>
      <c r="O83" s="168">
        <f>COUNTIF(Berekening!M$67:M$74,'Overzicht pronostieken'!$E83)</f>
        <v>0</v>
      </c>
      <c r="P83" s="168">
        <f>COUNTIF(Berekening!N$67:N$74,'Overzicht pronostieken'!$E83)</f>
        <v>1</v>
      </c>
      <c r="Q83" s="168">
        <f>COUNTIF(Berekening!O$67:O$74,'Overzicht pronostieken'!$E83)</f>
        <v>1</v>
      </c>
      <c r="R83" s="168">
        <f>COUNTIF(Berekening!P$67:P$74,'Overzicht pronostieken'!$E83)</f>
        <v>0</v>
      </c>
      <c r="S83" s="168">
        <f>COUNTIF(Berekening!Q$67:Q$74,'Overzicht pronostieken'!$E83)</f>
        <v>0</v>
      </c>
      <c r="T83" s="168">
        <f>COUNTIF(Berekening!R$67:R$74,'Overzicht pronostieken'!$E83)</f>
        <v>1</v>
      </c>
      <c r="U83" s="168">
        <f>COUNTIF(Berekening!S$67:S$74,'Overzicht pronostieken'!$E83)</f>
        <v>1</v>
      </c>
      <c r="V83" s="168">
        <f>COUNTIF(Berekening!T$67:T$74,'Overzicht pronostieken'!$E83)</f>
        <v>1</v>
      </c>
      <c r="W83" s="168">
        <f>COUNTIF(Berekening!U$67:U$74,'Overzicht pronostieken'!$E83)</f>
        <v>0</v>
      </c>
      <c r="X83" s="168">
        <f>COUNTIF(Berekening!V$67:V$74,'Overzicht pronostieken'!$E83)</f>
        <v>0</v>
      </c>
      <c r="Y83" s="168">
        <f>COUNTIF(Berekening!W$67:W$74,'Overzicht pronostieken'!$E83)</f>
        <v>0</v>
      </c>
      <c r="Z83" s="168">
        <f>COUNTIF(Berekening!X$67:X$74,'Overzicht pronostieken'!$E83)</f>
        <v>0</v>
      </c>
      <c r="AA83" s="168">
        <f>COUNTIF(Berekening!Y$67:Y$74,'Overzicht pronostieken'!$E83)</f>
        <v>0</v>
      </c>
      <c r="AB83" s="168">
        <f>COUNTIF(Berekening!Z$67:Z$74,'Overzicht pronostieken'!$E83)</f>
        <v>0</v>
      </c>
      <c r="AC83" s="168">
        <f>COUNTIF(Berekening!AA$67:AA$74,'Overzicht pronostieken'!$E83)</f>
        <v>0</v>
      </c>
      <c r="AD83" s="168">
        <f>COUNTIF(Berekening!AB$67:AB$74,'Overzicht pronostieken'!$E83)</f>
        <v>0</v>
      </c>
      <c r="AE83" s="168">
        <f>COUNTIF(Berekening!AC$67:AC$74,'Overzicht pronostieken'!$E83)</f>
        <v>0</v>
      </c>
      <c r="AF83" s="168">
        <f>COUNTIF(Berekening!AD$67:AD$74,'Overzicht pronostieken'!$E83)</f>
        <v>0</v>
      </c>
      <c r="AG83" s="168">
        <f>COUNTIF(Berekening!AE$67:AE$74,'Overzicht pronostieken'!$E83)</f>
        <v>0</v>
      </c>
      <c r="AH83" s="168">
        <f>COUNTIF(Berekening!AF$67:AF$74,'Overzicht pronostieken'!$E83)</f>
        <v>0</v>
      </c>
      <c r="AI83" s="168">
        <f>COUNTIF(Berekening!AG$67:AG$74,'Overzicht pronostieken'!$E83)</f>
        <v>0</v>
      </c>
      <c r="AJ83" s="168">
        <f>COUNTIF(Berekening!AH$67:AH$74,'Overzicht pronostieken'!$E83)</f>
        <v>0</v>
      </c>
      <c r="AK83" s="168">
        <f>COUNTIF(Berekening!AI$67:AI$74,'Overzicht pronostieken'!$E83)</f>
        <v>0</v>
      </c>
      <c r="AL83" s="168">
        <f>COUNTIF(Berekening!AJ$67:AJ$74,'Overzicht pronostieken'!$E83)</f>
        <v>0</v>
      </c>
      <c r="AM83" s="168">
        <f>COUNTIF(Berekening!AK$67:AK$74,'Overzicht pronostieken'!$E83)</f>
        <v>0</v>
      </c>
      <c r="AN83" s="168">
        <f>COUNTIF(Berekening!AL$67:AL$74,'Overzicht pronostieken'!$E83)</f>
        <v>0</v>
      </c>
      <c r="AO83" s="168">
        <f>COUNTIF(Berekening!AM$67:AM$74,'Overzicht pronostieken'!$E83)</f>
        <v>0</v>
      </c>
      <c r="AP83" s="168">
        <f>COUNTIF(Berekening!AN$67:AN$74,'Overzicht pronostieken'!$E83)</f>
        <v>0</v>
      </c>
      <c r="AQ83" s="168">
        <f>COUNTIF(Berekening!AO$67:AO$74,'Overzicht pronostieken'!$E83)</f>
        <v>0</v>
      </c>
      <c r="AR83" s="168">
        <f>COUNTIF(Berekening!AP$67:AP$74,'Overzicht pronostieken'!$E83)</f>
        <v>0</v>
      </c>
      <c r="AS83" s="168">
        <f>COUNTIF(Berekening!AQ$67:AQ$74,'Overzicht pronostieken'!$E83)</f>
        <v>0</v>
      </c>
      <c r="AT83" s="168">
        <f>COUNTIF(Berekening!AR$67:AR$74,'Overzicht pronostieken'!$E83)</f>
        <v>0</v>
      </c>
      <c r="AU83" s="168">
        <f>COUNTIF(Berekening!AS$67:AS$74,'Overzicht pronostieken'!$E83)</f>
        <v>0</v>
      </c>
      <c r="AV83" s="168">
        <f>COUNTIF(Berekening!AT$67:AT$74,'Overzicht pronostieken'!$E83)</f>
        <v>0</v>
      </c>
    </row>
    <row r="84" spans="3:48">
      <c r="E84" s="161" t="s">
        <v>1822</v>
      </c>
      <c r="F84" s="161">
        <f t="shared" si="3"/>
        <v>0</v>
      </c>
      <c r="G84" s="168">
        <f>COUNTIF(Berekening!E$67:E$74,'Overzicht pronostieken'!$E84)</f>
        <v>0</v>
      </c>
      <c r="H84" s="168">
        <f>COUNTIF(Berekening!F$67:F$74,'Overzicht pronostieken'!$E84)</f>
        <v>0</v>
      </c>
      <c r="I84" s="168">
        <f>COUNTIF(Berekening!G$67:G$74,'Overzicht pronostieken'!$E84)</f>
        <v>0</v>
      </c>
      <c r="J84" s="168">
        <f>COUNTIF(Berekening!H$67:H$74,'Overzicht pronostieken'!$E84)</f>
        <v>0</v>
      </c>
      <c r="K84" s="168">
        <f>COUNTIF(Berekening!I$67:I$74,'Overzicht pronostieken'!$E84)</f>
        <v>0</v>
      </c>
      <c r="L84" s="168">
        <f>COUNTIF(Berekening!J$67:J$74,'Overzicht pronostieken'!$E84)</f>
        <v>0</v>
      </c>
      <c r="M84" s="168">
        <f>COUNTIF(Berekening!K$67:K$74,'Overzicht pronostieken'!$E84)</f>
        <v>0</v>
      </c>
      <c r="N84" s="168">
        <f>COUNTIF(Berekening!L$67:L$74,'Overzicht pronostieken'!$E84)</f>
        <v>0</v>
      </c>
      <c r="O84" s="168">
        <f>COUNTIF(Berekening!M$67:M$74,'Overzicht pronostieken'!$E84)</f>
        <v>0</v>
      </c>
      <c r="P84" s="168">
        <f>COUNTIF(Berekening!N$67:N$74,'Overzicht pronostieken'!$E84)</f>
        <v>0</v>
      </c>
      <c r="Q84" s="168">
        <f>COUNTIF(Berekening!O$67:O$74,'Overzicht pronostieken'!$E84)</f>
        <v>0</v>
      </c>
      <c r="R84" s="168">
        <f>COUNTIF(Berekening!P$67:P$74,'Overzicht pronostieken'!$E84)</f>
        <v>0</v>
      </c>
      <c r="S84" s="168">
        <f>COUNTIF(Berekening!Q$67:Q$74,'Overzicht pronostieken'!$E84)</f>
        <v>0</v>
      </c>
      <c r="T84" s="168">
        <f>COUNTIF(Berekening!R$67:R$74,'Overzicht pronostieken'!$E84)</f>
        <v>0</v>
      </c>
      <c r="U84" s="168">
        <f>COUNTIF(Berekening!S$67:S$74,'Overzicht pronostieken'!$E84)</f>
        <v>0</v>
      </c>
      <c r="V84" s="168">
        <f>COUNTIF(Berekening!T$67:T$74,'Overzicht pronostieken'!$E84)</f>
        <v>0</v>
      </c>
      <c r="W84" s="168">
        <f>COUNTIF(Berekening!U$67:U$74,'Overzicht pronostieken'!$E84)</f>
        <v>0</v>
      </c>
      <c r="X84" s="168">
        <f>COUNTIF(Berekening!V$67:V$74,'Overzicht pronostieken'!$E84)</f>
        <v>0</v>
      </c>
      <c r="Y84" s="168">
        <f>COUNTIF(Berekening!W$67:W$74,'Overzicht pronostieken'!$E84)</f>
        <v>0</v>
      </c>
      <c r="Z84" s="168">
        <f>COUNTIF(Berekening!X$67:X$74,'Overzicht pronostieken'!$E84)</f>
        <v>0</v>
      </c>
      <c r="AA84" s="168">
        <f>COUNTIF(Berekening!Y$67:Y$74,'Overzicht pronostieken'!$E84)</f>
        <v>0</v>
      </c>
      <c r="AB84" s="168">
        <f>COUNTIF(Berekening!Z$67:Z$74,'Overzicht pronostieken'!$E84)</f>
        <v>0</v>
      </c>
      <c r="AC84" s="168">
        <f>COUNTIF(Berekening!AA$67:AA$74,'Overzicht pronostieken'!$E84)</f>
        <v>0</v>
      </c>
      <c r="AD84" s="168">
        <f>COUNTIF(Berekening!AB$67:AB$74,'Overzicht pronostieken'!$E84)</f>
        <v>0</v>
      </c>
      <c r="AE84" s="168">
        <f>COUNTIF(Berekening!AC$67:AC$74,'Overzicht pronostieken'!$E84)</f>
        <v>0</v>
      </c>
      <c r="AF84" s="168">
        <f>COUNTIF(Berekening!AD$67:AD$74,'Overzicht pronostieken'!$E84)</f>
        <v>0</v>
      </c>
      <c r="AG84" s="168">
        <f>COUNTIF(Berekening!AE$67:AE$74,'Overzicht pronostieken'!$E84)</f>
        <v>0</v>
      </c>
      <c r="AH84" s="168">
        <f>COUNTIF(Berekening!AF$67:AF$74,'Overzicht pronostieken'!$E84)</f>
        <v>0</v>
      </c>
      <c r="AI84" s="168">
        <f>COUNTIF(Berekening!AG$67:AG$74,'Overzicht pronostieken'!$E84)</f>
        <v>0</v>
      </c>
      <c r="AJ84" s="168">
        <f>COUNTIF(Berekening!AH$67:AH$74,'Overzicht pronostieken'!$E84)</f>
        <v>0</v>
      </c>
      <c r="AK84" s="168">
        <f>COUNTIF(Berekening!AI$67:AI$74,'Overzicht pronostieken'!$E84)</f>
        <v>0</v>
      </c>
      <c r="AL84" s="168">
        <f>COUNTIF(Berekening!AJ$67:AJ$74,'Overzicht pronostieken'!$E84)</f>
        <v>0</v>
      </c>
      <c r="AM84" s="168">
        <f>COUNTIF(Berekening!AK$67:AK$74,'Overzicht pronostieken'!$E84)</f>
        <v>0</v>
      </c>
      <c r="AN84" s="168">
        <f>COUNTIF(Berekening!AL$67:AL$74,'Overzicht pronostieken'!$E84)</f>
        <v>0</v>
      </c>
      <c r="AO84" s="168">
        <f>COUNTIF(Berekening!AM$67:AM$74,'Overzicht pronostieken'!$E84)</f>
        <v>0</v>
      </c>
      <c r="AP84" s="168">
        <f>COUNTIF(Berekening!AN$67:AN$74,'Overzicht pronostieken'!$E84)</f>
        <v>0</v>
      </c>
      <c r="AQ84" s="168">
        <f>COUNTIF(Berekening!AO$67:AO$74,'Overzicht pronostieken'!$E84)</f>
        <v>0</v>
      </c>
      <c r="AR84" s="168">
        <f>COUNTIF(Berekening!AP$67:AP$74,'Overzicht pronostieken'!$E84)</f>
        <v>0</v>
      </c>
      <c r="AS84" s="168">
        <f>COUNTIF(Berekening!AQ$67:AQ$74,'Overzicht pronostieken'!$E84)</f>
        <v>0</v>
      </c>
      <c r="AT84" s="168">
        <f>COUNTIF(Berekening!AR$67:AR$74,'Overzicht pronostieken'!$E84)</f>
        <v>0</v>
      </c>
      <c r="AU84" s="168">
        <f>COUNTIF(Berekening!AS$67:AS$74,'Overzicht pronostieken'!$E84)</f>
        <v>0</v>
      </c>
      <c r="AV84" s="168">
        <f>COUNTIF(Berekening!AT$67:AT$74,'Overzicht pronostieken'!$E84)</f>
        <v>0</v>
      </c>
    </row>
    <row r="85" spans="3:48">
      <c r="E85" s="161" t="s">
        <v>1755</v>
      </c>
      <c r="F85" s="161">
        <f t="shared" si="3"/>
        <v>2</v>
      </c>
      <c r="G85" s="168">
        <f>COUNTIF(Berekening!E$67:E$74,'Overzicht pronostieken'!$E85)</f>
        <v>0</v>
      </c>
      <c r="H85" s="168">
        <f>COUNTIF(Berekening!F$67:F$74,'Overzicht pronostieken'!$E85)</f>
        <v>0</v>
      </c>
      <c r="I85" s="168">
        <f>COUNTIF(Berekening!G$67:G$74,'Overzicht pronostieken'!$E85)</f>
        <v>0</v>
      </c>
      <c r="J85" s="168">
        <f>COUNTIF(Berekening!H$67:H$74,'Overzicht pronostieken'!$E85)</f>
        <v>0</v>
      </c>
      <c r="K85" s="168">
        <f>COUNTIF(Berekening!I$67:I$74,'Overzicht pronostieken'!$E85)</f>
        <v>0</v>
      </c>
      <c r="L85" s="168">
        <f>COUNTIF(Berekening!J$67:J$74,'Overzicht pronostieken'!$E85)</f>
        <v>0</v>
      </c>
      <c r="M85" s="168">
        <f>COUNTIF(Berekening!K$67:K$74,'Overzicht pronostieken'!$E85)</f>
        <v>0</v>
      </c>
      <c r="N85" s="168">
        <f>COUNTIF(Berekening!L$67:L$74,'Overzicht pronostieken'!$E85)</f>
        <v>1</v>
      </c>
      <c r="O85" s="168">
        <f>COUNTIF(Berekening!M$67:M$74,'Overzicht pronostieken'!$E85)</f>
        <v>0</v>
      </c>
      <c r="P85" s="168">
        <f>COUNTIF(Berekening!N$67:N$74,'Overzicht pronostieken'!$E85)</f>
        <v>0</v>
      </c>
      <c r="Q85" s="168">
        <f>COUNTIF(Berekening!O$67:O$74,'Overzicht pronostieken'!$E85)</f>
        <v>0</v>
      </c>
      <c r="R85" s="168">
        <f>COUNTIF(Berekening!P$67:P$74,'Overzicht pronostieken'!$E85)</f>
        <v>0</v>
      </c>
      <c r="S85" s="168">
        <f>COUNTIF(Berekening!Q$67:Q$74,'Overzicht pronostieken'!$E85)</f>
        <v>1</v>
      </c>
      <c r="T85" s="168">
        <f>COUNTIF(Berekening!R$67:R$74,'Overzicht pronostieken'!$E85)</f>
        <v>0</v>
      </c>
      <c r="U85" s="168">
        <f>COUNTIF(Berekening!S$67:S$74,'Overzicht pronostieken'!$E85)</f>
        <v>0</v>
      </c>
      <c r="V85" s="168">
        <f>COUNTIF(Berekening!T$67:T$74,'Overzicht pronostieken'!$E85)</f>
        <v>0</v>
      </c>
      <c r="W85" s="168">
        <f>COUNTIF(Berekening!U$67:U$74,'Overzicht pronostieken'!$E85)</f>
        <v>0</v>
      </c>
      <c r="X85" s="168">
        <f>COUNTIF(Berekening!V$67:V$74,'Overzicht pronostieken'!$E85)</f>
        <v>0</v>
      </c>
      <c r="Y85" s="168">
        <f>COUNTIF(Berekening!W$67:W$74,'Overzicht pronostieken'!$E85)</f>
        <v>0</v>
      </c>
      <c r="Z85" s="168">
        <f>COUNTIF(Berekening!X$67:X$74,'Overzicht pronostieken'!$E85)</f>
        <v>0</v>
      </c>
      <c r="AA85" s="168">
        <f>COUNTIF(Berekening!Y$67:Y$74,'Overzicht pronostieken'!$E85)</f>
        <v>0</v>
      </c>
      <c r="AB85" s="168">
        <f>COUNTIF(Berekening!Z$67:Z$74,'Overzicht pronostieken'!$E85)</f>
        <v>0</v>
      </c>
      <c r="AC85" s="168">
        <f>COUNTIF(Berekening!AA$67:AA$74,'Overzicht pronostieken'!$E85)</f>
        <v>0</v>
      </c>
      <c r="AD85" s="168">
        <f>COUNTIF(Berekening!AB$67:AB$74,'Overzicht pronostieken'!$E85)</f>
        <v>0</v>
      </c>
      <c r="AE85" s="168">
        <f>COUNTIF(Berekening!AC$67:AC$74,'Overzicht pronostieken'!$E85)</f>
        <v>0</v>
      </c>
      <c r="AF85" s="168">
        <f>COUNTIF(Berekening!AD$67:AD$74,'Overzicht pronostieken'!$E85)</f>
        <v>0</v>
      </c>
      <c r="AG85" s="168">
        <f>COUNTIF(Berekening!AE$67:AE$74,'Overzicht pronostieken'!$E85)</f>
        <v>0</v>
      </c>
      <c r="AH85" s="168">
        <f>COUNTIF(Berekening!AF$67:AF$74,'Overzicht pronostieken'!$E85)</f>
        <v>0</v>
      </c>
      <c r="AI85" s="168">
        <f>COUNTIF(Berekening!AG$67:AG$74,'Overzicht pronostieken'!$E85)</f>
        <v>0</v>
      </c>
      <c r="AJ85" s="168">
        <f>COUNTIF(Berekening!AH$67:AH$74,'Overzicht pronostieken'!$E85)</f>
        <v>0</v>
      </c>
      <c r="AK85" s="168">
        <f>COUNTIF(Berekening!AI$67:AI$74,'Overzicht pronostieken'!$E85)</f>
        <v>0</v>
      </c>
      <c r="AL85" s="168">
        <f>COUNTIF(Berekening!AJ$67:AJ$74,'Overzicht pronostieken'!$E85)</f>
        <v>0</v>
      </c>
      <c r="AM85" s="168">
        <f>COUNTIF(Berekening!AK$67:AK$74,'Overzicht pronostieken'!$E85)</f>
        <v>0</v>
      </c>
      <c r="AN85" s="168">
        <f>COUNTIF(Berekening!AL$67:AL$74,'Overzicht pronostieken'!$E85)</f>
        <v>0</v>
      </c>
      <c r="AO85" s="168">
        <f>COUNTIF(Berekening!AM$67:AM$74,'Overzicht pronostieken'!$E85)</f>
        <v>0</v>
      </c>
      <c r="AP85" s="168">
        <f>COUNTIF(Berekening!AN$67:AN$74,'Overzicht pronostieken'!$E85)</f>
        <v>0</v>
      </c>
      <c r="AQ85" s="168">
        <f>COUNTIF(Berekening!AO$67:AO$74,'Overzicht pronostieken'!$E85)</f>
        <v>0</v>
      </c>
      <c r="AR85" s="168">
        <f>COUNTIF(Berekening!AP$67:AP$74,'Overzicht pronostieken'!$E85)</f>
        <v>0</v>
      </c>
      <c r="AS85" s="168">
        <f>COUNTIF(Berekening!AQ$67:AQ$74,'Overzicht pronostieken'!$E85)</f>
        <v>0</v>
      </c>
      <c r="AT85" s="168">
        <f>COUNTIF(Berekening!AR$67:AR$74,'Overzicht pronostieken'!$E85)</f>
        <v>0</v>
      </c>
      <c r="AU85" s="168">
        <f>COUNTIF(Berekening!AS$67:AS$74,'Overzicht pronostieken'!$E85)</f>
        <v>0</v>
      </c>
      <c r="AV85" s="168">
        <f>COUNTIF(Berekening!AT$67:AT$74,'Overzicht pronostieken'!$E85)</f>
        <v>0</v>
      </c>
    </row>
    <row r="86" spans="3:48">
      <c r="E86" s="161" t="s">
        <v>1889</v>
      </c>
      <c r="F86" s="161">
        <f t="shared" si="3"/>
        <v>15</v>
      </c>
      <c r="G86" s="168">
        <f>COUNTIF(Berekening!E$67:E$74,'Overzicht pronostieken'!$E86)</f>
        <v>1</v>
      </c>
      <c r="H86" s="168">
        <f>COUNTIF(Berekening!F$67:F$74,'Overzicht pronostieken'!$E86)</f>
        <v>1</v>
      </c>
      <c r="I86" s="168">
        <f>COUNTIF(Berekening!G$67:G$74,'Overzicht pronostieken'!$E86)</f>
        <v>1</v>
      </c>
      <c r="J86" s="168">
        <f>COUNTIF(Berekening!H$67:H$74,'Overzicht pronostieken'!$E86)</f>
        <v>1</v>
      </c>
      <c r="K86" s="168">
        <f>COUNTIF(Berekening!I$67:I$74,'Overzicht pronostieken'!$E86)</f>
        <v>1</v>
      </c>
      <c r="L86" s="168">
        <f>COUNTIF(Berekening!J$67:J$74,'Overzicht pronostieken'!$E86)</f>
        <v>1</v>
      </c>
      <c r="M86" s="168">
        <f>COUNTIF(Berekening!K$67:K$74,'Overzicht pronostieken'!$E86)</f>
        <v>1</v>
      </c>
      <c r="N86" s="168">
        <f>COUNTIF(Berekening!L$67:L$74,'Overzicht pronostieken'!$E86)</f>
        <v>1</v>
      </c>
      <c r="O86" s="168">
        <f>COUNTIF(Berekening!M$67:M$74,'Overzicht pronostieken'!$E86)</f>
        <v>0</v>
      </c>
      <c r="P86" s="168">
        <f>COUNTIF(Berekening!N$67:N$74,'Overzicht pronostieken'!$E86)</f>
        <v>1</v>
      </c>
      <c r="Q86" s="168">
        <f>COUNTIF(Berekening!O$67:O$74,'Overzicht pronostieken'!$E86)</f>
        <v>1</v>
      </c>
      <c r="R86" s="168">
        <f>COUNTIF(Berekening!P$67:P$74,'Overzicht pronostieken'!$E86)</f>
        <v>1</v>
      </c>
      <c r="S86" s="168">
        <f>COUNTIF(Berekening!Q$67:Q$74,'Overzicht pronostieken'!$E86)</f>
        <v>1</v>
      </c>
      <c r="T86" s="168">
        <f>COUNTIF(Berekening!R$67:R$74,'Overzicht pronostieken'!$E86)</f>
        <v>1</v>
      </c>
      <c r="U86" s="168">
        <f>COUNTIF(Berekening!S$67:S$74,'Overzicht pronostieken'!$E86)</f>
        <v>1</v>
      </c>
      <c r="V86" s="168">
        <f>COUNTIF(Berekening!T$67:T$74,'Overzicht pronostieken'!$E86)</f>
        <v>1</v>
      </c>
      <c r="W86" s="168">
        <f>COUNTIF(Berekening!U$67:U$74,'Overzicht pronostieken'!$E86)</f>
        <v>0</v>
      </c>
      <c r="X86" s="168">
        <f>COUNTIF(Berekening!V$67:V$74,'Overzicht pronostieken'!$E86)</f>
        <v>0</v>
      </c>
      <c r="Y86" s="168">
        <f>COUNTIF(Berekening!W$67:W$74,'Overzicht pronostieken'!$E86)</f>
        <v>0</v>
      </c>
      <c r="Z86" s="168">
        <f>COUNTIF(Berekening!X$67:X$74,'Overzicht pronostieken'!$E86)</f>
        <v>0</v>
      </c>
      <c r="AA86" s="168">
        <f>COUNTIF(Berekening!Y$67:Y$74,'Overzicht pronostieken'!$E86)</f>
        <v>0</v>
      </c>
      <c r="AB86" s="168">
        <f>COUNTIF(Berekening!Z$67:Z$74,'Overzicht pronostieken'!$E86)</f>
        <v>0</v>
      </c>
      <c r="AC86" s="168">
        <f>COUNTIF(Berekening!AA$67:AA$74,'Overzicht pronostieken'!$E86)</f>
        <v>0</v>
      </c>
      <c r="AD86" s="168">
        <f>COUNTIF(Berekening!AB$67:AB$74,'Overzicht pronostieken'!$E86)</f>
        <v>0</v>
      </c>
      <c r="AE86" s="168">
        <f>COUNTIF(Berekening!AC$67:AC$74,'Overzicht pronostieken'!$E86)</f>
        <v>0</v>
      </c>
      <c r="AF86" s="168">
        <f>COUNTIF(Berekening!AD$67:AD$74,'Overzicht pronostieken'!$E86)</f>
        <v>0</v>
      </c>
      <c r="AG86" s="168">
        <f>COUNTIF(Berekening!AE$67:AE$74,'Overzicht pronostieken'!$E86)</f>
        <v>0</v>
      </c>
      <c r="AH86" s="168">
        <f>COUNTIF(Berekening!AF$67:AF$74,'Overzicht pronostieken'!$E86)</f>
        <v>0</v>
      </c>
      <c r="AI86" s="168">
        <f>COUNTIF(Berekening!AG$67:AG$74,'Overzicht pronostieken'!$E86)</f>
        <v>0</v>
      </c>
      <c r="AJ86" s="168">
        <f>COUNTIF(Berekening!AH$67:AH$74,'Overzicht pronostieken'!$E86)</f>
        <v>0</v>
      </c>
      <c r="AK86" s="168">
        <f>COUNTIF(Berekening!AI$67:AI$74,'Overzicht pronostieken'!$E86)</f>
        <v>0</v>
      </c>
      <c r="AL86" s="168">
        <f>COUNTIF(Berekening!AJ$67:AJ$74,'Overzicht pronostieken'!$E86)</f>
        <v>0</v>
      </c>
      <c r="AM86" s="168">
        <f>COUNTIF(Berekening!AK$67:AK$74,'Overzicht pronostieken'!$E86)</f>
        <v>0</v>
      </c>
      <c r="AN86" s="168">
        <f>COUNTIF(Berekening!AL$67:AL$74,'Overzicht pronostieken'!$E86)</f>
        <v>0</v>
      </c>
      <c r="AO86" s="168">
        <f>COUNTIF(Berekening!AM$67:AM$74,'Overzicht pronostieken'!$E86)</f>
        <v>0</v>
      </c>
      <c r="AP86" s="168">
        <f>COUNTIF(Berekening!AN$67:AN$74,'Overzicht pronostieken'!$E86)</f>
        <v>0</v>
      </c>
      <c r="AQ86" s="168">
        <f>COUNTIF(Berekening!AO$67:AO$74,'Overzicht pronostieken'!$E86)</f>
        <v>0</v>
      </c>
      <c r="AR86" s="168">
        <f>COUNTIF(Berekening!AP$67:AP$74,'Overzicht pronostieken'!$E86)</f>
        <v>0</v>
      </c>
      <c r="AS86" s="168">
        <f>COUNTIF(Berekening!AQ$67:AQ$74,'Overzicht pronostieken'!$E86)</f>
        <v>0</v>
      </c>
      <c r="AT86" s="168">
        <f>COUNTIF(Berekening!AR$67:AR$74,'Overzicht pronostieken'!$E86)</f>
        <v>0</v>
      </c>
      <c r="AU86" s="168">
        <f>COUNTIF(Berekening!AS$67:AS$74,'Overzicht pronostieken'!$E86)</f>
        <v>0</v>
      </c>
      <c r="AV86" s="168">
        <f>COUNTIF(Berekening!AT$67:AT$74,'Overzicht pronostieken'!$E86)</f>
        <v>0</v>
      </c>
    </row>
    <row r="87" spans="3:48">
      <c r="E87" s="161" t="s">
        <v>1235</v>
      </c>
      <c r="F87" s="161">
        <f t="shared" si="3"/>
        <v>4</v>
      </c>
      <c r="G87" s="168">
        <f>COUNTIF(Berekening!E$67:E$74,'Overzicht pronostieken'!$E87)</f>
        <v>1</v>
      </c>
      <c r="H87" s="168">
        <f>COUNTIF(Berekening!F$67:F$74,'Overzicht pronostieken'!$E87)</f>
        <v>0</v>
      </c>
      <c r="I87" s="168">
        <f>COUNTIF(Berekening!G$67:G$74,'Overzicht pronostieken'!$E87)</f>
        <v>0</v>
      </c>
      <c r="J87" s="168">
        <f>COUNTIF(Berekening!H$67:H$74,'Overzicht pronostieken'!$E87)</f>
        <v>0</v>
      </c>
      <c r="K87" s="168">
        <f>COUNTIF(Berekening!I$67:I$74,'Overzicht pronostieken'!$E87)</f>
        <v>0</v>
      </c>
      <c r="L87" s="168">
        <f>COUNTIF(Berekening!J$67:J$74,'Overzicht pronostieken'!$E87)</f>
        <v>0</v>
      </c>
      <c r="M87" s="168">
        <f>COUNTIF(Berekening!K$67:K$74,'Overzicht pronostieken'!$E87)</f>
        <v>1</v>
      </c>
      <c r="N87" s="168">
        <f>COUNTIF(Berekening!L$67:L$74,'Overzicht pronostieken'!$E87)</f>
        <v>0</v>
      </c>
      <c r="O87" s="168">
        <f>COUNTIF(Berekening!M$67:M$74,'Overzicht pronostieken'!$E87)</f>
        <v>1</v>
      </c>
      <c r="P87" s="168">
        <f>COUNTIF(Berekening!N$67:N$74,'Overzicht pronostieken'!$E87)</f>
        <v>0</v>
      </c>
      <c r="Q87" s="168">
        <f>COUNTIF(Berekening!O$67:O$74,'Overzicht pronostieken'!$E87)</f>
        <v>0</v>
      </c>
      <c r="R87" s="168">
        <f>COUNTIF(Berekening!P$67:P$74,'Overzicht pronostieken'!$E87)</f>
        <v>1</v>
      </c>
      <c r="S87" s="168">
        <f>COUNTIF(Berekening!Q$67:Q$74,'Overzicht pronostieken'!$E87)</f>
        <v>0</v>
      </c>
      <c r="T87" s="168">
        <f>COUNTIF(Berekening!R$67:R$74,'Overzicht pronostieken'!$E87)</f>
        <v>0</v>
      </c>
      <c r="U87" s="168">
        <f>COUNTIF(Berekening!S$67:S$74,'Overzicht pronostieken'!$E87)</f>
        <v>0</v>
      </c>
      <c r="V87" s="168">
        <f>COUNTIF(Berekening!T$67:T$74,'Overzicht pronostieken'!$E87)</f>
        <v>0</v>
      </c>
      <c r="W87" s="168">
        <f>COUNTIF(Berekening!U$67:U$74,'Overzicht pronostieken'!$E87)</f>
        <v>0</v>
      </c>
      <c r="X87" s="168">
        <f>COUNTIF(Berekening!V$67:V$74,'Overzicht pronostieken'!$E87)</f>
        <v>0</v>
      </c>
      <c r="Y87" s="168">
        <f>COUNTIF(Berekening!W$67:W$74,'Overzicht pronostieken'!$E87)</f>
        <v>0</v>
      </c>
      <c r="Z87" s="168">
        <f>COUNTIF(Berekening!X$67:X$74,'Overzicht pronostieken'!$E87)</f>
        <v>0</v>
      </c>
      <c r="AA87" s="168">
        <f>COUNTIF(Berekening!Y$67:Y$74,'Overzicht pronostieken'!$E87)</f>
        <v>0</v>
      </c>
      <c r="AB87" s="168">
        <f>COUNTIF(Berekening!Z$67:Z$74,'Overzicht pronostieken'!$E87)</f>
        <v>0</v>
      </c>
      <c r="AC87" s="168">
        <f>COUNTIF(Berekening!AA$67:AA$74,'Overzicht pronostieken'!$E87)</f>
        <v>0</v>
      </c>
      <c r="AD87" s="168">
        <f>COUNTIF(Berekening!AB$67:AB$74,'Overzicht pronostieken'!$E87)</f>
        <v>0</v>
      </c>
      <c r="AE87" s="168">
        <f>COUNTIF(Berekening!AC$67:AC$74,'Overzicht pronostieken'!$E87)</f>
        <v>0</v>
      </c>
      <c r="AF87" s="168">
        <f>COUNTIF(Berekening!AD$67:AD$74,'Overzicht pronostieken'!$E87)</f>
        <v>0</v>
      </c>
      <c r="AG87" s="168">
        <f>COUNTIF(Berekening!AE$67:AE$74,'Overzicht pronostieken'!$E87)</f>
        <v>0</v>
      </c>
      <c r="AH87" s="168">
        <f>COUNTIF(Berekening!AF$67:AF$74,'Overzicht pronostieken'!$E87)</f>
        <v>0</v>
      </c>
      <c r="AI87" s="168">
        <f>COUNTIF(Berekening!AG$67:AG$74,'Overzicht pronostieken'!$E87)</f>
        <v>0</v>
      </c>
      <c r="AJ87" s="168">
        <f>COUNTIF(Berekening!AH$67:AH$74,'Overzicht pronostieken'!$E87)</f>
        <v>0</v>
      </c>
      <c r="AK87" s="168">
        <f>COUNTIF(Berekening!AI$67:AI$74,'Overzicht pronostieken'!$E87)</f>
        <v>0</v>
      </c>
      <c r="AL87" s="168">
        <f>COUNTIF(Berekening!AJ$67:AJ$74,'Overzicht pronostieken'!$E87)</f>
        <v>0</v>
      </c>
      <c r="AM87" s="168">
        <f>COUNTIF(Berekening!AK$67:AK$74,'Overzicht pronostieken'!$E87)</f>
        <v>0</v>
      </c>
      <c r="AN87" s="168">
        <f>COUNTIF(Berekening!AL$67:AL$74,'Overzicht pronostieken'!$E87)</f>
        <v>0</v>
      </c>
      <c r="AO87" s="168">
        <f>COUNTIF(Berekening!AM$67:AM$74,'Overzicht pronostieken'!$E87)</f>
        <v>0</v>
      </c>
      <c r="AP87" s="168">
        <f>COUNTIF(Berekening!AN$67:AN$74,'Overzicht pronostieken'!$E87)</f>
        <v>0</v>
      </c>
      <c r="AQ87" s="168">
        <f>COUNTIF(Berekening!AO$67:AO$74,'Overzicht pronostieken'!$E87)</f>
        <v>0</v>
      </c>
      <c r="AR87" s="168">
        <f>COUNTIF(Berekening!AP$67:AP$74,'Overzicht pronostieken'!$E87)</f>
        <v>0</v>
      </c>
      <c r="AS87" s="168">
        <f>COUNTIF(Berekening!AQ$67:AQ$74,'Overzicht pronostieken'!$E87)</f>
        <v>0</v>
      </c>
      <c r="AT87" s="168">
        <f>COUNTIF(Berekening!AR$67:AR$74,'Overzicht pronostieken'!$E87)</f>
        <v>0</v>
      </c>
      <c r="AU87" s="168">
        <f>COUNTIF(Berekening!AS$67:AS$74,'Overzicht pronostieken'!$E87)</f>
        <v>0</v>
      </c>
      <c r="AV87" s="168">
        <f>COUNTIF(Berekening!AT$67:AT$74,'Overzicht pronostieken'!$E87)</f>
        <v>0</v>
      </c>
    </row>
    <row r="88" spans="3:48">
      <c r="E88" s="161" t="s">
        <v>1043</v>
      </c>
      <c r="F88" s="161">
        <f t="shared" si="3"/>
        <v>0</v>
      </c>
      <c r="G88" s="168">
        <f>COUNTIF(Berekening!E$67:E$74,'Overzicht pronostieken'!$E88)</f>
        <v>0</v>
      </c>
      <c r="H88" s="168">
        <f>COUNTIF(Berekening!F$67:F$74,'Overzicht pronostieken'!$E88)</f>
        <v>0</v>
      </c>
      <c r="I88" s="168">
        <f>COUNTIF(Berekening!G$67:G$74,'Overzicht pronostieken'!$E88)</f>
        <v>0</v>
      </c>
      <c r="J88" s="168">
        <f>COUNTIF(Berekening!H$67:H$74,'Overzicht pronostieken'!$E88)</f>
        <v>0</v>
      </c>
      <c r="K88" s="168">
        <f>COUNTIF(Berekening!I$67:I$74,'Overzicht pronostieken'!$E88)</f>
        <v>0</v>
      </c>
      <c r="L88" s="168">
        <f>COUNTIF(Berekening!J$67:J$74,'Overzicht pronostieken'!$E88)</f>
        <v>0</v>
      </c>
      <c r="M88" s="168">
        <f>COUNTIF(Berekening!K$67:K$74,'Overzicht pronostieken'!$E88)</f>
        <v>0</v>
      </c>
      <c r="N88" s="168">
        <f>COUNTIF(Berekening!L$67:L$74,'Overzicht pronostieken'!$E88)</f>
        <v>0</v>
      </c>
      <c r="O88" s="168">
        <f>COUNTIF(Berekening!M$67:M$74,'Overzicht pronostieken'!$E88)</f>
        <v>0</v>
      </c>
      <c r="P88" s="168">
        <f>COUNTIF(Berekening!N$67:N$74,'Overzicht pronostieken'!$E88)</f>
        <v>0</v>
      </c>
      <c r="Q88" s="168">
        <f>COUNTIF(Berekening!O$67:O$74,'Overzicht pronostieken'!$E88)</f>
        <v>0</v>
      </c>
      <c r="R88" s="168">
        <f>COUNTIF(Berekening!P$67:P$74,'Overzicht pronostieken'!$E88)</f>
        <v>0</v>
      </c>
      <c r="S88" s="168">
        <f>COUNTIF(Berekening!Q$67:Q$74,'Overzicht pronostieken'!$E88)</f>
        <v>0</v>
      </c>
      <c r="T88" s="168">
        <f>COUNTIF(Berekening!R$67:R$74,'Overzicht pronostieken'!$E88)</f>
        <v>0</v>
      </c>
      <c r="U88" s="168">
        <f>COUNTIF(Berekening!S$67:S$74,'Overzicht pronostieken'!$E88)</f>
        <v>0</v>
      </c>
      <c r="V88" s="168">
        <f>COUNTIF(Berekening!T$67:T$74,'Overzicht pronostieken'!$E88)</f>
        <v>0</v>
      </c>
      <c r="W88" s="168">
        <f>COUNTIF(Berekening!U$67:U$74,'Overzicht pronostieken'!$E88)</f>
        <v>0</v>
      </c>
      <c r="X88" s="168">
        <f>COUNTIF(Berekening!V$67:V$74,'Overzicht pronostieken'!$E88)</f>
        <v>0</v>
      </c>
      <c r="Y88" s="168">
        <f>COUNTIF(Berekening!W$67:W$74,'Overzicht pronostieken'!$E88)</f>
        <v>0</v>
      </c>
      <c r="Z88" s="168">
        <f>COUNTIF(Berekening!X$67:X$74,'Overzicht pronostieken'!$E88)</f>
        <v>0</v>
      </c>
      <c r="AA88" s="168">
        <f>COUNTIF(Berekening!Y$67:Y$74,'Overzicht pronostieken'!$E88)</f>
        <v>0</v>
      </c>
      <c r="AB88" s="168">
        <f>COUNTIF(Berekening!Z$67:Z$74,'Overzicht pronostieken'!$E88)</f>
        <v>0</v>
      </c>
      <c r="AC88" s="168">
        <f>COUNTIF(Berekening!AA$67:AA$74,'Overzicht pronostieken'!$E88)</f>
        <v>0</v>
      </c>
      <c r="AD88" s="168">
        <f>COUNTIF(Berekening!AB$67:AB$74,'Overzicht pronostieken'!$E88)</f>
        <v>0</v>
      </c>
      <c r="AE88" s="168">
        <f>COUNTIF(Berekening!AC$67:AC$74,'Overzicht pronostieken'!$E88)</f>
        <v>0</v>
      </c>
      <c r="AF88" s="168">
        <f>COUNTIF(Berekening!AD$67:AD$74,'Overzicht pronostieken'!$E88)</f>
        <v>0</v>
      </c>
      <c r="AG88" s="168">
        <f>COUNTIF(Berekening!AE$67:AE$74,'Overzicht pronostieken'!$E88)</f>
        <v>0</v>
      </c>
      <c r="AH88" s="168">
        <f>COUNTIF(Berekening!AF$67:AF$74,'Overzicht pronostieken'!$E88)</f>
        <v>0</v>
      </c>
      <c r="AI88" s="168">
        <f>COUNTIF(Berekening!AG$67:AG$74,'Overzicht pronostieken'!$E88)</f>
        <v>0</v>
      </c>
      <c r="AJ88" s="168">
        <f>COUNTIF(Berekening!AH$67:AH$74,'Overzicht pronostieken'!$E88)</f>
        <v>0</v>
      </c>
      <c r="AK88" s="168">
        <f>COUNTIF(Berekening!AI$67:AI$74,'Overzicht pronostieken'!$E88)</f>
        <v>0</v>
      </c>
      <c r="AL88" s="168">
        <f>COUNTIF(Berekening!AJ$67:AJ$74,'Overzicht pronostieken'!$E88)</f>
        <v>0</v>
      </c>
      <c r="AM88" s="168">
        <f>COUNTIF(Berekening!AK$67:AK$74,'Overzicht pronostieken'!$E88)</f>
        <v>0</v>
      </c>
      <c r="AN88" s="168">
        <f>COUNTIF(Berekening!AL$67:AL$74,'Overzicht pronostieken'!$E88)</f>
        <v>0</v>
      </c>
      <c r="AO88" s="168">
        <f>COUNTIF(Berekening!AM$67:AM$74,'Overzicht pronostieken'!$E88)</f>
        <v>0</v>
      </c>
      <c r="AP88" s="168">
        <f>COUNTIF(Berekening!AN$67:AN$74,'Overzicht pronostieken'!$E88)</f>
        <v>0</v>
      </c>
      <c r="AQ88" s="168">
        <f>COUNTIF(Berekening!AO$67:AO$74,'Overzicht pronostieken'!$E88)</f>
        <v>0</v>
      </c>
      <c r="AR88" s="168">
        <f>COUNTIF(Berekening!AP$67:AP$74,'Overzicht pronostieken'!$E88)</f>
        <v>0</v>
      </c>
      <c r="AS88" s="168">
        <f>COUNTIF(Berekening!AQ$67:AQ$74,'Overzicht pronostieken'!$E88)</f>
        <v>0</v>
      </c>
      <c r="AT88" s="168">
        <f>COUNTIF(Berekening!AR$67:AR$74,'Overzicht pronostieken'!$E88)</f>
        <v>0</v>
      </c>
      <c r="AU88" s="168">
        <f>COUNTIF(Berekening!AS$67:AS$74,'Overzicht pronostieken'!$E88)</f>
        <v>0</v>
      </c>
      <c r="AV88" s="168">
        <f>COUNTIF(Berekening!AT$67:AT$74,'Overzicht pronostieken'!$E88)</f>
        <v>0</v>
      </c>
    </row>
    <row r="89" spans="3:48">
      <c r="E89" s="161" t="s">
        <v>1433</v>
      </c>
      <c r="F89" s="161">
        <f t="shared" si="3"/>
        <v>0</v>
      </c>
      <c r="G89" s="168">
        <f>COUNTIF(Berekening!E$67:E$74,'Overzicht pronostieken'!$E89)</f>
        <v>0</v>
      </c>
      <c r="H89" s="168">
        <f>COUNTIF(Berekening!F$67:F$74,'Overzicht pronostieken'!$E89)</f>
        <v>0</v>
      </c>
      <c r="I89" s="168">
        <f>COUNTIF(Berekening!G$67:G$74,'Overzicht pronostieken'!$E89)</f>
        <v>0</v>
      </c>
      <c r="J89" s="168">
        <f>COUNTIF(Berekening!H$67:H$74,'Overzicht pronostieken'!$E89)</f>
        <v>0</v>
      </c>
      <c r="K89" s="168">
        <f>COUNTIF(Berekening!I$67:I$74,'Overzicht pronostieken'!$E89)</f>
        <v>0</v>
      </c>
      <c r="L89" s="168">
        <f>COUNTIF(Berekening!J$67:J$74,'Overzicht pronostieken'!$E89)</f>
        <v>0</v>
      </c>
      <c r="M89" s="168">
        <f>COUNTIF(Berekening!K$67:K$74,'Overzicht pronostieken'!$E89)</f>
        <v>0</v>
      </c>
      <c r="N89" s="168">
        <f>COUNTIF(Berekening!L$67:L$74,'Overzicht pronostieken'!$E89)</f>
        <v>0</v>
      </c>
      <c r="O89" s="168">
        <f>COUNTIF(Berekening!M$67:M$74,'Overzicht pronostieken'!$E89)</f>
        <v>0</v>
      </c>
      <c r="P89" s="168">
        <f>COUNTIF(Berekening!N$67:N$74,'Overzicht pronostieken'!$E89)</f>
        <v>0</v>
      </c>
      <c r="Q89" s="168">
        <f>COUNTIF(Berekening!O$67:O$74,'Overzicht pronostieken'!$E89)</f>
        <v>0</v>
      </c>
      <c r="R89" s="168">
        <f>COUNTIF(Berekening!P$67:P$74,'Overzicht pronostieken'!$E89)</f>
        <v>0</v>
      </c>
      <c r="S89" s="168">
        <f>COUNTIF(Berekening!Q$67:Q$74,'Overzicht pronostieken'!$E89)</f>
        <v>0</v>
      </c>
      <c r="T89" s="168">
        <f>COUNTIF(Berekening!R$67:R$74,'Overzicht pronostieken'!$E89)</f>
        <v>0</v>
      </c>
      <c r="U89" s="168">
        <f>COUNTIF(Berekening!S$67:S$74,'Overzicht pronostieken'!$E89)</f>
        <v>0</v>
      </c>
      <c r="V89" s="168">
        <f>COUNTIF(Berekening!T$67:T$74,'Overzicht pronostieken'!$E89)</f>
        <v>0</v>
      </c>
      <c r="W89" s="168">
        <f>COUNTIF(Berekening!U$67:U$74,'Overzicht pronostieken'!$E89)</f>
        <v>0</v>
      </c>
      <c r="X89" s="168">
        <f>COUNTIF(Berekening!V$67:V$74,'Overzicht pronostieken'!$E89)</f>
        <v>0</v>
      </c>
      <c r="Y89" s="168">
        <f>COUNTIF(Berekening!W$67:W$74,'Overzicht pronostieken'!$E89)</f>
        <v>0</v>
      </c>
      <c r="Z89" s="168">
        <f>COUNTIF(Berekening!X$67:X$74,'Overzicht pronostieken'!$E89)</f>
        <v>0</v>
      </c>
      <c r="AA89" s="168">
        <f>COUNTIF(Berekening!Y$67:Y$74,'Overzicht pronostieken'!$E89)</f>
        <v>0</v>
      </c>
      <c r="AB89" s="168">
        <f>COUNTIF(Berekening!Z$67:Z$74,'Overzicht pronostieken'!$E89)</f>
        <v>0</v>
      </c>
      <c r="AC89" s="168">
        <f>COUNTIF(Berekening!AA$67:AA$74,'Overzicht pronostieken'!$E89)</f>
        <v>0</v>
      </c>
      <c r="AD89" s="168">
        <f>COUNTIF(Berekening!AB$67:AB$74,'Overzicht pronostieken'!$E89)</f>
        <v>0</v>
      </c>
      <c r="AE89" s="168">
        <f>COUNTIF(Berekening!AC$67:AC$74,'Overzicht pronostieken'!$E89)</f>
        <v>0</v>
      </c>
      <c r="AF89" s="168">
        <f>COUNTIF(Berekening!AD$67:AD$74,'Overzicht pronostieken'!$E89)</f>
        <v>0</v>
      </c>
      <c r="AG89" s="168">
        <f>COUNTIF(Berekening!AE$67:AE$74,'Overzicht pronostieken'!$E89)</f>
        <v>0</v>
      </c>
      <c r="AH89" s="168">
        <f>COUNTIF(Berekening!AF$67:AF$74,'Overzicht pronostieken'!$E89)</f>
        <v>0</v>
      </c>
      <c r="AI89" s="168">
        <f>COUNTIF(Berekening!AG$67:AG$74,'Overzicht pronostieken'!$E89)</f>
        <v>0</v>
      </c>
      <c r="AJ89" s="168">
        <f>COUNTIF(Berekening!AH$67:AH$74,'Overzicht pronostieken'!$E89)</f>
        <v>0</v>
      </c>
      <c r="AK89" s="168">
        <f>COUNTIF(Berekening!AI$67:AI$74,'Overzicht pronostieken'!$E89)</f>
        <v>0</v>
      </c>
      <c r="AL89" s="168">
        <f>COUNTIF(Berekening!AJ$67:AJ$74,'Overzicht pronostieken'!$E89)</f>
        <v>0</v>
      </c>
      <c r="AM89" s="168">
        <f>COUNTIF(Berekening!AK$67:AK$74,'Overzicht pronostieken'!$E89)</f>
        <v>0</v>
      </c>
      <c r="AN89" s="168">
        <f>COUNTIF(Berekening!AL$67:AL$74,'Overzicht pronostieken'!$E89)</f>
        <v>0</v>
      </c>
      <c r="AO89" s="168">
        <f>COUNTIF(Berekening!AM$67:AM$74,'Overzicht pronostieken'!$E89)</f>
        <v>0</v>
      </c>
      <c r="AP89" s="168">
        <f>COUNTIF(Berekening!AN$67:AN$74,'Overzicht pronostieken'!$E89)</f>
        <v>0</v>
      </c>
      <c r="AQ89" s="168">
        <f>COUNTIF(Berekening!AO$67:AO$74,'Overzicht pronostieken'!$E89)</f>
        <v>0</v>
      </c>
      <c r="AR89" s="168">
        <f>COUNTIF(Berekening!AP$67:AP$74,'Overzicht pronostieken'!$E89)</f>
        <v>0</v>
      </c>
      <c r="AS89" s="168">
        <f>COUNTIF(Berekening!AQ$67:AQ$74,'Overzicht pronostieken'!$E89)</f>
        <v>0</v>
      </c>
      <c r="AT89" s="168">
        <f>COUNTIF(Berekening!AR$67:AR$74,'Overzicht pronostieken'!$E89)</f>
        <v>0</v>
      </c>
      <c r="AU89" s="168">
        <f>COUNTIF(Berekening!AS$67:AS$74,'Overzicht pronostieken'!$E89)</f>
        <v>0</v>
      </c>
      <c r="AV89" s="168">
        <f>COUNTIF(Berekening!AT$67:AT$74,'Overzicht pronostieken'!$E89)</f>
        <v>0</v>
      </c>
    </row>
    <row r="90" spans="3:48">
      <c r="E90" s="161" t="s">
        <v>1132</v>
      </c>
      <c r="F90" s="161">
        <f t="shared" si="3"/>
        <v>16</v>
      </c>
      <c r="G90" s="168">
        <f>COUNTIF(Berekening!E$67:E$74,'Overzicht pronostieken'!$E90)</f>
        <v>1</v>
      </c>
      <c r="H90" s="168">
        <f>COUNTIF(Berekening!F$67:F$74,'Overzicht pronostieken'!$E90)</f>
        <v>1</v>
      </c>
      <c r="I90" s="168">
        <f>COUNTIF(Berekening!G$67:G$74,'Overzicht pronostieken'!$E90)</f>
        <v>1</v>
      </c>
      <c r="J90" s="168">
        <f>COUNTIF(Berekening!H$67:H$74,'Overzicht pronostieken'!$E90)</f>
        <v>1</v>
      </c>
      <c r="K90" s="168">
        <f>COUNTIF(Berekening!I$67:I$74,'Overzicht pronostieken'!$E90)</f>
        <v>1</v>
      </c>
      <c r="L90" s="168">
        <f>COUNTIF(Berekening!J$67:J$74,'Overzicht pronostieken'!$E90)</f>
        <v>1</v>
      </c>
      <c r="M90" s="168">
        <f>COUNTIF(Berekening!K$67:K$74,'Overzicht pronostieken'!$E90)</f>
        <v>1</v>
      </c>
      <c r="N90" s="168">
        <f>COUNTIF(Berekening!L$67:L$74,'Overzicht pronostieken'!$E90)</f>
        <v>1</v>
      </c>
      <c r="O90" s="168">
        <f>COUNTIF(Berekening!M$67:M$74,'Overzicht pronostieken'!$E90)</f>
        <v>1</v>
      </c>
      <c r="P90" s="168">
        <f>COUNTIF(Berekening!N$67:N$74,'Overzicht pronostieken'!$E90)</f>
        <v>1</v>
      </c>
      <c r="Q90" s="168">
        <f>COUNTIF(Berekening!O$67:O$74,'Overzicht pronostieken'!$E90)</f>
        <v>1</v>
      </c>
      <c r="R90" s="168">
        <f>COUNTIF(Berekening!P$67:P$74,'Overzicht pronostieken'!$E90)</f>
        <v>1</v>
      </c>
      <c r="S90" s="168">
        <f>COUNTIF(Berekening!Q$67:Q$74,'Overzicht pronostieken'!$E90)</f>
        <v>1</v>
      </c>
      <c r="T90" s="168">
        <f>COUNTIF(Berekening!R$67:R$74,'Overzicht pronostieken'!$E90)</f>
        <v>1</v>
      </c>
      <c r="U90" s="168">
        <f>COUNTIF(Berekening!S$67:S$74,'Overzicht pronostieken'!$E90)</f>
        <v>1</v>
      </c>
      <c r="V90" s="168">
        <f>COUNTIF(Berekening!T$67:T$74,'Overzicht pronostieken'!$E90)</f>
        <v>1</v>
      </c>
      <c r="W90" s="168">
        <f>COUNTIF(Berekening!U$67:U$74,'Overzicht pronostieken'!$E90)</f>
        <v>0</v>
      </c>
      <c r="X90" s="168">
        <f>COUNTIF(Berekening!V$67:V$74,'Overzicht pronostieken'!$E90)</f>
        <v>0</v>
      </c>
      <c r="Y90" s="168">
        <f>COUNTIF(Berekening!W$67:W$74,'Overzicht pronostieken'!$E90)</f>
        <v>0</v>
      </c>
      <c r="Z90" s="168">
        <f>COUNTIF(Berekening!X$67:X$74,'Overzicht pronostieken'!$E90)</f>
        <v>0</v>
      </c>
      <c r="AA90" s="168">
        <f>COUNTIF(Berekening!Y$67:Y$74,'Overzicht pronostieken'!$E90)</f>
        <v>0</v>
      </c>
      <c r="AB90" s="168">
        <f>COUNTIF(Berekening!Z$67:Z$74,'Overzicht pronostieken'!$E90)</f>
        <v>0</v>
      </c>
      <c r="AC90" s="168">
        <f>COUNTIF(Berekening!AA$67:AA$74,'Overzicht pronostieken'!$E90)</f>
        <v>0</v>
      </c>
      <c r="AD90" s="168">
        <f>COUNTIF(Berekening!AB$67:AB$74,'Overzicht pronostieken'!$E90)</f>
        <v>0</v>
      </c>
      <c r="AE90" s="168">
        <f>COUNTIF(Berekening!AC$67:AC$74,'Overzicht pronostieken'!$E90)</f>
        <v>0</v>
      </c>
      <c r="AF90" s="168">
        <f>COUNTIF(Berekening!AD$67:AD$74,'Overzicht pronostieken'!$E90)</f>
        <v>0</v>
      </c>
      <c r="AG90" s="168">
        <f>COUNTIF(Berekening!AE$67:AE$74,'Overzicht pronostieken'!$E90)</f>
        <v>0</v>
      </c>
      <c r="AH90" s="168">
        <f>COUNTIF(Berekening!AF$67:AF$74,'Overzicht pronostieken'!$E90)</f>
        <v>0</v>
      </c>
      <c r="AI90" s="168">
        <f>COUNTIF(Berekening!AG$67:AG$74,'Overzicht pronostieken'!$E90)</f>
        <v>0</v>
      </c>
      <c r="AJ90" s="168">
        <f>COUNTIF(Berekening!AH$67:AH$74,'Overzicht pronostieken'!$E90)</f>
        <v>0</v>
      </c>
      <c r="AK90" s="168">
        <f>COUNTIF(Berekening!AI$67:AI$74,'Overzicht pronostieken'!$E90)</f>
        <v>0</v>
      </c>
      <c r="AL90" s="168">
        <f>COUNTIF(Berekening!AJ$67:AJ$74,'Overzicht pronostieken'!$E90)</f>
        <v>0</v>
      </c>
      <c r="AM90" s="168">
        <f>COUNTIF(Berekening!AK$67:AK$74,'Overzicht pronostieken'!$E90)</f>
        <v>0</v>
      </c>
      <c r="AN90" s="168">
        <f>COUNTIF(Berekening!AL$67:AL$74,'Overzicht pronostieken'!$E90)</f>
        <v>0</v>
      </c>
      <c r="AO90" s="168">
        <f>COUNTIF(Berekening!AM$67:AM$74,'Overzicht pronostieken'!$E90)</f>
        <v>0</v>
      </c>
      <c r="AP90" s="168">
        <f>COUNTIF(Berekening!AN$67:AN$74,'Overzicht pronostieken'!$E90)</f>
        <v>0</v>
      </c>
      <c r="AQ90" s="168">
        <f>COUNTIF(Berekening!AO$67:AO$74,'Overzicht pronostieken'!$E90)</f>
        <v>0</v>
      </c>
      <c r="AR90" s="168">
        <f>COUNTIF(Berekening!AP$67:AP$74,'Overzicht pronostieken'!$E90)</f>
        <v>0</v>
      </c>
      <c r="AS90" s="168">
        <f>COUNTIF(Berekening!AQ$67:AQ$74,'Overzicht pronostieken'!$E90)</f>
        <v>0</v>
      </c>
      <c r="AT90" s="168">
        <f>COUNTIF(Berekening!AR$67:AR$74,'Overzicht pronostieken'!$E90)</f>
        <v>0</v>
      </c>
      <c r="AU90" s="168">
        <f>COUNTIF(Berekening!AS$67:AS$74,'Overzicht pronostieken'!$E90)</f>
        <v>0</v>
      </c>
      <c r="AV90" s="168">
        <f>COUNTIF(Berekening!AT$67:AT$74,'Overzicht pronostieken'!$E90)</f>
        <v>0</v>
      </c>
    </row>
    <row r="91" spans="3:48">
      <c r="E91" s="161" t="s">
        <v>2689</v>
      </c>
      <c r="F91" s="161">
        <f t="shared" si="3"/>
        <v>0</v>
      </c>
      <c r="G91" s="168">
        <f>COUNTIF(Berekening!E$67:E$74,'Overzicht pronostieken'!$E91)</f>
        <v>0</v>
      </c>
      <c r="H91" s="168">
        <f>COUNTIF(Berekening!F$67:F$74,'Overzicht pronostieken'!$E91)</f>
        <v>0</v>
      </c>
      <c r="I91" s="168">
        <f>COUNTIF(Berekening!G$67:G$74,'Overzicht pronostieken'!$E91)</f>
        <v>0</v>
      </c>
      <c r="J91" s="168">
        <f>COUNTIF(Berekening!H$67:H$74,'Overzicht pronostieken'!$E91)</f>
        <v>0</v>
      </c>
      <c r="K91" s="168">
        <f>COUNTIF(Berekening!I$67:I$74,'Overzicht pronostieken'!$E91)</f>
        <v>0</v>
      </c>
      <c r="L91" s="168">
        <f>COUNTIF(Berekening!J$67:J$74,'Overzicht pronostieken'!$E91)</f>
        <v>0</v>
      </c>
      <c r="M91" s="168">
        <f>COUNTIF(Berekening!K$67:K$74,'Overzicht pronostieken'!$E91)</f>
        <v>0</v>
      </c>
      <c r="N91" s="168">
        <f>COUNTIF(Berekening!L$67:L$74,'Overzicht pronostieken'!$E91)</f>
        <v>0</v>
      </c>
      <c r="O91" s="168">
        <f>COUNTIF(Berekening!M$67:M$74,'Overzicht pronostieken'!$E91)</f>
        <v>0</v>
      </c>
      <c r="P91" s="168">
        <f>COUNTIF(Berekening!N$67:N$74,'Overzicht pronostieken'!$E91)</f>
        <v>0</v>
      </c>
      <c r="Q91" s="168">
        <f>COUNTIF(Berekening!O$67:O$74,'Overzicht pronostieken'!$E91)</f>
        <v>0</v>
      </c>
      <c r="R91" s="168">
        <f>COUNTIF(Berekening!P$67:P$74,'Overzicht pronostieken'!$E91)</f>
        <v>0</v>
      </c>
      <c r="S91" s="168">
        <f>COUNTIF(Berekening!Q$67:Q$74,'Overzicht pronostieken'!$E91)</f>
        <v>0</v>
      </c>
      <c r="T91" s="168">
        <f>COUNTIF(Berekening!R$67:R$74,'Overzicht pronostieken'!$E91)</f>
        <v>0</v>
      </c>
      <c r="U91" s="168">
        <f>COUNTIF(Berekening!S$67:S$74,'Overzicht pronostieken'!$E91)</f>
        <v>0</v>
      </c>
      <c r="V91" s="168">
        <f>COUNTIF(Berekening!T$67:T$74,'Overzicht pronostieken'!$E91)</f>
        <v>0</v>
      </c>
      <c r="W91" s="168">
        <f>COUNTIF(Berekening!U$67:U$74,'Overzicht pronostieken'!$E91)</f>
        <v>0</v>
      </c>
      <c r="X91" s="168">
        <f>COUNTIF(Berekening!V$67:V$74,'Overzicht pronostieken'!$E91)</f>
        <v>0</v>
      </c>
      <c r="Y91" s="168">
        <f>COUNTIF(Berekening!W$67:W$74,'Overzicht pronostieken'!$E91)</f>
        <v>0</v>
      </c>
      <c r="Z91" s="168">
        <f>COUNTIF(Berekening!X$67:X$74,'Overzicht pronostieken'!$E91)</f>
        <v>0</v>
      </c>
      <c r="AA91" s="168">
        <f>COUNTIF(Berekening!Y$67:Y$74,'Overzicht pronostieken'!$E91)</f>
        <v>0</v>
      </c>
      <c r="AB91" s="168">
        <f>COUNTIF(Berekening!Z$67:Z$74,'Overzicht pronostieken'!$E91)</f>
        <v>0</v>
      </c>
      <c r="AC91" s="168">
        <f>COUNTIF(Berekening!AA$67:AA$74,'Overzicht pronostieken'!$E91)</f>
        <v>0</v>
      </c>
      <c r="AD91" s="168">
        <f>COUNTIF(Berekening!AB$67:AB$74,'Overzicht pronostieken'!$E91)</f>
        <v>0</v>
      </c>
      <c r="AE91" s="168">
        <f>COUNTIF(Berekening!AC$67:AC$74,'Overzicht pronostieken'!$E91)</f>
        <v>0</v>
      </c>
      <c r="AF91" s="168">
        <f>COUNTIF(Berekening!AD$67:AD$74,'Overzicht pronostieken'!$E91)</f>
        <v>0</v>
      </c>
      <c r="AG91" s="168">
        <f>COUNTIF(Berekening!AE$67:AE$74,'Overzicht pronostieken'!$E91)</f>
        <v>0</v>
      </c>
      <c r="AH91" s="168">
        <f>COUNTIF(Berekening!AF$67:AF$74,'Overzicht pronostieken'!$E91)</f>
        <v>0</v>
      </c>
      <c r="AI91" s="168">
        <f>COUNTIF(Berekening!AG$67:AG$74,'Overzicht pronostieken'!$E91)</f>
        <v>0</v>
      </c>
      <c r="AJ91" s="168">
        <f>COUNTIF(Berekening!AH$67:AH$74,'Overzicht pronostieken'!$E91)</f>
        <v>0</v>
      </c>
      <c r="AK91" s="168">
        <f>COUNTIF(Berekening!AI$67:AI$74,'Overzicht pronostieken'!$E91)</f>
        <v>0</v>
      </c>
      <c r="AL91" s="168">
        <f>COUNTIF(Berekening!AJ$67:AJ$74,'Overzicht pronostieken'!$E91)</f>
        <v>0</v>
      </c>
      <c r="AM91" s="168">
        <f>COUNTIF(Berekening!AK$67:AK$74,'Overzicht pronostieken'!$E91)</f>
        <v>0</v>
      </c>
      <c r="AN91" s="168">
        <f>COUNTIF(Berekening!AL$67:AL$74,'Overzicht pronostieken'!$E91)</f>
        <v>0</v>
      </c>
      <c r="AO91" s="168">
        <f>COUNTIF(Berekening!AM$67:AM$74,'Overzicht pronostieken'!$E91)</f>
        <v>0</v>
      </c>
      <c r="AP91" s="168">
        <f>COUNTIF(Berekening!AN$67:AN$74,'Overzicht pronostieken'!$E91)</f>
        <v>0</v>
      </c>
      <c r="AQ91" s="168">
        <f>COUNTIF(Berekening!AO$67:AO$74,'Overzicht pronostieken'!$E91)</f>
        <v>0</v>
      </c>
      <c r="AR91" s="168">
        <f>COUNTIF(Berekening!AP$67:AP$74,'Overzicht pronostieken'!$E91)</f>
        <v>0</v>
      </c>
      <c r="AS91" s="168">
        <f>COUNTIF(Berekening!AQ$67:AQ$74,'Overzicht pronostieken'!$E91)</f>
        <v>0</v>
      </c>
      <c r="AT91" s="168">
        <f>COUNTIF(Berekening!AR$67:AR$74,'Overzicht pronostieken'!$E91)</f>
        <v>0</v>
      </c>
      <c r="AU91" s="168">
        <f>COUNTIF(Berekening!AS$67:AS$74,'Overzicht pronostieken'!$E91)</f>
        <v>0</v>
      </c>
      <c r="AV91" s="168">
        <f>COUNTIF(Berekening!AT$67:AT$74,'Overzicht pronostieken'!$E91)</f>
        <v>0</v>
      </c>
    </row>
    <row r="92" spans="3:48">
      <c r="E92" s="161" t="s">
        <v>1647</v>
      </c>
      <c r="F92" s="161">
        <f t="shared" si="3"/>
        <v>0</v>
      </c>
      <c r="G92" s="168">
        <f>COUNTIF(Berekening!E$67:E$74,'Overzicht pronostieken'!$E92)</f>
        <v>0</v>
      </c>
      <c r="H92" s="168">
        <f>COUNTIF(Berekening!F$67:F$74,'Overzicht pronostieken'!$E92)</f>
        <v>0</v>
      </c>
      <c r="I92" s="168">
        <f>COUNTIF(Berekening!G$67:G$74,'Overzicht pronostieken'!$E92)</f>
        <v>0</v>
      </c>
      <c r="J92" s="168">
        <f>COUNTIF(Berekening!H$67:H$74,'Overzicht pronostieken'!$E92)</f>
        <v>0</v>
      </c>
      <c r="K92" s="168">
        <f>COUNTIF(Berekening!I$67:I$74,'Overzicht pronostieken'!$E92)</f>
        <v>0</v>
      </c>
      <c r="L92" s="168">
        <f>COUNTIF(Berekening!J$67:J$74,'Overzicht pronostieken'!$E92)</f>
        <v>0</v>
      </c>
      <c r="M92" s="168">
        <f>COUNTIF(Berekening!K$67:K$74,'Overzicht pronostieken'!$E92)</f>
        <v>0</v>
      </c>
      <c r="N92" s="168">
        <f>COUNTIF(Berekening!L$67:L$74,'Overzicht pronostieken'!$E92)</f>
        <v>0</v>
      </c>
      <c r="O92" s="168">
        <f>COUNTIF(Berekening!M$67:M$74,'Overzicht pronostieken'!$E92)</f>
        <v>0</v>
      </c>
      <c r="P92" s="168">
        <f>COUNTIF(Berekening!N$67:N$74,'Overzicht pronostieken'!$E92)</f>
        <v>0</v>
      </c>
      <c r="Q92" s="168">
        <f>COUNTIF(Berekening!O$67:O$74,'Overzicht pronostieken'!$E92)</f>
        <v>0</v>
      </c>
      <c r="R92" s="168">
        <f>COUNTIF(Berekening!P$67:P$74,'Overzicht pronostieken'!$E92)</f>
        <v>0</v>
      </c>
      <c r="S92" s="168">
        <f>COUNTIF(Berekening!Q$67:Q$74,'Overzicht pronostieken'!$E92)</f>
        <v>0</v>
      </c>
      <c r="T92" s="168">
        <f>COUNTIF(Berekening!R$67:R$74,'Overzicht pronostieken'!$E92)</f>
        <v>0</v>
      </c>
      <c r="U92" s="168">
        <f>COUNTIF(Berekening!S$67:S$74,'Overzicht pronostieken'!$E92)</f>
        <v>0</v>
      </c>
      <c r="V92" s="168">
        <f>COUNTIF(Berekening!T$67:T$74,'Overzicht pronostieken'!$E92)</f>
        <v>0</v>
      </c>
      <c r="W92" s="168">
        <f>COUNTIF(Berekening!U$67:U$74,'Overzicht pronostieken'!$E92)</f>
        <v>0</v>
      </c>
      <c r="X92" s="168">
        <f>COUNTIF(Berekening!V$67:V$74,'Overzicht pronostieken'!$E92)</f>
        <v>0</v>
      </c>
      <c r="Y92" s="168">
        <f>COUNTIF(Berekening!W$67:W$74,'Overzicht pronostieken'!$E92)</f>
        <v>0</v>
      </c>
      <c r="Z92" s="168">
        <f>COUNTIF(Berekening!X$67:X$74,'Overzicht pronostieken'!$E92)</f>
        <v>0</v>
      </c>
      <c r="AA92" s="168">
        <f>COUNTIF(Berekening!Y$67:Y$74,'Overzicht pronostieken'!$E92)</f>
        <v>0</v>
      </c>
      <c r="AB92" s="168">
        <f>COUNTIF(Berekening!Z$67:Z$74,'Overzicht pronostieken'!$E92)</f>
        <v>0</v>
      </c>
      <c r="AC92" s="168">
        <f>COUNTIF(Berekening!AA$67:AA$74,'Overzicht pronostieken'!$E92)</f>
        <v>0</v>
      </c>
      <c r="AD92" s="168">
        <f>COUNTIF(Berekening!AB$67:AB$74,'Overzicht pronostieken'!$E92)</f>
        <v>0</v>
      </c>
      <c r="AE92" s="168">
        <f>COUNTIF(Berekening!AC$67:AC$74,'Overzicht pronostieken'!$E92)</f>
        <v>0</v>
      </c>
      <c r="AF92" s="168">
        <f>COUNTIF(Berekening!AD$67:AD$74,'Overzicht pronostieken'!$E92)</f>
        <v>0</v>
      </c>
      <c r="AG92" s="168">
        <f>COUNTIF(Berekening!AE$67:AE$74,'Overzicht pronostieken'!$E92)</f>
        <v>0</v>
      </c>
      <c r="AH92" s="168">
        <f>COUNTIF(Berekening!AF$67:AF$74,'Overzicht pronostieken'!$E92)</f>
        <v>0</v>
      </c>
      <c r="AI92" s="168">
        <f>COUNTIF(Berekening!AG$67:AG$74,'Overzicht pronostieken'!$E92)</f>
        <v>0</v>
      </c>
      <c r="AJ92" s="168">
        <f>COUNTIF(Berekening!AH$67:AH$74,'Overzicht pronostieken'!$E92)</f>
        <v>0</v>
      </c>
      <c r="AK92" s="168">
        <f>COUNTIF(Berekening!AI$67:AI$74,'Overzicht pronostieken'!$E92)</f>
        <v>0</v>
      </c>
      <c r="AL92" s="168">
        <f>COUNTIF(Berekening!AJ$67:AJ$74,'Overzicht pronostieken'!$E92)</f>
        <v>0</v>
      </c>
      <c r="AM92" s="168">
        <f>COUNTIF(Berekening!AK$67:AK$74,'Overzicht pronostieken'!$E92)</f>
        <v>0</v>
      </c>
      <c r="AN92" s="168">
        <f>COUNTIF(Berekening!AL$67:AL$74,'Overzicht pronostieken'!$E92)</f>
        <v>0</v>
      </c>
      <c r="AO92" s="168">
        <f>COUNTIF(Berekening!AM$67:AM$74,'Overzicht pronostieken'!$E92)</f>
        <v>0</v>
      </c>
      <c r="AP92" s="168">
        <f>COUNTIF(Berekening!AN$67:AN$74,'Overzicht pronostieken'!$E92)</f>
        <v>0</v>
      </c>
      <c r="AQ92" s="168">
        <f>COUNTIF(Berekening!AO$67:AO$74,'Overzicht pronostieken'!$E92)</f>
        <v>0</v>
      </c>
      <c r="AR92" s="168">
        <f>COUNTIF(Berekening!AP$67:AP$74,'Overzicht pronostieken'!$E92)</f>
        <v>0</v>
      </c>
      <c r="AS92" s="168">
        <f>COUNTIF(Berekening!AQ$67:AQ$74,'Overzicht pronostieken'!$E92)</f>
        <v>0</v>
      </c>
      <c r="AT92" s="168">
        <f>COUNTIF(Berekening!AR$67:AR$74,'Overzicht pronostieken'!$E92)</f>
        <v>0</v>
      </c>
      <c r="AU92" s="168">
        <f>COUNTIF(Berekening!AS$67:AS$74,'Overzicht pronostieken'!$E92)</f>
        <v>0</v>
      </c>
      <c r="AV92" s="168">
        <f>COUNTIF(Berekening!AT$67:AT$74,'Overzicht pronostieken'!$E92)</f>
        <v>0</v>
      </c>
    </row>
    <row r="93" spans="3:48">
      <c r="E93" s="161" t="s">
        <v>1262</v>
      </c>
      <c r="F93" s="161">
        <f t="shared" si="3"/>
        <v>0</v>
      </c>
      <c r="G93" s="168">
        <f>COUNTIF(Berekening!E$67:E$74,'Overzicht pronostieken'!$E93)</f>
        <v>0</v>
      </c>
      <c r="H93" s="168">
        <f>COUNTIF(Berekening!F$67:F$74,'Overzicht pronostieken'!$E93)</f>
        <v>0</v>
      </c>
      <c r="I93" s="168">
        <f>COUNTIF(Berekening!G$67:G$74,'Overzicht pronostieken'!$E93)</f>
        <v>0</v>
      </c>
      <c r="J93" s="168">
        <f>COUNTIF(Berekening!H$67:H$74,'Overzicht pronostieken'!$E93)</f>
        <v>0</v>
      </c>
      <c r="K93" s="168">
        <f>COUNTIF(Berekening!I$67:I$74,'Overzicht pronostieken'!$E93)</f>
        <v>0</v>
      </c>
      <c r="L93" s="168">
        <f>COUNTIF(Berekening!J$67:J$74,'Overzicht pronostieken'!$E93)</f>
        <v>0</v>
      </c>
      <c r="M93" s="168">
        <f>COUNTIF(Berekening!K$67:K$74,'Overzicht pronostieken'!$E93)</f>
        <v>0</v>
      </c>
      <c r="N93" s="168">
        <f>COUNTIF(Berekening!L$67:L$74,'Overzicht pronostieken'!$E93)</f>
        <v>0</v>
      </c>
      <c r="O93" s="168">
        <f>COUNTIF(Berekening!M$67:M$74,'Overzicht pronostieken'!$E93)</f>
        <v>0</v>
      </c>
      <c r="P93" s="168">
        <f>COUNTIF(Berekening!N$67:N$74,'Overzicht pronostieken'!$E93)</f>
        <v>0</v>
      </c>
      <c r="Q93" s="168">
        <f>COUNTIF(Berekening!O$67:O$74,'Overzicht pronostieken'!$E93)</f>
        <v>0</v>
      </c>
      <c r="R93" s="168">
        <f>COUNTIF(Berekening!P$67:P$74,'Overzicht pronostieken'!$E93)</f>
        <v>0</v>
      </c>
      <c r="S93" s="168">
        <f>COUNTIF(Berekening!Q$67:Q$74,'Overzicht pronostieken'!$E93)</f>
        <v>0</v>
      </c>
      <c r="T93" s="168">
        <f>COUNTIF(Berekening!R$67:R$74,'Overzicht pronostieken'!$E93)</f>
        <v>0</v>
      </c>
      <c r="U93" s="168">
        <f>COUNTIF(Berekening!S$67:S$74,'Overzicht pronostieken'!$E93)</f>
        <v>0</v>
      </c>
      <c r="V93" s="168">
        <f>COUNTIF(Berekening!T$67:T$74,'Overzicht pronostieken'!$E93)</f>
        <v>0</v>
      </c>
      <c r="W93" s="168">
        <f>COUNTIF(Berekening!U$67:U$74,'Overzicht pronostieken'!$E93)</f>
        <v>0</v>
      </c>
      <c r="X93" s="168">
        <f>COUNTIF(Berekening!V$67:V$74,'Overzicht pronostieken'!$E93)</f>
        <v>0</v>
      </c>
      <c r="Y93" s="168">
        <f>COUNTIF(Berekening!W$67:W$74,'Overzicht pronostieken'!$E93)</f>
        <v>0</v>
      </c>
      <c r="Z93" s="168">
        <f>COUNTIF(Berekening!X$67:X$74,'Overzicht pronostieken'!$E93)</f>
        <v>0</v>
      </c>
      <c r="AA93" s="168">
        <f>COUNTIF(Berekening!Y$67:Y$74,'Overzicht pronostieken'!$E93)</f>
        <v>0</v>
      </c>
      <c r="AB93" s="168">
        <f>COUNTIF(Berekening!Z$67:Z$74,'Overzicht pronostieken'!$E93)</f>
        <v>0</v>
      </c>
      <c r="AC93" s="168">
        <f>COUNTIF(Berekening!AA$67:AA$74,'Overzicht pronostieken'!$E93)</f>
        <v>0</v>
      </c>
      <c r="AD93" s="168">
        <f>COUNTIF(Berekening!AB$67:AB$74,'Overzicht pronostieken'!$E93)</f>
        <v>0</v>
      </c>
      <c r="AE93" s="168">
        <f>COUNTIF(Berekening!AC$67:AC$74,'Overzicht pronostieken'!$E93)</f>
        <v>0</v>
      </c>
      <c r="AF93" s="168">
        <f>COUNTIF(Berekening!AD$67:AD$74,'Overzicht pronostieken'!$E93)</f>
        <v>0</v>
      </c>
      <c r="AG93" s="168">
        <f>COUNTIF(Berekening!AE$67:AE$74,'Overzicht pronostieken'!$E93)</f>
        <v>0</v>
      </c>
      <c r="AH93" s="168">
        <f>COUNTIF(Berekening!AF$67:AF$74,'Overzicht pronostieken'!$E93)</f>
        <v>0</v>
      </c>
      <c r="AI93" s="168">
        <f>COUNTIF(Berekening!AG$67:AG$74,'Overzicht pronostieken'!$E93)</f>
        <v>0</v>
      </c>
      <c r="AJ93" s="168">
        <f>COUNTIF(Berekening!AH$67:AH$74,'Overzicht pronostieken'!$E93)</f>
        <v>0</v>
      </c>
      <c r="AK93" s="168">
        <f>COUNTIF(Berekening!AI$67:AI$74,'Overzicht pronostieken'!$E93)</f>
        <v>0</v>
      </c>
      <c r="AL93" s="168">
        <f>COUNTIF(Berekening!AJ$67:AJ$74,'Overzicht pronostieken'!$E93)</f>
        <v>0</v>
      </c>
      <c r="AM93" s="168">
        <f>COUNTIF(Berekening!AK$67:AK$74,'Overzicht pronostieken'!$E93)</f>
        <v>0</v>
      </c>
      <c r="AN93" s="168">
        <f>COUNTIF(Berekening!AL$67:AL$74,'Overzicht pronostieken'!$E93)</f>
        <v>0</v>
      </c>
      <c r="AO93" s="168">
        <f>COUNTIF(Berekening!AM$67:AM$74,'Overzicht pronostieken'!$E93)</f>
        <v>0</v>
      </c>
      <c r="AP93" s="168">
        <f>COUNTIF(Berekening!AN$67:AN$74,'Overzicht pronostieken'!$E93)</f>
        <v>0</v>
      </c>
      <c r="AQ93" s="168">
        <f>COUNTIF(Berekening!AO$67:AO$74,'Overzicht pronostieken'!$E93)</f>
        <v>0</v>
      </c>
      <c r="AR93" s="168">
        <f>COUNTIF(Berekening!AP$67:AP$74,'Overzicht pronostieken'!$E93)</f>
        <v>0</v>
      </c>
      <c r="AS93" s="168">
        <f>COUNTIF(Berekening!AQ$67:AQ$74,'Overzicht pronostieken'!$E93)</f>
        <v>0</v>
      </c>
      <c r="AT93" s="168">
        <f>COUNTIF(Berekening!AR$67:AR$74,'Overzicht pronostieken'!$E93)</f>
        <v>0</v>
      </c>
      <c r="AU93" s="168">
        <f>COUNTIF(Berekening!AS$67:AS$74,'Overzicht pronostieken'!$E93)</f>
        <v>0</v>
      </c>
      <c r="AV93" s="168">
        <f>COUNTIF(Berekening!AT$67:AT$74,'Overzicht pronostieken'!$E93)</f>
        <v>0</v>
      </c>
    </row>
    <row r="96" spans="3:48" ht="32">
      <c r="C96" s="167" t="s">
        <v>2974</v>
      </c>
      <c r="G96" s="162" t="str">
        <f>G2</f>
        <v>Sam</v>
      </c>
      <c r="H96" s="162" t="str">
        <f t="shared" ref="H96:AV96" si="4">H2</f>
        <v>Matthias</v>
      </c>
      <c r="I96" s="162" t="str">
        <f t="shared" si="4"/>
        <v>Billy</v>
      </c>
      <c r="J96" s="162" t="str">
        <f t="shared" si="4"/>
        <v>Timon</v>
      </c>
      <c r="K96" s="162" t="str">
        <f t="shared" si="4"/>
        <v>Bavo</v>
      </c>
      <c r="L96" s="162" t="str">
        <f t="shared" si="4"/>
        <v>Lowie</v>
      </c>
      <c r="M96" s="162" t="str">
        <f t="shared" si="4"/>
        <v>Stijn</v>
      </c>
      <c r="N96" s="162" t="str">
        <f t="shared" si="4"/>
        <v>Tom</v>
      </c>
      <c r="O96" s="162" t="str">
        <f t="shared" si="4"/>
        <v>Cas</v>
      </c>
      <c r="P96" s="162" t="str">
        <f t="shared" si="4"/>
        <v>Dean</v>
      </c>
      <c r="Q96" s="162" t="str">
        <f t="shared" si="4"/>
        <v>Jannes</v>
      </c>
      <c r="R96" s="162" t="str">
        <f t="shared" si="4"/>
        <v>Jens</v>
      </c>
      <c r="S96" s="162" t="str">
        <f t="shared" si="4"/>
        <v>Louis</v>
      </c>
      <c r="T96" s="162" t="str">
        <f t="shared" si="4"/>
        <v>Ruben</v>
      </c>
      <c r="U96" s="162" t="str">
        <f t="shared" si="4"/>
        <v>Karl</v>
      </c>
      <c r="V96" s="162" t="str">
        <f t="shared" si="4"/>
        <v>Seppe</v>
      </c>
      <c r="W96" s="162" t="str">
        <f t="shared" si="4"/>
        <v>deelnemer 17</v>
      </c>
      <c r="X96" s="162" t="str">
        <f t="shared" si="4"/>
        <v>deelnemer 18</v>
      </c>
      <c r="Y96" s="162" t="str">
        <f t="shared" si="4"/>
        <v>deelnemer 19</v>
      </c>
      <c r="Z96" s="162" t="str">
        <f t="shared" si="4"/>
        <v>deelnemer 20</v>
      </c>
      <c r="AA96" s="162" t="str">
        <f t="shared" si="4"/>
        <v>deelnemer 21</v>
      </c>
      <c r="AB96" s="162" t="str">
        <f t="shared" si="4"/>
        <v>deelnemer 22</v>
      </c>
      <c r="AC96" s="162" t="str">
        <f t="shared" si="4"/>
        <v>deelnemer 23</v>
      </c>
      <c r="AD96" s="162" t="str">
        <f t="shared" si="4"/>
        <v>deelnemer 24</v>
      </c>
      <c r="AE96" s="162" t="str">
        <f t="shared" si="4"/>
        <v>deelnemer 25</v>
      </c>
      <c r="AF96" s="162" t="str">
        <f t="shared" si="4"/>
        <v>deelnemer 26</v>
      </c>
      <c r="AG96" s="162" t="str">
        <f t="shared" si="4"/>
        <v>deelnemer 27</v>
      </c>
      <c r="AH96" s="162" t="str">
        <f t="shared" si="4"/>
        <v>deelnemer 28</v>
      </c>
      <c r="AI96" s="162" t="str">
        <f t="shared" si="4"/>
        <v>deelnemer 29</v>
      </c>
      <c r="AJ96" s="162" t="str">
        <f t="shared" si="4"/>
        <v>deelnemer 30</v>
      </c>
      <c r="AK96" s="162" t="str">
        <f t="shared" si="4"/>
        <v>deelnemer 31</v>
      </c>
      <c r="AL96" s="162" t="str">
        <f t="shared" si="4"/>
        <v>deelnemer 32</v>
      </c>
      <c r="AM96" s="162" t="str">
        <f t="shared" si="4"/>
        <v>deelnemer 33</v>
      </c>
      <c r="AN96" s="162" t="str">
        <f t="shared" si="4"/>
        <v>deelnemer 34</v>
      </c>
      <c r="AO96" s="162" t="str">
        <f t="shared" si="4"/>
        <v>deelnemer 35</v>
      </c>
      <c r="AP96" s="162" t="str">
        <f t="shared" si="4"/>
        <v>deelnemer 36</v>
      </c>
      <c r="AQ96" s="162" t="str">
        <f t="shared" si="4"/>
        <v>deelnemer 37</v>
      </c>
      <c r="AR96" s="162" t="str">
        <f t="shared" si="4"/>
        <v>deelnemer 38</v>
      </c>
      <c r="AS96" s="162" t="str">
        <f t="shared" si="4"/>
        <v>deelnemer 39</v>
      </c>
      <c r="AT96" s="162" t="str">
        <f t="shared" si="4"/>
        <v>deelnemer 40</v>
      </c>
      <c r="AU96" s="162" t="str">
        <f t="shared" si="4"/>
        <v>deelnemer 41</v>
      </c>
      <c r="AV96" s="162" t="str">
        <f t="shared" si="4"/>
        <v>deelnemer 42</v>
      </c>
    </row>
    <row r="97" spans="5:48">
      <c r="E97" s="161" t="s">
        <v>1608</v>
      </c>
      <c r="F97" s="161">
        <f>SUM(G97:AV97)</f>
        <v>0</v>
      </c>
      <c r="G97" s="168">
        <f>COUNTIF(Berekening!E$75:E$78,'Overzicht pronostieken'!$E97)</f>
        <v>0</v>
      </c>
      <c r="H97" s="168">
        <f>COUNTIF(Berekening!F$75:F$78,'Overzicht pronostieken'!$E97)</f>
        <v>0</v>
      </c>
      <c r="I97" s="168">
        <f>COUNTIF(Berekening!G$75:G$78,'Overzicht pronostieken'!$E97)</f>
        <v>0</v>
      </c>
      <c r="J97" s="168">
        <f>COUNTIF(Berekening!H$75:H$78,'Overzicht pronostieken'!$E97)</f>
        <v>0</v>
      </c>
      <c r="K97" s="168">
        <f>COUNTIF(Berekening!I$75:I$78,'Overzicht pronostieken'!$E97)</f>
        <v>0</v>
      </c>
      <c r="L97" s="168">
        <f>COUNTIF(Berekening!J$75:J$78,'Overzicht pronostieken'!$E97)</f>
        <v>0</v>
      </c>
      <c r="M97" s="168">
        <f>COUNTIF(Berekening!K$75:K$78,'Overzicht pronostieken'!$E97)</f>
        <v>0</v>
      </c>
      <c r="N97" s="168">
        <f>COUNTIF(Berekening!L$75:L$78,'Overzicht pronostieken'!$E97)</f>
        <v>0</v>
      </c>
      <c r="O97" s="168">
        <f>COUNTIF(Berekening!M$75:M$78,'Overzicht pronostieken'!$E97)</f>
        <v>0</v>
      </c>
      <c r="P97" s="168">
        <f>COUNTIF(Berekening!N$75:N$78,'Overzicht pronostieken'!$E97)</f>
        <v>0</v>
      </c>
      <c r="Q97" s="168">
        <f>COUNTIF(Berekening!O$75:O$78,'Overzicht pronostieken'!$E97)</f>
        <v>0</v>
      </c>
      <c r="R97" s="168">
        <f>COUNTIF(Berekening!P$75:P$78,'Overzicht pronostieken'!$E97)</f>
        <v>0</v>
      </c>
      <c r="S97" s="168">
        <f>COUNTIF(Berekening!Q$75:Q$78,'Overzicht pronostieken'!$E97)</f>
        <v>0</v>
      </c>
      <c r="T97" s="168">
        <f>COUNTIF(Berekening!R$75:R$78,'Overzicht pronostieken'!$E97)</f>
        <v>0</v>
      </c>
      <c r="U97" s="168">
        <f>COUNTIF(Berekening!S$75:S$78,'Overzicht pronostieken'!$E97)</f>
        <v>0</v>
      </c>
      <c r="V97" s="168">
        <f>COUNTIF(Berekening!T$75:T$78,'Overzicht pronostieken'!$E97)</f>
        <v>0</v>
      </c>
      <c r="W97" s="168">
        <f>COUNTIF(Berekening!U$75:U$78,'Overzicht pronostieken'!$E97)</f>
        <v>0</v>
      </c>
      <c r="X97" s="168">
        <f>COUNTIF(Berekening!V$75:V$78,'Overzicht pronostieken'!$E97)</f>
        <v>0</v>
      </c>
      <c r="Y97" s="168">
        <f>COUNTIF(Berekening!W$75:W$78,'Overzicht pronostieken'!$E97)</f>
        <v>0</v>
      </c>
      <c r="Z97" s="168">
        <f>COUNTIF(Berekening!X$75:X$78,'Overzicht pronostieken'!$E97)</f>
        <v>0</v>
      </c>
      <c r="AA97" s="168">
        <f>COUNTIF(Berekening!Y$75:Y$78,'Overzicht pronostieken'!$E97)</f>
        <v>0</v>
      </c>
      <c r="AB97" s="168">
        <f>COUNTIF(Berekening!Z$75:Z$78,'Overzicht pronostieken'!$E97)</f>
        <v>0</v>
      </c>
      <c r="AC97" s="168">
        <f>COUNTIF(Berekening!AA$75:AA$78,'Overzicht pronostieken'!$E97)</f>
        <v>0</v>
      </c>
      <c r="AD97" s="168">
        <f>COUNTIF(Berekening!AB$75:AB$78,'Overzicht pronostieken'!$E97)</f>
        <v>0</v>
      </c>
      <c r="AE97" s="168">
        <f>COUNTIF(Berekening!AC$75:AC$78,'Overzicht pronostieken'!$E97)</f>
        <v>0</v>
      </c>
      <c r="AF97" s="168">
        <f>COUNTIF(Berekening!AD$75:AD$78,'Overzicht pronostieken'!$E97)</f>
        <v>0</v>
      </c>
      <c r="AG97" s="168">
        <f>COUNTIF(Berekening!AE$75:AE$78,'Overzicht pronostieken'!$E97)</f>
        <v>0</v>
      </c>
      <c r="AH97" s="168">
        <f>COUNTIF(Berekening!AF$75:AF$78,'Overzicht pronostieken'!$E97)</f>
        <v>0</v>
      </c>
      <c r="AI97" s="168">
        <f>COUNTIF(Berekening!AG$75:AG$78,'Overzicht pronostieken'!$E97)</f>
        <v>0</v>
      </c>
      <c r="AJ97" s="168">
        <f>COUNTIF(Berekening!AH$75:AH$78,'Overzicht pronostieken'!$E97)</f>
        <v>0</v>
      </c>
      <c r="AK97" s="168">
        <f>COUNTIF(Berekening!AI$75:AI$78,'Overzicht pronostieken'!$E97)</f>
        <v>0</v>
      </c>
      <c r="AL97" s="168">
        <f>COUNTIF(Berekening!AJ$75:AJ$78,'Overzicht pronostieken'!$E97)</f>
        <v>0</v>
      </c>
      <c r="AM97" s="168">
        <f>COUNTIF(Berekening!AK$75:AK$78,'Overzicht pronostieken'!$E97)</f>
        <v>0</v>
      </c>
      <c r="AN97" s="168">
        <f>COUNTIF(Berekening!AL$75:AL$78,'Overzicht pronostieken'!$E97)</f>
        <v>0</v>
      </c>
      <c r="AO97" s="168">
        <f>COUNTIF(Berekening!AM$75:AM$78,'Overzicht pronostieken'!$E97)</f>
        <v>0</v>
      </c>
      <c r="AP97" s="168">
        <f>COUNTIF(Berekening!AN$75:AN$78,'Overzicht pronostieken'!$E97)</f>
        <v>0</v>
      </c>
      <c r="AQ97" s="168">
        <f>COUNTIF(Berekening!AO$75:AO$78,'Overzicht pronostieken'!$E97)</f>
        <v>0</v>
      </c>
      <c r="AR97" s="168">
        <f>COUNTIF(Berekening!AP$75:AP$78,'Overzicht pronostieken'!$E97)</f>
        <v>0</v>
      </c>
      <c r="AS97" s="168">
        <f>COUNTIF(Berekening!AQ$75:AQ$78,'Overzicht pronostieken'!$E97)</f>
        <v>0</v>
      </c>
      <c r="AT97" s="168">
        <f>COUNTIF(Berekening!AR$75:AR$78,'Overzicht pronostieken'!$E97)</f>
        <v>0</v>
      </c>
      <c r="AU97" s="168">
        <f>COUNTIF(Berekening!AS$75:AS$78,'Overzicht pronostieken'!$E97)</f>
        <v>0</v>
      </c>
      <c r="AV97" s="168">
        <f>COUNTIF(Berekening!AT$75:AT$78,'Overzicht pronostieken'!$E97)</f>
        <v>0</v>
      </c>
    </row>
    <row r="98" spans="5:48">
      <c r="E98" s="161" t="s">
        <v>1168</v>
      </c>
      <c r="F98" s="161">
        <f t="shared" ref="F98:F120" si="5">SUM(G98:AV98)</f>
        <v>0</v>
      </c>
      <c r="G98" s="168">
        <f>COUNTIF(Berekening!E$75:E$78,'Overzicht pronostieken'!$E98)</f>
        <v>0</v>
      </c>
      <c r="H98" s="168">
        <f>COUNTIF(Berekening!F$75:F$78,'Overzicht pronostieken'!$E98)</f>
        <v>0</v>
      </c>
      <c r="I98" s="168">
        <f>COUNTIF(Berekening!G$75:G$78,'Overzicht pronostieken'!$E98)</f>
        <v>0</v>
      </c>
      <c r="J98" s="168">
        <f>COUNTIF(Berekening!H$75:H$78,'Overzicht pronostieken'!$E98)</f>
        <v>0</v>
      </c>
      <c r="K98" s="168">
        <f>COUNTIF(Berekening!I$75:I$78,'Overzicht pronostieken'!$E98)</f>
        <v>0</v>
      </c>
      <c r="L98" s="168">
        <f>COUNTIF(Berekening!J$75:J$78,'Overzicht pronostieken'!$E98)</f>
        <v>0</v>
      </c>
      <c r="M98" s="168">
        <f>COUNTIF(Berekening!K$75:K$78,'Overzicht pronostieken'!$E98)</f>
        <v>0</v>
      </c>
      <c r="N98" s="168">
        <f>COUNTIF(Berekening!L$75:L$78,'Overzicht pronostieken'!$E98)</f>
        <v>0</v>
      </c>
      <c r="O98" s="168">
        <f>COUNTIF(Berekening!M$75:M$78,'Overzicht pronostieken'!$E98)</f>
        <v>0</v>
      </c>
      <c r="P98" s="168">
        <f>COUNTIF(Berekening!N$75:N$78,'Overzicht pronostieken'!$E98)</f>
        <v>0</v>
      </c>
      <c r="Q98" s="168">
        <f>COUNTIF(Berekening!O$75:O$78,'Overzicht pronostieken'!$E98)</f>
        <v>0</v>
      </c>
      <c r="R98" s="168">
        <f>COUNTIF(Berekening!P$75:P$78,'Overzicht pronostieken'!$E98)</f>
        <v>0</v>
      </c>
      <c r="S98" s="168">
        <f>COUNTIF(Berekening!Q$75:Q$78,'Overzicht pronostieken'!$E98)</f>
        <v>0</v>
      </c>
      <c r="T98" s="168">
        <f>COUNTIF(Berekening!R$75:R$78,'Overzicht pronostieken'!$E98)</f>
        <v>0</v>
      </c>
      <c r="U98" s="168">
        <f>COUNTIF(Berekening!S$75:S$78,'Overzicht pronostieken'!$E98)</f>
        <v>0</v>
      </c>
      <c r="V98" s="168">
        <f>COUNTIF(Berekening!T$75:T$78,'Overzicht pronostieken'!$E98)</f>
        <v>0</v>
      </c>
      <c r="W98" s="168">
        <f>COUNTIF(Berekening!U$75:U$78,'Overzicht pronostieken'!$E98)</f>
        <v>0</v>
      </c>
      <c r="X98" s="168">
        <f>COUNTIF(Berekening!V$75:V$78,'Overzicht pronostieken'!$E98)</f>
        <v>0</v>
      </c>
      <c r="Y98" s="168">
        <f>COUNTIF(Berekening!W$75:W$78,'Overzicht pronostieken'!$E98)</f>
        <v>0</v>
      </c>
      <c r="Z98" s="168">
        <f>COUNTIF(Berekening!X$75:X$78,'Overzicht pronostieken'!$E98)</f>
        <v>0</v>
      </c>
      <c r="AA98" s="168">
        <f>COUNTIF(Berekening!Y$75:Y$78,'Overzicht pronostieken'!$E98)</f>
        <v>0</v>
      </c>
      <c r="AB98" s="168">
        <f>COUNTIF(Berekening!Z$75:Z$78,'Overzicht pronostieken'!$E98)</f>
        <v>0</v>
      </c>
      <c r="AC98" s="168">
        <f>COUNTIF(Berekening!AA$75:AA$78,'Overzicht pronostieken'!$E98)</f>
        <v>0</v>
      </c>
      <c r="AD98" s="168">
        <f>COUNTIF(Berekening!AB$75:AB$78,'Overzicht pronostieken'!$E98)</f>
        <v>0</v>
      </c>
      <c r="AE98" s="168">
        <f>COUNTIF(Berekening!AC$75:AC$78,'Overzicht pronostieken'!$E98)</f>
        <v>0</v>
      </c>
      <c r="AF98" s="168">
        <f>COUNTIF(Berekening!AD$75:AD$78,'Overzicht pronostieken'!$E98)</f>
        <v>0</v>
      </c>
      <c r="AG98" s="168">
        <f>COUNTIF(Berekening!AE$75:AE$78,'Overzicht pronostieken'!$E98)</f>
        <v>0</v>
      </c>
      <c r="AH98" s="168">
        <f>COUNTIF(Berekening!AF$75:AF$78,'Overzicht pronostieken'!$E98)</f>
        <v>0</v>
      </c>
      <c r="AI98" s="168">
        <f>COUNTIF(Berekening!AG$75:AG$78,'Overzicht pronostieken'!$E98)</f>
        <v>0</v>
      </c>
      <c r="AJ98" s="168">
        <f>COUNTIF(Berekening!AH$75:AH$78,'Overzicht pronostieken'!$E98)</f>
        <v>0</v>
      </c>
      <c r="AK98" s="168">
        <f>COUNTIF(Berekening!AI$75:AI$78,'Overzicht pronostieken'!$E98)</f>
        <v>0</v>
      </c>
      <c r="AL98" s="168">
        <f>COUNTIF(Berekening!AJ$75:AJ$78,'Overzicht pronostieken'!$E98)</f>
        <v>0</v>
      </c>
      <c r="AM98" s="168">
        <f>COUNTIF(Berekening!AK$75:AK$78,'Overzicht pronostieken'!$E98)</f>
        <v>0</v>
      </c>
      <c r="AN98" s="168">
        <f>COUNTIF(Berekening!AL$75:AL$78,'Overzicht pronostieken'!$E98)</f>
        <v>0</v>
      </c>
      <c r="AO98" s="168">
        <f>COUNTIF(Berekening!AM$75:AM$78,'Overzicht pronostieken'!$E98)</f>
        <v>0</v>
      </c>
      <c r="AP98" s="168">
        <f>COUNTIF(Berekening!AN$75:AN$78,'Overzicht pronostieken'!$E98)</f>
        <v>0</v>
      </c>
      <c r="AQ98" s="168">
        <f>COUNTIF(Berekening!AO$75:AO$78,'Overzicht pronostieken'!$E98)</f>
        <v>0</v>
      </c>
      <c r="AR98" s="168">
        <f>COUNTIF(Berekening!AP$75:AP$78,'Overzicht pronostieken'!$E98)</f>
        <v>0</v>
      </c>
      <c r="AS98" s="168">
        <f>COUNTIF(Berekening!AQ$75:AQ$78,'Overzicht pronostieken'!$E98)</f>
        <v>0</v>
      </c>
      <c r="AT98" s="168">
        <f>COUNTIF(Berekening!AR$75:AR$78,'Overzicht pronostieken'!$E98)</f>
        <v>0</v>
      </c>
      <c r="AU98" s="168">
        <f>COUNTIF(Berekening!AS$75:AS$78,'Overzicht pronostieken'!$E98)</f>
        <v>0</v>
      </c>
      <c r="AV98" s="168">
        <f>COUNTIF(Berekening!AT$75:AT$78,'Overzicht pronostieken'!$E98)</f>
        <v>0</v>
      </c>
    </row>
    <row r="99" spans="5:48">
      <c r="E99" s="161" t="s">
        <v>1399</v>
      </c>
      <c r="F99" s="161">
        <f t="shared" si="5"/>
        <v>0</v>
      </c>
      <c r="G99" s="168">
        <f>COUNTIF(Berekening!E$75:E$78,'Overzicht pronostieken'!$E99)</f>
        <v>0</v>
      </c>
      <c r="H99" s="168">
        <f>COUNTIF(Berekening!F$75:F$78,'Overzicht pronostieken'!$E99)</f>
        <v>0</v>
      </c>
      <c r="I99" s="168">
        <f>COUNTIF(Berekening!G$75:G$78,'Overzicht pronostieken'!$E99)</f>
        <v>0</v>
      </c>
      <c r="J99" s="168">
        <f>COUNTIF(Berekening!H$75:H$78,'Overzicht pronostieken'!$E99)</f>
        <v>0</v>
      </c>
      <c r="K99" s="168">
        <f>COUNTIF(Berekening!I$75:I$78,'Overzicht pronostieken'!$E99)</f>
        <v>0</v>
      </c>
      <c r="L99" s="168">
        <f>COUNTIF(Berekening!J$75:J$78,'Overzicht pronostieken'!$E99)</f>
        <v>0</v>
      </c>
      <c r="M99" s="168">
        <f>COUNTIF(Berekening!K$75:K$78,'Overzicht pronostieken'!$E99)</f>
        <v>0</v>
      </c>
      <c r="N99" s="168">
        <f>COUNTIF(Berekening!L$75:L$78,'Overzicht pronostieken'!$E99)</f>
        <v>0</v>
      </c>
      <c r="O99" s="168">
        <f>COUNTIF(Berekening!M$75:M$78,'Overzicht pronostieken'!$E99)</f>
        <v>0</v>
      </c>
      <c r="P99" s="168">
        <f>COUNTIF(Berekening!N$75:N$78,'Overzicht pronostieken'!$E99)</f>
        <v>0</v>
      </c>
      <c r="Q99" s="168">
        <f>COUNTIF(Berekening!O$75:O$78,'Overzicht pronostieken'!$E99)</f>
        <v>0</v>
      </c>
      <c r="R99" s="168">
        <f>COUNTIF(Berekening!P$75:P$78,'Overzicht pronostieken'!$E99)</f>
        <v>0</v>
      </c>
      <c r="S99" s="168">
        <f>COUNTIF(Berekening!Q$75:Q$78,'Overzicht pronostieken'!$E99)</f>
        <v>0</v>
      </c>
      <c r="T99" s="168">
        <f>COUNTIF(Berekening!R$75:R$78,'Overzicht pronostieken'!$E99)</f>
        <v>0</v>
      </c>
      <c r="U99" s="168">
        <f>COUNTIF(Berekening!S$75:S$78,'Overzicht pronostieken'!$E99)</f>
        <v>0</v>
      </c>
      <c r="V99" s="168">
        <f>COUNTIF(Berekening!T$75:T$78,'Overzicht pronostieken'!$E99)</f>
        <v>0</v>
      </c>
      <c r="W99" s="168">
        <f>COUNTIF(Berekening!U$75:U$78,'Overzicht pronostieken'!$E99)</f>
        <v>0</v>
      </c>
      <c r="X99" s="168">
        <f>COUNTIF(Berekening!V$75:V$78,'Overzicht pronostieken'!$E99)</f>
        <v>0</v>
      </c>
      <c r="Y99" s="168">
        <f>COUNTIF(Berekening!W$75:W$78,'Overzicht pronostieken'!$E99)</f>
        <v>0</v>
      </c>
      <c r="Z99" s="168">
        <f>COUNTIF(Berekening!X$75:X$78,'Overzicht pronostieken'!$E99)</f>
        <v>0</v>
      </c>
      <c r="AA99" s="168">
        <f>COUNTIF(Berekening!Y$75:Y$78,'Overzicht pronostieken'!$E99)</f>
        <v>0</v>
      </c>
      <c r="AB99" s="168">
        <f>COUNTIF(Berekening!Z$75:Z$78,'Overzicht pronostieken'!$E99)</f>
        <v>0</v>
      </c>
      <c r="AC99" s="168">
        <f>COUNTIF(Berekening!AA$75:AA$78,'Overzicht pronostieken'!$E99)</f>
        <v>0</v>
      </c>
      <c r="AD99" s="168">
        <f>COUNTIF(Berekening!AB$75:AB$78,'Overzicht pronostieken'!$E99)</f>
        <v>0</v>
      </c>
      <c r="AE99" s="168">
        <f>COUNTIF(Berekening!AC$75:AC$78,'Overzicht pronostieken'!$E99)</f>
        <v>0</v>
      </c>
      <c r="AF99" s="168">
        <f>COUNTIF(Berekening!AD$75:AD$78,'Overzicht pronostieken'!$E99)</f>
        <v>0</v>
      </c>
      <c r="AG99" s="168">
        <f>COUNTIF(Berekening!AE$75:AE$78,'Overzicht pronostieken'!$E99)</f>
        <v>0</v>
      </c>
      <c r="AH99" s="168">
        <f>COUNTIF(Berekening!AF$75:AF$78,'Overzicht pronostieken'!$E99)</f>
        <v>0</v>
      </c>
      <c r="AI99" s="168">
        <f>COUNTIF(Berekening!AG$75:AG$78,'Overzicht pronostieken'!$E99)</f>
        <v>0</v>
      </c>
      <c r="AJ99" s="168">
        <f>COUNTIF(Berekening!AH$75:AH$78,'Overzicht pronostieken'!$E99)</f>
        <v>0</v>
      </c>
      <c r="AK99" s="168">
        <f>COUNTIF(Berekening!AI$75:AI$78,'Overzicht pronostieken'!$E99)</f>
        <v>0</v>
      </c>
      <c r="AL99" s="168">
        <f>COUNTIF(Berekening!AJ$75:AJ$78,'Overzicht pronostieken'!$E99)</f>
        <v>0</v>
      </c>
      <c r="AM99" s="168">
        <f>COUNTIF(Berekening!AK$75:AK$78,'Overzicht pronostieken'!$E99)</f>
        <v>0</v>
      </c>
      <c r="AN99" s="168">
        <f>COUNTIF(Berekening!AL$75:AL$78,'Overzicht pronostieken'!$E99)</f>
        <v>0</v>
      </c>
      <c r="AO99" s="168">
        <f>COUNTIF(Berekening!AM$75:AM$78,'Overzicht pronostieken'!$E99)</f>
        <v>0</v>
      </c>
      <c r="AP99" s="168">
        <f>COUNTIF(Berekening!AN$75:AN$78,'Overzicht pronostieken'!$E99)</f>
        <v>0</v>
      </c>
      <c r="AQ99" s="168">
        <f>COUNTIF(Berekening!AO$75:AO$78,'Overzicht pronostieken'!$E99)</f>
        <v>0</v>
      </c>
      <c r="AR99" s="168">
        <f>COUNTIF(Berekening!AP$75:AP$78,'Overzicht pronostieken'!$E99)</f>
        <v>0</v>
      </c>
      <c r="AS99" s="168">
        <f>COUNTIF(Berekening!AQ$75:AQ$78,'Overzicht pronostieken'!$E99)</f>
        <v>0</v>
      </c>
      <c r="AT99" s="168">
        <f>COUNTIF(Berekening!AR$75:AR$78,'Overzicht pronostieken'!$E99)</f>
        <v>0</v>
      </c>
      <c r="AU99" s="168">
        <f>COUNTIF(Berekening!AS$75:AS$78,'Overzicht pronostieken'!$E99)</f>
        <v>0</v>
      </c>
      <c r="AV99" s="168">
        <f>COUNTIF(Berekening!AT$75:AT$78,'Overzicht pronostieken'!$E99)</f>
        <v>0</v>
      </c>
    </row>
    <row r="100" spans="5:48">
      <c r="E100" s="161" t="s">
        <v>1468</v>
      </c>
      <c r="F100" s="161">
        <f t="shared" si="5"/>
        <v>10</v>
      </c>
      <c r="G100" s="168">
        <f>COUNTIF(Berekening!E$75:E$78,'Overzicht pronostieken'!$E100)</f>
        <v>1</v>
      </c>
      <c r="H100" s="168">
        <f>COUNTIF(Berekening!F$75:F$78,'Overzicht pronostieken'!$E100)</f>
        <v>0</v>
      </c>
      <c r="I100" s="168">
        <f>COUNTIF(Berekening!G$75:G$78,'Overzicht pronostieken'!$E100)</f>
        <v>0</v>
      </c>
      <c r="J100" s="168">
        <f>COUNTIF(Berekening!H$75:H$78,'Overzicht pronostieken'!$E100)</f>
        <v>1</v>
      </c>
      <c r="K100" s="168">
        <f>COUNTIF(Berekening!I$75:I$78,'Overzicht pronostieken'!$E100)</f>
        <v>1</v>
      </c>
      <c r="L100" s="168">
        <f>COUNTIF(Berekening!J$75:J$78,'Overzicht pronostieken'!$E100)</f>
        <v>1</v>
      </c>
      <c r="M100" s="168">
        <f>COUNTIF(Berekening!K$75:K$78,'Overzicht pronostieken'!$E100)</f>
        <v>1</v>
      </c>
      <c r="N100" s="168">
        <f>COUNTIF(Berekening!L$75:L$78,'Overzicht pronostieken'!$E100)</f>
        <v>1</v>
      </c>
      <c r="O100" s="168">
        <f>COUNTIF(Berekening!M$75:M$78,'Overzicht pronostieken'!$E100)</f>
        <v>0</v>
      </c>
      <c r="P100" s="168">
        <f>COUNTIF(Berekening!N$75:N$78,'Overzicht pronostieken'!$E100)</f>
        <v>0</v>
      </c>
      <c r="Q100" s="168">
        <f>COUNTIF(Berekening!O$75:O$78,'Overzicht pronostieken'!$E100)</f>
        <v>1</v>
      </c>
      <c r="R100" s="168">
        <f>COUNTIF(Berekening!P$75:P$78,'Overzicht pronostieken'!$E100)</f>
        <v>1</v>
      </c>
      <c r="S100" s="168">
        <f>COUNTIF(Berekening!Q$75:Q$78,'Overzicht pronostieken'!$E100)</f>
        <v>1</v>
      </c>
      <c r="T100" s="168">
        <f>COUNTIF(Berekening!R$75:R$78,'Overzicht pronostieken'!$E100)</f>
        <v>1</v>
      </c>
      <c r="U100" s="168">
        <f>COUNTIF(Berekening!S$75:S$78,'Overzicht pronostieken'!$E100)</f>
        <v>0</v>
      </c>
      <c r="V100" s="168">
        <f>COUNTIF(Berekening!T$75:T$78,'Overzicht pronostieken'!$E100)</f>
        <v>0</v>
      </c>
      <c r="W100" s="168">
        <f>COUNTIF(Berekening!U$75:U$78,'Overzicht pronostieken'!$E100)</f>
        <v>0</v>
      </c>
      <c r="X100" s="168">
        <f>COUNTIF(Berekening!V$75:V$78,'Overzicht pronostieken'!$E100)</f>
        <v>0</v>
      </c>
      <c r="Y100" s="168">
        <f>COUNTIF(Berekening!W$75:W$78,'Overzicht pronostieken'!$E100)</f>
        <v>0</v>
      </c>
      <c r="Z100" s="168">
        <f>COUNTIF(Berekening!X$75:X$78,'Overzicht pronostieken'!$E100)</f>
        <v>0</v>
      </c>
      <c r="AA100" s="168">
        <f>COUNTIF(Berekening!Y$75:Y$78,'Overzicht pronostieken'!$E100)</f>
        <v>0</v>
      </c>
      <c r="AB100" s="168">
        <f>COUNTIF(Berekening!Z$75:Z$78,'Overzicht pronostieken'!$E100)</f>
        <v>0</v>
      </c>
      <c r="AC100" s="168">
        <f>COUNTIF(Berekening!AA$75:AA$78,'Overzicht pronostieken'!$E100)</f>
        <v>0</v>
      </c>
      <c r="AD100" s="168">
        <f>COUNTIF(Berekening!AB$75:AB$78,'Overzicht pronostieken'!$E100)</f>
        <v>0</v>
      </c>
      <c r="AE100" s="168">
        <f>COUNTIF(Berekening!AC$75:AC$78,'Overzicht pronostieken'!$E100)</f>
        <v>0</v>
      </c>
      <c r="AF100" s="168">
        <f>COUNTIF(Berekening!AD$75:AD$78,'Overzicht pronostieken'!$E100)</f>
        <v>0</v>
      </c>
      <c r="AG100" s="168">
        <f>COUNTIF(Berekening!AE$75:AE$78,'Overzicht pronostieken'!$E100)</f>
        <v>0</v>
      </c>
      <c r="AH100" s="168">
        <f>COUNTIF(Berekening!AF$75:AF$78,'Overzicht pronostieken'!$E100)</f>
        <v>0</v>
      </c>
      <c r="AI100" s="168">
        <f>COUNTIF(Berekening!AG$75:AG$78,'Overzicht pronostieken'!$E100)</f>
        <v>0</v>
      </c>
      <c r="AJ100" s="168">
        <f>COUNTIF(Berekening!AH$75:AH$78,'Overzicht pronostieken'!$E100)</f>
        <v>0</v>
      </c>
      <c r="AK100" s="168">
        <f>COUNTIF(Berekening!AI$75:AI$78,'Overzicht pronostieken'!$E100)</f>
        <v>0</v>
      </c>
      <c r="AL100" s="168">
        <f>COUNTIF(Berekening!AJ$75:AJ$78,'Overzicht pronostieken'!$E100)</f>
        <v>0</v>
      </c>
      <c r="AM100" s="168">
        <f>COUNTIF(Berekening!AK$75:AK$78,'Overzicht pronostieken'!$E100)</f>
        <v>0</v>
      </c>
      <c r="AN100" s="168">
        <f>COUNTIF(Berekening!AL$75:AL$78,'Overzicht pronostieken'!$E100)</f>
        <v>0</v>
      </c>
      <c r="AO100" s="168">
        <f>COUNTIF(Berekening!AM$75:AM$78,'Overzicht pronostieken'!$E100)</f>
        <v>0</v>
      </c>
      <c r="AP100" s="168">
        <f>COUNTIF(Berekening!AN$75:AN$78,'Overzicht pronostieken'!$E100)</f>
        <v>0</v>
      </c>
      <c r="AQ100" s="168">
        <f>COUNTIF(Berekening!AO$75:AO$78,'Overzicht pronostieken'!$E100)</f>
        <v>0</v>
      </c>
      <c r="AR100" s="168">
        <f>COUNTIF(Berekening!AP$75:AP$78,'Overzicht pronostieken'!$E100)</f>
        <v>0</v>
      </c>
      <c r="AS100" s="168">
        <f>COUNTIF(Berekening!AQ$75:AQ$78,'Overzicht pronostieken'!$E100)</f>
        <v>0</v>
      </c>
      <c r="AT100" s="168">
        <f>COUNTIF(Berekening!AR$75:AR$78,'Overzicht pronostieken'!$E100)</f>
        <v>0</v>
      </c>
      <c r="AU100" s="168">
        <f>COUNTIF(Berekening!AS$75:AS$78,'Overzicht pronostieken'!$E100)</f>
        <v>0</v>
      </c>
      <c r="AV100" s="168">
        <f>COUNTIF(Berekening!AT$75:AT$78,'Overzicht pronostieken'!$E100)</f>
        <v>0</v>
      </c>
    </row>
    <row r="101" spans="5:48">
      <c r="E101" s="161" t="s">
        <v>1113</v>
      </c>
      <c r="F101" s="161">
        <f t="shared" si="5"/>
        <v>0</v>
      </c>
      <c r="G101" s="168">
        <f>COUNTIF(Berekening!E$75:E$78,'Overzicht pronostieken'!$E101)</f>
        <v>0</v>
      </c>
      <c r="H101" s="168">
        <f>COUNTIF(Berekening!F$75:F$78,'Overzicht pronostieken'!$E101)</f>
        <v>0</v>
      </c>
      <c r="I101" s="168">
        <f>COUNTIF(Berekening!G$75:G$78,'Overzicht pronostieken'!$E101)</f>
        <v>0</v>
      </c>
      <c r="J101" s="168">
        <f>COUNTIF(Berekening!H$75:H$78,'Overzicht pronostieken'!$E101)</f>
        <v>0</v>
      </c>
      <c r="K101" s="168">
        <f>COUNTIF(Berekening!I$75:I$78,'Overzicht pronostieken'!$E101)</f>
        <v>0</v>
      </c>
      <c r="L101" s="168">
        <f>COUNTIF(Berekening!J$75:J$78,'Overzicht pronostieken'!$E101)</f>
        <v>0</v>
      </c>
      <c r="M101" s="168">
        <f>COUNTIF(Berekening!K$75:K$78,'Overzicht pronostieken'!$E101)</f>
        <v>0</v>
      </c>
      <c r="N101" s="168">
        <f>COUNTIF(Berekening!L$75:L$78,'Overzicht pronostieken'!$E101)</f>
        <v>0</v>
      </c>
      <c r="O101" s="168">
        <f>COUNTIF(Berekening!M$75:M$78,'Overzicht pronostieken'!$E101)</f>
        <v>0</v>
      </c>
      <c r="P101" s="168">
        <f>COUNTIF(Berekening!N$75:N$78,'Overzicht pronostieken'!$E101)</f>
        <v>0</v>
      </c>
      <c r="Q101" s="168">
        <f>COUNTIF(Berekening!O$75:O$78,'Overzicht pronostieken'!$E101)</f>
        <v>0</v>
      </c>
      <c r="R101" s="168">
        <f>COUNTIF(Berekening!P$75:P$78,'Overzicht pronostieken'!$E101)</f>
        <v>0</v>
      </c>
      <c r="S101" s="168">
        <f>COUNTIF(Berekening!Q$75:Q$78,'Overzicht pronostieken'!$E101)</f>
        <v>0</v>
      </c>
      <c r="T101" s="168">
        <f>COUNTIF(Berekening!R$75:R$78,'Overzicht pronostieken'!$E101)</f>
        <v>0</v>
      </c>
      <c r="U101" s="168">
        <f>COUNTIF(Berekening!S$75:S$78,'Overzicht pronostieken'!$E101)</f>
        <v>0</v>
      </c>
      <c r="V101" s="168">
        <f>COUNTIF(Berekening!T$75:T$78,'Overzicht pronostieken'!$E101)</f>
        <v>0</v>
      </c>
      <c r="W101" s="168">
        <f>COUNTIF(Berekening!U$75:U$78,'Overzicht pronostieken'!$E101)</f>
        <v>0</v>
      </c>
      <c r="X101" s="168">
        <f>COUNTIF(Berekening!V$75:V$78,'Overzicht pronostieken'!$E101)</f>
        <v>0</v>
      </c>
      <c r="Y101" s="168">
        <f>COUNTIF(Berekening!W$75:W$78,'Overzicht pronostieken'!$E101)</f>
        <v>0</v>
      </c>
      <c r="Z101" s="168">
        <f>COUNTIF(Berekening!X$75:X$78,'Overzicht pronostieken'!$E101)</f>
        <v>0</v>
      </c>
      <c r="AA101" s="168">
        <f>COUNTIF(Berekening!Y$75:Y$78,'Overzicht pronostieken'!$E101)</f>
        <v>0</v>
      </c>
      <c r="AB101" s="168">
        <f>COUNTIF(Berekening!Z$75:Z$78,'Overzicht pronostieken'!$E101)</f>
        <v>0</v>
      </c>
      <c r="AC101" s="168">
        <f>COUNTIF(Berekening!AA$75:AA$78,'Overzicht pronostieken'!$E101)</f>
        <v>0</v>
      </c>
      <c r="AD101" s="168">
        <f>COUNTIF(Berekening!AB$75:AB$78,'Overzicht pronostieken'!$E101)</f>
        <v>0</v>
      </c>
      <c r="AE101" s="168">
        <f>COUNTIF(Berekening!AC$75:AC$78,'Overzicht pronostieken'!$E101)</f>
        <v>0</v>
      </c>
      <c r="AF101" s="168">
        <f>COUNTIF(Berekening!AD$75:AD$78,'Overzicht pronostieken'!$E101)</f>
        <v>0</v>
      </c>
      <c r="AG101" s="168">
        <f>COUNTIF(Berekening!AE$75:AE$78,'Overzicht pronostieken'!$E101)</f>
        <v>0</v>
      </c>
      <c r="AH101" s="168">
        <f>COUNTIF(Berekening!AF$75:AF$78,'Overzicht pronostieken'!$E101)</f>
        <v>0</v>
      </c>
      <c r="AI101" s="168">
        <f>COUNTIF(Berekening!AG$75:AG$78,'Overzicht pronostieken'!$E101)</f>
        <v>0</v>
      </c>
      <c r="AJ101" s="168">
        <f>COUNTIF(Berekening!AH$75:AH$78,'Overzicht pronostieken'!$E101)</f>
        <v>0</v>
      </c>
      <c r="AK101" s="168">
        <f>COUNTIF(Berekening!AI$75:AI$78,'Overzicht pronostieken'!$E101)</f>
        <v>0</v>
      </c>
      <c r="AL101" s="168">
        <f>COUNTIF(Berekening!AJ$75:AJ$78,'Overzicht pronostieken'!$E101)</f>
        <v>0</v>
      </c>
      <c r="AM101" s="168">
        <f>COUNTIF(Berekening!AK$75:AK$78,'Overzicht pronostieken'!$E101)</f>
        <v>0</v>
      </c>
      <c r="AN101" s="168">
        <f>COUNTIF(Berekening!AL$75:AL$78,'Overzicht pronostieken'!$E101)</f>
        <v>0</v>
      </c>
      <c r="AO101" s="168">
        <f>COUNTIF(Berekening!AM$75:AM$78,'Overzicht pronostieken'!$E101)</f>
        <v>0</v>
      </c>
      <c r="AP101" s="168">
        <f>COUNTIF(Berekening!AN$75:AN$78,'Overzicht pronostieken'!$E101)</f>
        <v>0</v>
      </c>
      <c r="AQ101" s="168">
        <f>COUNTIF(Berekening!AO$75:AO$78,'Overzicht pronostieken'!$E101)</f>
        <v>0</v>
      </c>
      <c r="AR101" s="168">
        <f>COUNTIF(Berekening!AP$75:AP$78,'Overzicht pronostieken'!$E101)</f>
        <v>0</v>
      </c>
      <c r="AS101" s="168">
        <f>COUNTIF(Berekening!AQ$75:AQ$78,'Overzicht pronostieken'!$E101)</f>
        <v>0</v>
      </c>
      <c r="AT101" s="168">
        <f>COUNTIF(Berekening!AR$75:AR$78,'Overzicht pronostieken'!$E101)</f>
        <v>0</v>
      </c>
      <c r="AU101" s="168">
        <f>COUNTIF(Berekening!AS$75:AS$78,'Overzicht pronostieken'!$E101)</f>
        <v>0</v>
      </c>
      <c r="AV101" s="168">
        <f>COUNTIF(Berekening!AT$75:AT$78,'Overzicht pronostieken'!$E101)</f>
        <v>0</v>
      </c>
    </row>
    <row r="102" spans="5:48">
      <c r="E102" s="161" t="s">
        <v>1077</v>
      </c>
      <c r="F102" s="161">
        <f t="shared" si="5"/>
        <v>6</v>
      </c>
      <c r="G102" s="168">
        <f>COUNTIF(Berekening!E$75:E$78,'Overzicht pronostieken'!$E102)</f>
        <v>0</v>
      </c>
      <c r="H102" s="168">
        <f>COUNTIF(Berekening!F$75:F$78,'Overzicht pronostieken'!$E102)</f>
        <v>1</v>
      </c>
      <c r="I102" s="168">
        <f>COUNTIF(Berekening!G$75:G$78,'Overzicht pronostieken'!$E102)</f>
        <v>1</v>
      </c>
      <c r="J102" s="168">
        <f>COUNTIF(Berekening!H$75:H$78,'Overzicht pronostieken'!$E102)</f>
        <v>0</v>
      </c>
      <c r="K102" s="168">
        <f>COUNTIF(Berekening!I$75:I$78,'Overzicht pronostieken'!$E102)</f>
        <v>0</v>
      </c>
      <c r="L102" s="168">
        <f>COUNTIF(Berekening!J$75:J$78,'Overzicht pronostieken'!$E102)</f>
        <v>0</v>
      </c>
      <c r="M102" s="168">
        <f>COUNTIF(Berekening!K$75:K$78,'Overzicht pronostieken'!$E102)</f>
        <v>0</v>
      </c>
      <c r="N102" s="168">
        <f>COUNTIF(Berekening!L$75:L$78,'Overzicht pronostieken'!$E102)</f>
        <v>0</v>
      </c>
      <c r="O102" s="168">
        <f>COUNTIF(Berekening!M$75:M$78,'Overzicht pronostieken'!$E102)</f>
        <v>1</v>
      </c>
      <c r="P102" s="168">
        <f>COUNTIF(Berekening!N$75:N$78,'Overzicht pronostieken'!$E102)</f>
        <v>1</v>
      </c>
      <c r="Q102" s="168">
        <f>COUNTIF(Berekening!O$75:O$78,'Overzicht pronostieken'!$E102)</f>
        <v>0</v>
      </c>
      <c r="R102" s="168">
        <f>COUNTIF(Berekening!P$75:P$78,'Overzicht pronostieken'!$E102)</f>
        <v>0</v>
      </c>
      <c r="S102" s="168">
        <f>COUNTIF(Berekening!Q$75:Q$78,'Overzicht pronostieken'!$E102)</f>
        <v>0</v>
      </c>
      <c r="T102" s="168">
        <f>COUNTIF(Berekening!R$75:R$78,'Overzicht pronostieken'!$E102)</f>
        <v>0</v>
      </c>
      <c r="U102" s="168">
        <f>COUNTIF(Berekening!S$75:S$78,'Overzicht pronostieken'!$E102)</f>
        <v>1</v>
      </c>
      <c r="V102" s="168">
        <f>COUNTIF(Berekening!T$75:T$78,'Overzicht pronostieken'!$E102)</f>
        <v>1</v>
      </c>
      <c r="W102" s="168">
        <f>COUNTIF(Berekening!U$75:U$78,'Overzicht pronostieken'!$E102)</f>
        <v>0</v>
      </c>
      <c r="X102" s="168">
        <f>COUNTIF(Berekening!V$75:V$78,'Overzicht pronostieken'!$E102)</f>
        <v>0</v>
      </c>
      <c r="Y102" s="168">
        <f>COUNTIF(Berekening!W$75:W$78,'Overzicht pronostieken'!$E102)</f>
        <v>0</v>
      </c>
      <c r="Z102" s="168">
        <f>COUNTIF(Berekening!X$75:X$78,'Overzicht pronostieken'!$E102)</f>
        <v>0</v>
      </c>
      <c r="AA102" s="168">
        <f>COUNTIF(Berekening!Y$75:Y$78,'Overzicht pronostieken'!$E102)</f>
        <v>0</v>
      </c>
      <c r="AB102" s="168">
        <f>COUNTIF(Berekening!Z$75:Z$78,'Overzicht pronostieken'!$E102)</f>
        <v>0</v>
      </c>
      <c r="AC102" s="168">
        <f>COUNTIF(Berekening!AA$75:AA$78,'Overzicht pronostieken'!$E102)</f>
        <v>0</v>
      </c>
      <c r="AD102" s="168">
        <f>COUNTIF(Berekening!AB$75:AB$78,'Overzicht pronostieken'!$E102)</f>
        <v>0</v>
      </c>
      <c r="AE102" s="168">
        <f>COUNTIF(Berekening!AC$75:AC$78,'Overzicht pronostieken'!$E102)</f>
        <v>0</v>
      </c>
      <c r="AF102" s="168">
        <f>COUNTIF(Berekening!AD$75:AD$78,'Overzicht pronostieken'!$E102)</f>
        <v>0</v>
      </c>
      <c r="AG102" s="168">
        <f>COUNTIF(Berekening!AE$75:AE$78,'Overzicht pronostieken'!$E102)</f>
        <v>0</v>
      </c>
      <c r="AH102" s="168">
        <f>COUNTIF(Berekening!AF$75:AF$78,'Overzicht pronostieken'!$E102)</f>
        <v>0</v>
      </c>
      <c r="AI102" s="168">
        <f>COUNTIF(Berekening!AG$75:AG$78,'Overzicht pronostieken'!$E102)</f>
        <v>0</v>
      </c>
      <c r="AJ102" s="168">
        <f>COUNTIF(Berekening!AH$75:AH$78,'Overzicht pronostieken'!$E102)</f>
        <v>0</v>
      </c>
      <c r="AK102" s="168">
        <f>COUNTIF(Berekening!AI$75:AI$78,'Overzicht pronostieken'!$E102)</f>
        <v>0</v>
      </c>
      <c r="AL102" s="168">
        <f>COUNTIF(Berekening!AJ$75:AJ$78,'Overzicht pronostieken'!$E102)</f>
        <v>0</v>
      </c>
      <c r="AM102" s="168">
        <f>COUNTIF(Berekening!AK$75:AK$78,'Overzicht pronostieken'!$E102)</f>
        <v>0</v>
      </c>
      <c r="AN102" s="168">
        <f>COUNTIF(Berekening!AL$75:AL$78,'Overzicht pronostieken'!$E102)</f>
        <v>0</v>
      </c>
      <c r="AO102" s="168">
        <f>COUNTIF(Berekening!AM$75:AM$78,'Overzicht pronostieken'!$E102)</f>
        <v>0</v>
      </c>
      <c r="AP102" s="168">
        <f>COUNTIF(Berekening!AN$75:AN$78,'Overzicht pronostieken'!$E102)</f>
        <v>0</v>
      </c>
      <c r="AQ102" s="168">
        <f>COUNTIF(Berekening!AO$75:AO$78,'Overzicht pronostieken'!$E102)</f>
        <v>0</v>
      </c>
      <c r="AR102" s="168">
        <f>COUNTIF(Berekening!AP$75:AP$78,'Overzicht pronostieken'!$E102)</f>
        <v>0</v>
      </c>
      <c r="AS102" s="168">
        <f>COUNTIF(Berekening!AQ$75:AQ$78,'Overzicht pronostieken'!$E102)</f>
        <v>0</v>
      </c>
      <c r="AT102" s="168">
        <f>COUNTIF(Berekening!AR$75:AR$78,'Overzicht pronostieken'!$E102)</f>
        <v>0</v>
      </c>
      <c r="AU102" s="168">
        <f>COUNTIF(Berekening!AS$75:AS$78,'Overzicht pronostieken'!$E102)</f>
        <v>0</v>
      </c>
      <c r="AV102" s="168">
        <f>COUNTIF(Berekening!AT$75:AT$78,'Overzicht pronostieken'!$E102)</f>
        <v>0</v>
      </c>
    </row>
    <row r="103" spans="5:48">
      <c r="E103" s="161" t="s">
        <v>1016</v>
      </c>
      <c r="F103" s="161">
        <f t="shared" si="5"/>
        <v>0</v>
      </c>
      <c r="G103" s="168">
        <f>COUNTIF(Berekening!E$75:E$78,'Overzicht pronostieken'!$E103)</f>
        <v>0</v>
      </c>
      <c r="H103" s="168">
        <f>COUNTIF(Berekening!F$75:F$78,'Overzicht pronostieken'!$E103)</f>
        <v>0</v>
      </c>
      <c r="I103" s="168">
        <f>COUNTIF(Berekening!G$75:G$78,'Overzicht pronostieken'!$E103)</f>
        <v>0</v>
      </c>
      <c r="J103" s="168">
        <f>COUNTIF(Berekening!H$75:H$78,'Overzicht pronostieken'!$E103)</f>
        <v>0</v>
      </c>
      <c r="K103" s="168">
        <f>COUNTIF(Berekening!I$75:I$78,'Overzicht pronostieken'!$E103)</f>
        <v>0</v>
      </c>
      <c r="L103" s="168">
        <f>COUNTIF(Berekening!J$75:J$78,'Overzicht pronostieken'!$E103)</f>
        <v>0</v>
      </c>
      <c r="M103" s="168">
        <f>COUNTIF(Berekening!K$75:K$78,'Overzicht pronostieken'!$E103)</f>
        <v>0</v>
      </c>
      <c r="N103" s="168">
        <f>COUNTIF(Berekening!L$75:L$78,'Overzicht pronostieken'!$E103)</f>
        <v>0</v>
      </c>
      <c r="O103" s="168">
        <f>COUNTIF(Berekening!M$75:M$78,'Overzicht pronostieken'!$E103)</f>
        <v>0</v>
      </c>
      <c r="P103" s="168">
        <f>COUNTIF(Berekening!N$75:N$78,'Overzicht pronostieken'!$E103)</f>
        <v>0</v>
      </c>
      <c r="Q103" s="168">
        <f>COUNTIF(Berekening!O$75:O$78,'Overzicht pronostieken'!$E103)</f>
        <v>0</v>
      </c>
      <c r="R103" s="168">
        <f>COUNTIF(Berekening!P$75:P$78,'Overzicht pronostieken'!$E103)</f>
        <v>0</v>
      </c>
      <c r="S103" s="168">
        <f>COUNTIF(Berekening!Q$75:Q$78,'Overzicht pronostieken'!$E103)</f>
        <v>0</v>
      </c>
      <c r="T103" s="168">
        <f>COUNTIF(Berekening!R$75:R$78,'Overzicht pronostieken'!$E103)</f>
        <v>0</v>
      </c>
      <c r="U103" s="168">
        <f>COUNTIF(Berekening!S$75:S$78,'Overzicht pronostieken'!$E103)</f>
        <v>0</v>
      </c>
      <c r="V103" s="168">
        <f>COUNTIF(Berekening!T$75:T$78,'Overzicht pronostieken'!$E103)</f>
        <v>0</v>
      </c>
      <c r="W103" s="168">
        <f>COUNTIF(Berekening!U$75:U$78,'Overzicht pronostieken'!$E103)</f>
        <v>0</v>
      </c>
      <c r="X103" s="168">
        <f>COUNTIF(Berekening!V$75:V$78,'Overzicht pronostieken'!$E103)</f>
        <v>0</v>
      </c>
      <c r="Y103" s="168">
        <f>COUNTIF(Berekening!W$75:W$78,'Overzicht pronostieken'!$E103)</f>
        <v>0</v>
      </c>
      <c r="Z103" s="168">
        <f>COUNTIF(Berekening!X$75:X$78,'Overzicht pronostieken'!$E103)</f>
        <v>0</v>
      </c>
      <c r="AA103" s="168">
        <f>COUNTIF(Berekening!Y$75:Y$78,'Overzicht pronostieken'!$E103)</f>
        <v>0</v>
      </c>
      <c r="AB103" s="168">
        <f>COUNTIF(Berekening!Z$75:Z$78,'Overzicht pronostieken'!$E103)</f>
        <v>0</v>
      </c>
      <c r="AC103" s="168">
        <f>COUNTIF(Berekening!AA$75:AA$78,'Overzicht pronostieken'!$E103)</f>
        <v>0</v>
      </c>
      <c r="AD103" s="168">
        <f>COUNTIF(Berekening!AB$75:AB$78,'Overzicht pronostieken'!$E103)</f>
        <v>0</v>
      </c>
      <c r="AE103" s="168">
        <f>COUNTIF(Berekening!AC$75:AC$78,'Overzicht pronostieken'!$E103)</f>
        <v>0</v>
      </c>
      <c r="AF103" s="168">
        <f>COUNTIF(Berekening!AD$75:AD$78,'Overzicht pronostieken'!$E103)</f>
        <v>0</v>
      </c>
      <c r="AG103" s="168">
        <f>COUNTIF(Berekening!AE$75:AE$78,'Overzicht pronostieken'!$E103)</f>
        <v>0</v>
      </c>
      <c r="AH103" s="168">
        <f>COUNTIF(Berekening!AF$75:AF$78,'Overzicht pronostieken'!$E103)</f>
        <v>0</v>
      </c>
      <c r="AI103" s="168">
        <f>COUNTIF(Berekening!AG$75:AG$78,'Overzicht pronostieken'!$E103)</f>
        <v>0</v>
      </c>
      <c r="AJ103" s="168">
        <f>COUNTIF(Berekening!AH$75:AH$78,'Overzicht pronostieken'!$E103)</f>
        <v>0</v>
      </c>
      <c r="AK103" s="168">
        <f>COUNTIF(Berekening!AI$75:AI$78,'Overzicht pronostieken'!$E103)</f>
        <v>0</v>
      </c>
      <c r="AL103" s="168">
        <f>COUNTIF(Berekening!AJ$75:AJ$78,'Overzicht pronostieken'!$E103)</f>
        <v>0</v>
      </c>
      <c r="AM103" s="168">
        <f>COUNTIF(Berekening!AK$75:AK$78,'Overzicht pronostieken'!$E103)</f>
        <v>0</v>
      </c>
      <c r="AN103" s="168">
        <f>COUNTIF(Berekening!AL$75:AL$78,'Overzicht pronostieken'!$E103)</f>
        <v>0</v>
      </c>
      <c r="AO103" s="168">
        <f>COUNTIF(Berekening!AM$75:AM$78,'Overzicht pronostieken'!$E103)</f>
        <v>0</v>
      </c>
      <c r="AP103" s="168">
        <f>COUNTIF(Berekening!AN$75:AN$78,'Overzicht pronostieken'!$E103)</f>
        <v>0</v>
      </c>
      <c r="AQ103" s="168">
        <f>COUNTIF(Berekening!AO$75:AO$78,'Overzicht pronostieken'!$E103)</f>
        <v>0</v>
      </c>
      <c r="AR103" s="168">
        <f>COUNTIF(Berekening!AP$75:AP$78,'Overzicht pronostieken'!$E103)</f>
        <v>0</v>
      </c>
      <c r="AS103" s="168">
        <f>COUNTIF(Berekening!AQ$75:AQ$78,'Overzicht pronostieken'!$E103)</f>
        <v>0</v>
      </c>
      <c r="AT103" s="168">
        <f>COUNTIF(Berekening!AR$75:AR$78,'Overzicht pronostieken'!$E103)</f>
        <v>0</v>
      </c>
      <c r="AU103" s="168">
        <f>COUNTIF(Berekening!AS$75:AS$78,'Overzicht pronostieken'!$E103)</f>
        <v>0</v>
      </c>
      <c r="AV103" s="168">
        <f>COUNTIF(Berekening!AT$75:AT$78,'Overzicht pronostieken'!$E103)</f>
        <v>0</v>
      </c>
    </row>
    <row r="104" spans="5:48">
      <c r="E104" s="161" t="s">
        <v>1533</v>
      </c>
      <c r="F104" s="161">
        <f t="shared" si="5"/>
        <v>1</v>
      </c>
      <c r="G104" s="168">
        <f>COUNTIF(Berekening!E$75:E$78,'Overzicht pronostieken'!$E104)</f>
        <v>0</v>
      </c>
      <c r="H104" s="168">
        <f>COUNTIF(Berekening!F$75:F$78,'Overzicht pronostieken'!$E104)</f>
        <v>0</v>
      </c>
      <c r="I104" s="168">
        <f>COUNTIF(Berekening!G$75:G$78,'Overzicht pronostieken'!$E104)</f>
        <v>0</v>
      </c>
      <c r="J104" s="168">
        <f>COUNTIF(Berekening!H$75:H$78,'Overzicht pronostieken'!$E104)</f>
        <v>0</v>
      </c>
      <c r="K104" s="168">
        <f>COUNTIF(Berekening!I$75:I$78,'Overzicht pronostieken'!$E104)</f>
        <v>0</v>
      </c>
      <c r="L104" s="168">
        <f>COUNTIF(Berekening!J$75:J$78,'Overzicht pronostieken'!$E104)</f>
        <v>0</v>
      </c>
      <c r="M104" s="168">
        <f>COUNTIF(Berekening!K$75:K$78,'Overzicht pronostieken'!$E104)</f>
        <v>0</v>
      </c>
      <c r="N104" s="168">
        <f>COUNTIF(Berekening!L$75:L$78,'Overzicht pronostieken'!$E104)</f>
        <v>0</v>
      </c>
      <c r="O104" s="168">
        <f>COUNTIF(Berekening!M$75:M$78,'Overzicht pronostieken'!$E104)</f>
        <v>0</v>
      </c>
      <c r="P104" s="168">
        <f>COUNTIF(Berekening!N$75:N$78,'Overzicht pronostieken'!$E104)</f>
        <v>0</v>
      </c>
      <c r="Q104" s="168">
        <f>COUNTIF(Berekening!O$75:O$78,'Overzicht pronostieken'!$E104)</f>
        <v>0</v>
      </c>
      <c r="R104" s="168">
        <f>COUNTIF(Berekening!P$75:P$78,'Overzicht pronostieken'!$E104)</f>
        <v>0</v>
      </c>
      <c r="S104" s="168">
        <f>COUNTIF(Berekening!Q$75:Q$78,'Overzicht pronostieken'!$E104)</f>
        <v>0</v>
      </c>
      <c r="T104" s="168">
        <f>COUNTIF(Berekening!R$75:R$78,'Overzicht pronostieken'!$E104)</f>
        <v>0</v>
      </c>
      <c r="U104" s="168">
        <f>COUNTIF(Berekening!S$75:S$78,'Overzicht pronostieken'!$E104)</f>
        <v>0</v>
      </c>
      <c r="V104" s="168">
        <f>COUNTIF(Berekening!T$75:T$78,'Overzicht pronostieken'!$E104)</f>
        <v>1</v>
      </c>
      <c r="W104" s="168">
        <f>COUNTIF(Berekening!U$75:U$78,'Overzicht pronostieken'!$E104)</f>
        <v>0</v>
      </c>
      <c r="X104" s="168">
        <f>COUNTIF(Berekening!V$75:V$78,'Overzicht pronostieken'!$E104)</f>
        <v>0</v>
      </c>
      <c r="Y104" s="168">
        <f>COUNTIF(Berekening!W$75:W$78,'Overzicht pronostieken'!$E104)</f>
        <v>0</v>
      </c>
      <c r="Z104" s="168">
        <f>COUNTIF(Berekening!X$75:X$78,'Overzicht pronostieken'!$E104)</f>
        <v>0</v>
      </c>
      <c r="AA104" s="168">
        <f>COUNTIF(Berekening!Y$75:Y$78,'Overzicht pronostieken'!$E104)</f>
        <v>0</v>
      </c>
      <c r="AB104" s="168">
        <f>COUNTIF(Berekening!Z$75:Z$78,'Overzicht pronostieken'!$E104)</f>
        <v>0</v>
      </c>
      <c r="AC104" s="168">
        <f>COUNTIF(Berekening!AA$75:AA$78,'Overzicht pronostieken'!$E104)</f>
        <v>0</v>
      </c>
      <c r="AD104" s="168">
        <f>COUNTIF(Berekening!AB$75:AB$78,'Overzicht pronostieken'!$E104)</f>
        <v>0</v>
      </c>
      <c r="AE104" s="168">
        <f>COUNTIF(Berekening!AC$75:AC$78,'Overzicht pronostieken'!$E104)</f>
        <v>0</v>
      </c>
      <c r="AF104" s="168">
        <f>COUNTIF(Berekening!AD$75:AD$78,'Overzicht pronostieken'!$E104)</f>
        <v>0</v>
      </c>
      <c r="AG104" s="168">
        <f>COUNTIF(Berekening!AE$75:AE$78,'Overzicht pronostieken'!$E104)</f>
        <v>0</v>
      </c>
      <c r="AH104" s="168">
        <f>COUNTIF(Berekening!AF$75:AF$78,'Overzicht pronostieken'!$E104)</f>
        <v>0</v>
      </c>
      <c r="AI104" s="168">
        <f>COUNTIF(Berekening!AG$75:AG$78,'Overzicht pronostieken'!$E104)</f>
        <v>0</v>
      </c>
      <c r="AJ104" s="168">
        <f>COUNTIF(Berekening!AH$75:AH$78,'Overzicht pronostieken'!$E104)</f>
        <v>0</v>
      </c>
      <c r="AK104" s="168">
        <f>COUNTIF(Berekening!AI$75:AI$78,'Overzicht pronostieken'!$E104)</f>
        <v>0</v>
      </c>
      <c r="AL104" s="168">
        <f>COUNTIF(Berekening!AJ$75:AJ$78,'Overzicht pronostieken'!$E104)</f>
        <v>0</v>
      </c>
      <c r="AM104" s="168">
        <f>COUNTIF(Berekening!AK$75:AK$78,'Overzicht pronostieken'!$E104)</f>
        <v>0</v>
      </c>
      <c r="AN104" s="168">
        <f>COUNTIF(Berekening!AL$75:AL$78,'Overzicht pronostieken'!$E104)</f>
        <v>0</v>
      </c>
      <c r="AO104" s="168">
        <f>COUNTIF(Berekening!AM$75:AM$78,'Overzicht pronostieken'!$E104)</f>
        <v>0</v>
      </c>
      <c r="AP104" s="168">
        <f>COUNTIF(Berekening!AN$75:AN$78,'Overzicht pronostieken'!$E104)</f>
        <v>0</v>
      </c>
      <c r="AQ104" s="168">
        <f>COUNTIF(Berekening!AO$75:AO$78,'Overzicht pronostieken'!$E104)</f>
        <v>0</v>
      </c>
      <c r="AR104" s="168">
        <f>COUNTIF(Berekening!AP$75:AP$78,'Overzicht pronostieken'!$E104)</f>
        <v>0</v>
      </c>
      <c r="AS104" s="168">
        <f>COUNTIF(Berekening!AQ$75:AQ$78,'Overzicht pronostieken'!$E104)</f>
        <v>0</v>
      </c>
      <c r="AT104" s="168">
        <f>COUNTIF(Berekening!AR$75:AR$78,'Overzicht pronostieken'!$E104)</f>
        <v>0</v>
      </c>
      <c r="AU104" s="168">
        <f>COUNTIF(Berekening!AS$75:AS$78,'Overzicht pronostieken'!$E104)</f>
        <v>0</v>
      </c>
      <c r="AV104" s="168">
        <f>COUNTIF(Berekening!AT$75:AT$78,'Overzicht pronostieken'!$E104)</f>
        <v>0</v>
      </c>
    </row>
    <row r="105" spans="5:48">
      <c r="E105" s="161" t="s">
        <v>2630</v>
      </c>
      <c r="F105" s="161">
        <f t="shared" si="5"/>
        <v>0</v>
      </c>
      <c r="G105" s="168">
        <f>COUNTIF(Berekening!E$75:E$78,'Overzicht pronostieken'!$E105)</f>
        <v>0</v>
      </c>
      <c r="H105" s="168">
        <f>COUNTIF(Berekening!F$75:F$78,'Overzicht pronostieken'!$E105)</f>
        <v>0</v>
      </c>
      <c r="I105" s="168">
        <f>COUNTIF(Berekening!G$75:G$78,'Overzicht pronostieken'!$E105)</f>
        <v>0</v>
      </c>
      <c r="J105" s="168">
        <f>COUNTIF(Berekening!H$75:H$78,'Overzicht pronostieken'!$E105)</f>
        <v>0</v>
      </c>
      <c r="K105" s="168">
        <f>COUNTIF(Berekening!I$75:I$78,'Overzicht pronostieken'!$E105)</f>
        <v>0</v>
      </c>
      <c r="L105" s="168">
        <f>COUNTIF(Berekening!J$75:J$78,'Overzicht pronostieken'!$E105)</f>
        <v>0</v>
      </c>
      <c r="M105" s="168">
        <f>COUNTIF(Berekening!K$75:K$78,'Overzicht pronostieken'!$E105)</f>
        <v>0</v>
      </c>
      <c r="N105" s="168">
        <f>COUNTIF(Berekening!L$75:L$78,'Overzicht pronostieken'!$E105)</f>
        <v>0</v>
      </c>
      <c r="O105" s="168">
        <f>COUNTIF(Berekening!M$75:M$78,'Overzicht pronostieken'!$E105)</f>
        <v>0</v>
      </c>
      <c r="P105" s="168">
        <f>COUNTIF(Berekening!N$75:N$78,'Overzicht pronostieken'!$E105)</f>
        <v>0</v>
      </c>
      <c r="Q105" s="168">
        <f>COUNTIF(Berekening!O$75:O$78,'Overzicht pronostieken'!$E105)</f>
        <v>0</v>
      </c>
      <c r="R105" s="168">
        <f>COUNTIF(Berekening!P$75:P$78,'Overzicht pronostieken'!$E105)</f>
        <v>0</v>
      </c>
      <c r="S105" s="168">
        <f>COUNTIF(Berekening!Q$75:Q$78,'Overzicht pronostieken'!$E105)</f>
        <v>0</v>
      </c>
      <c r="T105" s="168">
        <f>COUNTIF(Berekening!R$75:R$78,'Overzicht pronostieken'!$E105)</f>
        <v>0</v>
      </c>
      <c r="U105" s="168">
        <f>COUNTIF(Berekening!S$75:S$78,'Overzicht pronostieken'!$E105)</f>
        <v>0</v>
      </c>
      <c r="V105" s="168">
        <f>COUNTIF(Berekening!T$75:T$78,'Overzicht pronostieken'!$E105)</f>
        <v>0</v>
      </c>
      <c r="W105" s="168">
        <f>COUNTIF(Berekening!U$75:U$78,'Overzicht pronostieken'!$E105)</f>
        <v>0</v>
      </c>
      <c r="X105" s="168">
        <f>COUNTIF(Berekening!V$75:V$78,'Overzicht pronostieken'!$E105)</f>
        <v>0</v>
      </c>
      <c r="Y105" s="168">
        <f>COUNTIF(Berekening!W$75:W$78,'Overzicht pronostieken'!$E105)</f>
        <v>0</v>
      </c>
      <c r="Z105" s="168">
        <f>COUNTIF(Berekening!X$75:X$78,'Overzicht pronostieken'!$E105)</f>
        <v>0</v>
      </c>
      <c r="AA105" s="168">
        <f>COUNTIF(Berekening!Y$75:Y$78,'Overzicht pronostieken'!$E105)</f>
        <v>0</v>
      </c>
      <c r="AB105" s="168">
        <f>COUNTIF(Berekening!Z$75:Z$78,'Overzicht pronostieken'!$E105)</f>
        <v>0</v>
      </c>
      <c r="AC105" s="168">
        <f>COUNTIF(Berekening!AA$75:AA$78,'Overzicht pronostieken'!$E105)</f>
        <v>0</v>
      </c>
      <c r="AD105" s="168">
        <f>COUNTIF(Berekening!AB$75:AB$78,'Overzicht pronostieken'!$E105)</f>
        <v>0</v>
      </c>
      <c r="AE105" s="168">
        <f>COUNTIF(Berekening!AC$75:AC$78,'Overzicht pronostieken'!$E105)</f>
        <v>0</v>
      </c>
      <c r="AF105" s="168">
        <f>COUNTIF(Berekening!AD$75:AD$78,'Overzicht pronostieken'!$E105)</f>
        <v>0</v>
      </c>
      <c r="AG105" s="168">
        <f>COUNTIF(Berekening!AE$75:AE$78,'Overzicht pronostieken'!$E105)</f>
        <v>0</v>
      </c>
      <c r="AH105" s="168">
        <f>COUNTIF(Berekening!AF$75:AF$78,'Overzicht pronostieken'!$E105)</f>
        <v>0</v>
      </c>
      <c r="AI105" s="168">
        <f>COUNTIF(Berekening!AG$75:AG$78,'Overzicht pronostieken'!$E105)</f>
        <v>0</v>
      </c>
      <c r="AJ105" s="168">
        <f>COUNTIF(Berekening!AH$75:AH$78,'Overzicht pronostieken'!$E105)</f>
        <v>0</v>
      </c>
      <c r="AK105" s="168">
        <f>COUNTIF(Berekening!AI$75:AI$78,'Overzicht pronostieken'!$E105)</f>
        <v>0</v>
      </c>
      <c r="AL105" s="168">
        <f>COUNTIF(Berekening!AJ$75:AJ$78,'Overzicht pronostieken'!$E105)</f>
        <v>0</v>
      </c>
      <c r="AM105" s="168">
        <f>COUNTIF(Berekening!AK$75:AK$78,'Overzicht pronostieken'!$E105)</f>
        <v>0</v>
      </c>
      <c r="AN105" s="168">
        <f>COUNTIF(Berekening!AL$75:AL$78,'Overzicht pronostieken'!$E105)</f>
        <v>0</v>
      </c>
      <c r="AO105" s="168">
        <f>COUNTIF(Berekening!AM$75:AM$78,'Overzicht pronostieken'!$E105)</f>
        <v>0</v>
      </c>
      <c r="AP105" s="168">
        <f>COUNTIF(Berekening!AN$75:AN$78,'Overzicht pronostieken'!$E105)</f>
        <v>0</v>
      </c>
      <c r="AQ105" s="168">
        <f>COUNTIF(Berekening!AO$75:AO$78,'Overzicht pronostieken'!$E105)</f>
        <v>0</v>
      </c>
      <c r="AR105" s="168">
        <f>COUNTIF(Berekening!AP$75:AP$78,'Overzicht pronostieken'!$E105)</f>
        <v>0</v>
      </c>
      <c r="AS105" s="168">
        <f>COUNTIF(Berekening!AQ$75:AQ$78,'Overzicht pronostieken'!$E105)</f>
        <v>0</v>
      </c>
      <c r="AT105" s="168">
        <f>COUNTIF(Berekening!AR$75:AR$78,'Overzicht pronostieken'!$E105)</f>
        <v>0</v>
      </c>
      <c r="AU105" s="168">
        <f>COUNTIF(Berekening!AS$75:AS$78,'Overzicht pronostieken'!$E105)</f>
        <v>0</v>
      </c>
      <c r="AV105" s="168">
        <f>COUNTIF(Berekening!AT$75:AT$78,'Overzicht pronostieken'!$E105)</f>
        <v>0</v>
      </c>
    </row>
    <row r="106" spans="5:48">
      <c r="E106" s="161" t="s">
        <v>1206</v>
      </c>
      <c r="F106" s="161">
        <f t="shared" si="5"/>
        <v>0</v>
      </c>
      <c r="G106" s="168">
        <f>COUNTIF(Berekening!E$75:E$78,'Overzicht pronostieken'!$E106)</f>
        <v>0</v>
      </c>
      <c r="H106" s="168">
        <f>COUNTIF(Berekening!F$75:F$78,'Overzicht pronostieken'!$E106)</f>
        <v>0</v>
      </c>
      <c r="I106" s="168">
        <f>COUNTIF(Berekening!G$75:G$78,'Overzicht pronostieken'!$E106)</f>
        <v>0</v>
      </c>
      <c r="J106" s="168">
        <f>COUNTIF(Berekening!H$75:H$78,'Overzicht pronostieken'!$E106)</f>
        <v>0</v>
      </c>
      <c r="K106" s="168">
        <f>COUNTIF(Berekening!I$75:I$78,'Overzicht pronostieken'!$E106)</f>
        <v>0</v>
      </c>
      <c r="L106" s="168">
        <f>COUNTIF(Berekening!J$75:J$78,'Overzicht pronostieken'!$E106)</f>
        <v>0</v>
      </c>
      <c r="M106" s="168">
        <f>COUNTIF(Berekening!K$75:K$78,'Overzicht pronostieken'!$E106)</f>
        <v>0</v>
      </c>
      <c r="N106" s="168">
        <f>COUNTIF(Berekening!L$75:L$78,'Overzicht pronostieken'!$E106)</f>
        <v>0</v>
      </c>
      <c r="O106" s="168">
        <f>COUNTIF(Berekening!M$75:M$78,'Overzicht pronostieken'!$E106)</f>
        <v>0</v>
      </c>
      <c r="P106" s="168">
        <f>COUNTIF(Berekening!N$75:N$78,'Overzicht pronostieken'!$E106)</f>
        <v>0</v>
      </c>
      <c r="Q106" s="168">
        <f>COUNTIF(Berekening!O$75:O$78,'Overzicht pronostieken'!$E106)</f>
        <v>0</v>
      </c>
      <c r="R106" s="168">
        <f>COUNTIF(Berekening!P$75:P$78,'Overzicht pronostieken'!$E106)</f>
        <v>0</v>
      </c>
      <c r="S106" s="168">
        <f>COUNTIF(Berekening!Q$75:Q$78,'Overzicht pronostieken'!$E106)</f>
        <v>0</v>
      </c>
      <c r="T106" s="168">
        <f>COUNTIF(Berekening!R$75:R$78,'Overzicht pronostieken'!$E106)</f>
        <v>0</v>
      </c>
      <c r="U106" s="168">
        <f>COUNTIF(Berekening!S$75:S$78,'Overzicht pronostieken'!$E106)</f>
        <v>0</v>
      </c>
      <c r="V106" s="168">
        <f>COUNTIF(Berekening!T$75:T$78,'Overzicht pronostieken'!$E106)</f>
        <v>0</v>
      </c>
      <c r="W106" s="168">
        <f>COUNTIF(Berekening!U$75:U$78,'Overzicht pronostieken'!$E106)</f>
        <v>0</v>
      </c>
      <c r="X106" s="168">
        <f>COUNTIF(Berekening!V$75:V$78,'Overzicht pronostieken'!$E106)</f>
        <v>0</v>
      </c>
      <c r="Y106" s="168">
        <f>COUNTIF(Berekening!W$75:W$78,'Overzicht pronostieken'!$E106)</f>
        <v>0</v>
      </c>
      <c r="Z106" s="168">
        <f>COUNTIF(Berekening!X$75:X$78,'Overzicht pronostieken'!$E106)</f>
        <v>0</v>
      </c>
      <c r="AA106" s="168">
        <f>COUNTIF(Berekening!Y$75:Y$78,'Overzicht pronostieken'!$E106)</f>
        <v>0</v>
      </c>
      <c r="AB106" s="168">
        <f>COUNTIF(Berekening!Z$75:Z$78,'Overzicht pronostieken'!$E106)</f>
        <v>0</v>
      </c>
      <c r="AC106" s="168">
        <f>COUNTIF(Berekening!AA$75:AA$78,'Overzicht pronostieken'!$E106)</f>
        <v>0</v>
      </c>
      <c r="AD106" s="168">
        <f>COUNTIF(Berekening!AB$75:AB$78,'Overzicht pronostieken'!$E106)</f>
        <v>0</v>
      </c>
      <c r="AE106" s="168">
        <f>COUNTIF(Berekening!AC$75:AC$78,'Overzicht pronostieken'!$E106)</f>
        <v>0</v>
      </c>
      <c r="AF106" s="168">
        <f>COUNTIF(Berekening!AD$75:AD$78,'Overzicht pronostieken'!$E106)</f>
        <v>0</v>
      </c>
      <c r="AG106" s="168">
        <f>COUNTIF(Berekening!AE$75:AE$78,'Overzicht pronostieken'!$E106)</f>
        <v>0</v>
      </c>
      <c r="AH106" s="168">
        <f>COUNTIF(Berekening!AF$75:AF$78,'Overzicht pronostieken'!$E106)</f>
        <v>0</v>
      </c>
      <c r="AI106" s="168">
        <f>COUNTIF(Berekening!AG$75:AG$78,'Overzicht pronostieken'!$E106)</f>
        <v>0</v>
      </c>
      <c r="AJ106" s="168">
        <f>COUNTIF(Berekening!AH$75:AH$78,'Overzicht pronostieken'!$E106)</f>
        <v>0</v>
      </c>
      <c r="AK106" s="168">
        <f>COUNTIF(Berekening!AI$75:AI$78,'Overzicht pronostieken'!$E106)</f>
        <v>0</v>
      </c>
      <c r="AL106" s="168">
        <f>COUNTIF(Berekening!AJ$75:AJ$78,'Overzicht pronostieken'!$E106)</f>
        <v>0</v>
      </c>
      <c r="AM106" s="168">
        <f>COUNTIF(Berekening!AK$75:AK$78,'Overzicht pronostieken'!$E106)</f>
        <v>0</v>
      </c>
      <c r="AN106" s="168">
        <f>COUNTIF(Berekening!AL$75:AL$78,'Overzicht pronostieken'!$E106)</f>
        <v>0</v>
      </c>
      <c r="AO106" s="168">
        <f>COUNTIF(Berekening!AM$75:AM$78,'Overzicht pronostieken'!$E106)</f>
        <v>0</v>
      </c>
      <c r="AP106" s="168">
        <f>COUNTIF(Berekening!AN$75:AN$78,'Overzicht pronostieken'!$E106)</f>
        <v>0</v>
      </c>
      <c r="AQ106" s="168">
        <f>COUNTIF(Berekening!AO$75:AO$78,'Overzicht pronostieken'!$E106)</f>
        <v>0</v>
      </c>
      <c r="AR106" s="168">
        <f>COUNTIF(Berekening!AP$75:AP$78,'Overzicht pronostieken'!$E106)</f>
        <v>0</v>
      </c>
      <c r="AS106" s="168">
        <f>COUNTIF(Berekening!AQ$75:AQ$78,'Overzicht pronostieken'!$E106)</f>
        <v>0</v>
      </c>
      <c r="AT106" s="168">
        <f>COUNTIF(Berekening!AR$75:AR$78,'Overzicht pronostieken'!$E106)</f>
        <v>0</v>
      </c>
      <c r="AU106" s="168">
        <f>COUNTIF(Berekening!AS$75:AS$78,'Overzicht pronostieken'!$E106)</f>
        <v>0</v>
      </c>
      <c r="AV106" s="168">
        <f>COUNTIF(Berekening!AT$75:AT$78,'Overzicht pronostieken'!$E106)</f>
        <v>0</v>
      </c>
    </row>
    <row r="107" spans="5:48">
      <c r="E107" s="161" t="s">
        <v>1856</v>
      </c>
      <c r="F107" s="161">
        <f t="shared" si="5"/>
        <v>15</v>
      </c>
      <c r="G107" s="168">
        <f>COUNTIF(Berekening!E$75:E$78,'Overzicht pronostieken'!$E107)</f>
        <v>1</v>
      </c>
      <c r="H107" s="168">
        <f>COUNTIF(Berekening!F$75:F$78,'Overzicht pronostieken'!$E107)</f>
        <v>1</v>
      </c>
      <c r="I107" s="168">
        <f>COUNTIF(Berekening!G$75:G$78,'Overzicht pronostieken'!$E107)</f>
        <v>1</v>
      </c>
      <c r="J107" s="168">
        <f>COUNTIF(Berekening!H$75:H$78,'Overzicht pronostieken'!$E107)</f>
        <v>1</v>
      </c>
      <c r="K107" s="168">
        <f>COUNTIF(Berekening!I$75:I$78,'Overzicht pronostieken'!$E107)</f>
        <v>1</v>
      </c>
      <c r="L107" s="168">
        <f>COUNTIF(Berekening!J$75:J$78,'Overzicht pronostieken'!$E107)</f>
        <v>1</v>
      </c>
      <c r="M107" s="168">
        <f>COUNTIF(Berekening!K$75:K$78,'Overzicht pronostieken'!$E107)</f>
        <v>1</v>
      </c>
      <c r="N107" s="168">
        <f>COUNTIF(Berekening!L$75:L$78,'Overzicht pronostieken'!$E107)</f>
        <v>1</v>
      </c>
      <c r="O107" s="168">
        <f>COUNTIF(Berekening!M$75:M$78,'Overzicht pronostieken'!$E107)</f>
        <v>1</v>
      </c>
      <c r="P107" s="168">
        <f>COUNTIF(Berekening!N$75:N$78,'Overzicht pronostieken'!$E107)</f>
        <v>1</v>
      </c>
      <c r="Q107" s="168">
        <f>COUNTIF(Berekening!O$75:O$78,'Overzicht pronostieken'!$E107)</f>
        <v>1</v>
      </c>
      <c r="R107" s="168">
        <f>COUNTIF(Berekening!P$75:P$78,'Overzicht pronostieken'!$E107)</f>
        <v>1</v>
      </c>
      <c r="S107" s="168">
        <f>COUNTIF(Berekening!Q$75:Q$78,'Overzicht pronostieken'!$E107)</f>
        <v>1</v>
      </c>
      <c r="T107" s="168">
        <f>COUNTIF(Berekening!R$75:R$78,'Overzicht pronostieken'!$E107)</f>
        <v>1</v>
      </c>
      <c r="U107" s="168">
        <f>COUNTIF(Berekening!S$75:S$78,'Overzicht pronostieken'!$E107)</f>
        <v>1</v>
      </c>
      <c r="V107" s="168">
        <f>COUNTIF(Berekening!T$75:T$78,'Overzicht pronostieken'!$E107)</f>
        <v>0</v>
      </c>
      <c r="W107" s="168">
        <f>COUNTIF(Berekening!U$75:U$78,'Overzicht pronostieken'!$E107)</f>
        <v>0</v>
      </c>
      <c r="X107" s="168">
        <f>COUNTIF(Berekening!V$75:V$78,'Overzicht pronostieken'!$E107)</f>
        <v>0</v>
      </c>
      <c r="Y107" s="168">
        <f>COUNTIF(Berekening!W$75:W$78,'Overzicht pronostieken'!$E107)</f>
        <v>0</v>
      </c>
      <c r="Z107" s="168">
        <f>COUNTIF(Berekening!X$75:X$78,'Overzicht pronostieken'!$E107)</f>
        <v>0</v>
      </c>
      <c r="AA107" s="168">
        <f>COUNTIF(Berekening!Y$75:Y$78,'Overzicht pronostieken'!$E107)</f>
        <v>0</v>
      </c>
      <c r="AB107" s="168">
        <f>COUNTIF(Berekening!Z$75:Z$78,'Overzicht pronostieken'!$E107)</f>
        <v>0</v>
      </c>
      <c r="AC107" s="168">
        <f>COUNTIF(Berekening!AA$75:AA$78,'Overzicht pronostieken'!$E107)</f>
        <v>0</v>
      </c>
      <c r="AD107" s="168">
        <f>COUNTIF(Berekening!AB$75:AB$78,'Overzicht pronostieken'!$E107)</f>
        <v>0</v>
      </c>
      <c r="AE107" s="168">
        <f>COUNTIF(Berekening!AC$75:AC$78,'Overzicht pronostieken'!$E107)</f>
        <v>0</v>
      </c>
      <c r="AF107" s="168">
        <f>COUNTIF(Berekening!AD$75:AD$78,'Overzicht pronostieken'!$E107)</f>
        <v>0</v>
      </c>
      <c r="AG107" s="168">
        <f>COUNTIF(Berekening!AE$75:AE$78,'Overzicht pronostieken'!$E107)</f>
        <v>0</v>
      </c>
      <c r="AH107" s="168">
        <f>COUNTIF(Berekening!AF$75:AF$78,'Overzicht pronostieken'!$E107)</f>
        <v>0</v>
      </c>
      <c r="AI107" s="168">
        <f>COUNTIF(Berekening!AG$75:AG$78,'Overzicht pronostieken'!$E107)</f>
        <v>0</v>
      </c>
      <c r="AJ107" s="168">
        <f>COUNTIF(Berekening!AH$75:AH$78,'Overzicht pronostieken'!$E107)</f>
        <v>0</v>
      </c>
      <c r="AK107" s="168">
        <f>COUNTIF(Berekening!AI$75:AI$78,'Overzicht pronostieken'!$E107)</f>
        <v>0</v>
      </c>
      <c r="AL107" s="168">
        <f>COUNTIF(Berekening!AJ$75:AJ$78,'Overzicht pronostieken'!$E107)</f>
        <v>0</v>
      </c>
      <c r="AM107" s="168">
        <f>COUNTIF(Berekening!AK$75:AK$78,'Overzicht pronostieken'!$E107)</f>
        <v>0</v>
      </c>
      <c r="AN107" s="168">
        <f>COUNTIF(Berekening!AL$75:AL$78,'Overzicht pronostieken'!$E107)</f>
        <v>0</v>
      </c>
      <c r="AO107" s="168">
        <f>COUNTIF(Berekening!AM$75:AM$78,'Overzicht pronostieken'!$E107)</f>
        <v>0</v>
      </c>
      <c r="AP107" s="168">
        <f>COUNTIF(Berekening!AN$75:AN$78,'Overzicht pronostieken'!$E107)</f>
        <v>0</v>
      </c>
      <c r="AQ107" s="168">
        <f>COUNTIF(Berekening!AO$75:AO$78,'Overzicht pronostieken'!$E107)</f>
        <v>0</v>
      </c>
      <c r="AR107" s="168">
        <f>COUNTIF(Berekening!AP$75:AP$78,'Overzicht pronostieken'!$E107)</f>
        <v>0</v>
      </c>
      <c r="AS107" s="168">
        <f>COUNTIF(Berekening!AQ$75:AQ$78,'Overzicht pronostieken'!$E107)</f>
        <v>0</v>
      </c>
      <c r="AT107" s="168">
        <f>COUNTIF(Berekening!AR$75:AR$78,'Overzicht pronostieken'!$E107)</f>
        <v>0</v>
      </c>
      <c r="AU107" s="168">
        <f>COUNTIF(Berekening!AS$75:AS$78,'Overzicht pronostieken'!$E107)</f>
        <v>0</v>
      </c>
      <c r="AV107" s="168">
        <f>COUNTIF(Berekening!AT$75:AT$78,'Overzicht pronostieken'!$E107)</f>
        <v>0</v>
      </c>
    </row>
    <row r="108" spans="5:48">
      <c r="E108" s="161" t="s">
        <v>2661</v>
      </c>
      <c r="F108" s="161">
        <f t="shared" si="5"/>
        <v>0</v>
      </c>
      <c r="G108" s="168">
        <f>COUNTIF(Berekening!E$75:E$78,'Overzicht pronostieken'!$E108)</f>
        <v>0</v>
      </c>
      <c r="H108" s="168">
        <f>COUNTIF(Berekening!F$75:F$78,'Overzicht pronostieken'!$E108)</f>
        <v>0</v>
      </c>
      <c r="I108" s="168">
        <f>COUNTIF(Berekening!G$75:G$78,'Overzicht pronostieken'!$E108)</f>
        <v>0</v>
      </c>
      <c r="J108" s="168">
        <f>COUNTIF(Berekening!H$75:H$78,'Overzicht pronostieken'!$E108)</f>
        <v>0</v>
      </c>
      <c r="K108" s="168">
        <f>COUNTIF(Berekening!I$75:I$78,'Overzicht pronostieken'!$E108)</f>
        <v>0</v>
      </c>
      <c r="L108" s="168">
        <f>COUNTIF(Berekening!J$75:J$78,'Overzicht pronostieken'!$E108)</f>
        <v>0</v>
      </c>
      <c r="M108" s="168">
        <f>COUNTIF(Berekening!K$75:K$78,'Overzicht pronostieken'!$E108)</f>
        <v>0</v>
      </c>
      <c r="N108" s="168">
        <f>COUNTIF(Berekening!L$75:L$78,'Overzicht pronostieken'!$E108)</f>
        <v>0</v>
      </c>
      <c r="O108" s="168">
        <f>COUNTIF(Berekening!M$75:M$78,'Overzicht pronostieken'!$E108)</f>
        <v>0</v>
      </c>
      <c r="P108" s="168">
        <f>COUNTIF(Berekening!N$75:N$78,'Overzicht pronostieken'!$E108)</f>
        <v>0</v>
      </c>
      <c r="Q108" s="168">
        <f>COUNTIF(Berekening!O$75:O$78,'Overzicht pronostieken'!$E108)</f>
        <v>0</v>
      </c>
      <c r="R108" s="168">
        <f>COUNTIF(Berekening!P$75:P$78,'Overzicht pronostieken'!$E108)</f>
        <v>0</v>
      </c>
      <c r="S108" s="168">
        <f>COUNTIF(Berekening!Q$75:Q$78,'Overzicht pronostieken'!$E108)</f>
        <v>0</v>
      </c>
      <c r="T108" s="168">
        <f>COUNTIF(Berekening!R$75:R$78,'Overzicht pronostieken'!$E108)</f>
        <v>0</v>
      </c>
      <c r="U108" s="168">
        <f>COUNTIF(Berekening!S$75:S$78,'Overzicht pronostieken'!$E108)</f>
        <v>0</v>
      </c>
      <c r="V108" s="168">
        <f>COUNTIF(Berekening!T$75:T$78,'Overzicht pronostieken'!$E108)</f>
        <v>0</v>
      </c>
      <c r="W108" s="168">
        <f>COUNTIF(Berekening!U$75:U$78,'Overzicht pronostieken'!$E108)</f>
        <v>0</v>
      </c>
      <c r="X108" s="168">
        <f>COUNTIF(Berekening!V$75:V$78,'Overzicht pronostieken'!$E108)</f>
        <v>0</v>
      </c>
      <c r="Y108" s="168">
        <f>COUNTIF(Berekening!W$75:W$78,'Overzicht pronostieken'!$E108)</f>
        <v>0</v>
      </c>
      <c r="Z108" s="168">
        <f>COUNTIF(Berekening!X$75:X$78,'Overzicht pronostieken'!$E108)</f>
        <v>0</v>
      </c>
      <c r="AA108" s="168">
        <f>COUNTIF(Berekening!Y$75:Y$78,'Overzicht pronostieken'!$E108)</f>
        <v>0</v>
      </c>
      <c r="AB108" s="168">
        <f>COUNTIF(Berekening!Z$75:Z$78,'Overzicht pronostieken'!$E108)</f>
        <v>0</v>
      </c>
      <c r="AC108" s="168">
        <f>COUNTIF(Berekening!AA$75:AA$78,'Overzicht pronostieken'!$E108)</f>
        <v>0</v>
      </c>
      <c r="AD108" s="168">
        <f>COUNTIF(Berekening!AB$75:AB$78,'Overzicht pronostieken'!$E108)</f>
        <v>0</v>
      </c>
      <c r="AE108" s="168">
        <f>COUNTIF(Berekening!AC$75:AC$78,'Overzicht pronostieken'!$E108)</f>
        <v>0</v>
      </c>
      <c r="AF108" s="168">
        <f>COUNTIF(Berekening!AD$75:AD$78,'Overzicht pronostieken'!$E108)</f>
        <v>0</v>
      </c>
      <c r="AG108" s="168">
        <f>COUNTIF(Berekening!AE$75:AE$78,'Overzicht pronostieken'!$E108)</f>
        <v>0</v>
      </c>
      <c r="AH108" s="168">
        <f>COUNTIF(Berekening!AF$75:AF$78,'Overzicht pronostieken'!$E108)</f>
        <v>0</v>
      </c>
      <c r="AI108" s="168">
        <f>COUNTIF(Berekening!AG$75:AG$78,'Overzicht pronostieken'!$E108)</f>
        <v>0</v>
      </c>
      <c r="AJ108" s="168">
        <f>COUNTIF(Berekening!AH$75:AH$78,'Overzicht pronostieken'!$E108)</f>
        <v>0</v>
      </c>
      <c r="AK108" s="168">
        <f>COUNTIF(Berekening!AI$75:AI$78,'Overzicht pronostieken'!$E108)</f>
        <v>0</v>
      </c>
      <c r="AL108" s="168">
        <f>COUNTIF(Berekening!AJ$75:AJ$78,'Overzicht pronostieken'!$E108)</f>
        <v>0</v>
      </c>
      <c r="AM108" s="168">
        <f>COUNTIF(Berekening!AK$75:AK$78,'Overzicht pronostieken'!$E108)</f>
        <v>0</v>
      </c>
      <c r="AN108" s="168">
        <f>COUNTIF(Berekening!AL$75:AL$78,'Overzicht pronostieken'!$E108)</f>
        <v>0</v>
      </c>
      <c r="AO108" s="168">
        <f>COUNTIF(Berekening!AM$75:AM$78,'Overzicht pronostieken'!$E108)</f>
        <v>0</v>
      </c>
      <c r="AP108" s="168">
        <f>COUNTIF(Berekening!AN$75:AN$78,'Overzicht pronostieken'!$E108)</f>
        <v>0</v>
      </c>
      <c r="AQ108" s="168">
        <f>COUNTIF(Berekening!AO$75:AO$78,'Overzicht pronostieken'!$E108)</f>
        <v>0</v>
      </c>
      <c r="AR108" s="168">
        <f>COUNTIF(Berekening!AP$75:AP$78,'Overzicht pronostieken'!$E108)</f>
        <v>0</v>
      </c>
      <c r="AS108" s="168">
        <f>COUNTIF(Berekening!AQ$75:AQ$78,'Overzicht pronostieken'!$E108)</f>
        <v>0</v>
      </c>
      <c r="AT108" s="168">
        <f>COUNTIF(Berekening!AR$75:AR$78,'Overzicht pronostieken'!$E108)</f>
        <v>0</v>
      </c>
      <c r="AU108" s="168">
        <f>COUNTIF(Berekening!AS$75:AS$78,'Overzicht pronostieken'!$E108)</f>
        <v>0</v>
      </c>
      <c r="AV108" s="168">
        <f>COUNTIF(Berekening!AT$75:AT$78,'Overzicht pronostieken'!$E108)</f>
        <v>0</v>
      </c>
    </row>
    <row r="109" spans="5:48">
      <c r="E109" s="161" t="s">
        <v>1789</v>
      </c>
      <c r="F109" s="161">
        <f t="shared" si="5"/>
        <v>13</v>
      </c>
      <c r="G109" s="168">
        <f>COUNTIF(Berekening!E$75:E$78,'Overzicht pronostieken'!$E109)</f>
        <v>1</v>
      </c>
      <c r="H109" s="168">
        <f>COUNTIF(Berekening!F$75:F$78,'Overzicht pronostieken'!$E109)</f>
        <v>1</v>
      </c>
      <c r="I109" s="168">
        <f>COUNTIF(Berekening!G$75:G$78,'Overzicht pronostieken'!$E109)</f>
        <v>0</v>
      </c>
      <c r="J109" s="168">
        <f>COUNTIF(Berekening!H$75:H$78,'Overzicht pronostieken'!$E109)</f>
        <v>1</v>
      </c>
      <c r="K109" s="168">
        <f>COUNTIF(Berekening!I$75:I$78,'Overzicht pronostieken'!$E109)</f>
        <v>1</v>
      </c>
      <c r="L109" s="168">
        <f>COUNTIF(Berekening!J$75:J$78,'Overzicht pronostieken'!$E109)</f>
        <v>1</v>
      </c>
      <c r="M109" s="168">
        <f>COUNTIF(Berekening!K$75:K$78,'Overzicht pronostieken'!$E109)</f>
        <v>1</v>
      </c>
      <c r="N109" s="168">
        <f>COUNTIF(Berekening!L$75:L$78,'Overzicht pronostieken'!$E109)</f>
        <v>1</v>
      </c>
      <c r="O109" s="168">
        <f>COUNTIF(Berekening!M$75:M$78,'Overzicht pronostieken'!$E109)</f>
        <v>1</v>
      </c>
      <c r="P109" s="168">
        <f>COUNTIF(Berekening!N$75:N$78,'Overzicht pronostieken'!$E109)</f>
        <v>1</v>
      </c>
      <c r="Q109" s="168">
        <f>COUNTIF(Berekening!O$75:O$78,'Overzicht pronostieken'!$E109)</f>
        <v>0</v>
      </c>
      <c r="R109" s="168">
        <f>COUNTIF(Berekening!P$75:P$78,'Overzicht pronostieken'!$E109)</f>
        <v>1</v>
      </c>
      <c r="S109" s="168">
        <f>COUNTIF(Berekening!Q$75:Q$78,'Overzicht pronostieken'!$E109)</f>
        <v>1</v>
      </c>
      <c r="T109" s="168">
        <f>COUNTIF(Berekening!R$75:R$78,'Overzicht pronostieken'!$E109)</f>
        <v>0</v>
      </c>
      <c r="U109" s="168">
        <f>COUNTIF(Berekening!S$75:S$78,'Overzicht pronostieken'!$E109)</f>
        <v>1</v>
      </c>
      <c r="V109" s="168">
        <f>COUNTIF(Berekening!T$75:T$78,'Overzicht pronostieken'!$E109)</f>
        <v>1</v>
      </c>
      <c r="W109" s="168">
        <f>COUNTIF(Berekening!U$75:U$78,'Overzicht pronostieken'!$E109)</f>
        <v>0</v>
      </c>
      <c r="X109" s="168">
        <f>COUNTIF(Berekening!V$75:V$78,'Overzicht pronostieken'!$E109)</f>
        <v>0</v>
      </c>
      <c r="Y109" s="168">
        <f>COUNTIF(Berekening!W$75:W$78,'Overzicht pronostieken'!$E109)</f>
        <v>0</v>
      </c>
      <c r="Z109" s="168">
        <f>COUNTIF(Berekening!X$75:X$78,'Overzicht pronostieken'!$E109)</f>
        <v>0</v>
      </c>
      <c r="AA109" s="168">
        <f>COUNTIF(Berekening!Y$75:Y$78,'Overzicht pronostieken'!$E109)</f>
        <v>0</v>
      </c>
      <c r="AB109" s="168">
        <f>COUNTIF(Berekening!Z$75:Z$78,'Overzicht pronostieken'!$E109)</f>
        <v>0</v>
      </c>
      <c r="AC109" s="168">
        <f>COUNTIF(Berekening!AA$75:AA$78,'Overzicht pronostieken'!$E109)</f>
        <v>0</v>
      </c>
      <c r="AD109" s="168">
        <f>COUNTIF(Berekening!AB$75:AB$78,'Overzicht pronostieken'!$E109)</f>
        <v>0</v>
      </c>
      <c r="AE109" s="168">
        <f>COUNTIF(Berekening!AC$75:AC$78,'Overzicht pronostieken'!$E109)</f>
        <v>0</v>
      </c>
      <c r="AF109" s="168">
        <f>COUNTIF(Berekening!AD$75:AD$78,'Overzicht pronostieken'!$E109)</f>
        <v>0</v>
      </c>
      <c r="AG109" s="168">
        <f>COUNTIF(Berekening!AE$75:AE$78,'Overzicht pronostieken'!$E109)</f>
        <v>0</v>
      </c>
      <c r="AH109" s="168">
        <f>COUNTIF(Berekening!AF$75:AF$78,'Overzicht pronostieken'!$E109)</f>
        <v>0</v>
      </c>
      <c r="AI109" s="168">
        <f>COUNTIF(Berekening!AG$75:AG$78,'Overzicht pronostieken'!$E109)</f>
        <v>0</v>
      </c>
      <c r="AJ109" s="168">
        <f>COUNTIF(Berekening!AH$75:AH$78,'Overzicht pronostieken'!$E109)</f>
        <v>0</v>
      </c>
      <c r="AK109" s="168">
        <f>COUNTIF(Berekening!AI$75:AI$78,'Overzicht pronostieken'!$E109)</f>
        <v>0</v>
      </c>
      <c r="AL109" s="168">
        <f>COUNTIF(Berekening!AJ$75:AJ$78,'Overzicht pronostieken'!$E109)</f>
        <v>0</v>
      </c>
      <c r="AM109" s="168">
        <f>COUNTIF(Berekening!AK$75:AK$78,'Overzicht pronostieken'!$E109)</f>
        <v>0</v>
      </c>
      <c r="AN109" s="168">
        <f>COUNTIF(Berekening!AL$75:AL$78,'Overzicht pronostieken'!$E109)</f>
        <v>0</v>
      </c>
      <c r="AO109" s="168">
        <f>COUNTIF(Berekening!AM$75:AM$78,'Overzicht pronostieken'!$E109)</f>
        <v>0</v>
      </c>
      <c r="AP109" s="168">
        <f>COUNTIF(Berekening!AN$75:AN$78,'Overzicht pronostieken'!$E109)</f>
        <v>0</v>
      </c>
      <c r="AQ109" s="168">
        <f>COUNTIF(Berekening!AO$75:AO$78,'Overzicht pronostieken'!$E109)</f>
        <v>0</v>
      </c>
      <c r="AR109" s="168">
        <f>COUNTIF(Berekening!AP$75:AP$78,'Overzicht pronostieken'!$E109)</f>
        <v>0</v>
      </c>
      <c r="AS109" s="168">
        <f>COUNTIF(Berekening!AQ$75:AQ$78,'Overzicht pronostieken'!$E109)</f>
        <v>0</v>
      </c>
      <c r="AT109" s="168">
        <f>COUNTIF(Berekening!AR$75:AR$78,'Overzicht pronostieken'!$E109)</f>
        <v>0</v>
      </c>
      <c r="AU109" s="168">
        <f>COUNTIF(Berekening!AS$75:AS$78,'Overzicht pronostieken'!$E109)</f>
        <v>0</v>
      </c>
      <c r="AV109" s="168">
        <f>COUNTIF(Berekening!AT$75:AT$78,'Overzicht pronostieken'!$E109)</f>
        <v>0</v>
      </c>
    </row>
    <row r="110" spans="5:48">
      <c r="E110" s="161" t="s">
        <v>1324</v>
      </c>
      <c r="F110" s="161">
        <f t="shared" si="5"/>
        <v>1</v>
      </c>
      <c r="G110" s="168">
        <f>COUNTIF(Berekening!E$75:E$78,'Overzicht pronostieken'!$E110)</f>
        <v>0</v>
      </c>
      <c r="H110" s="168">
        <f>COUNTIF(Berekening!F$75:F$78,'Overzicht pronostieken'!$E110)</f>
        <v>0</v>
      </c>
      <c r="I110" s="168">
        <f>COUNTIF(Berekening!G$75:G$78,'Overzicht pronostieken'!$E110)</f>
        <v>0</v>
      </c>
      <c r="J110" s="168">
        <f>COUNTIF(Berekening!H$75:H$78,'Overzicht pronostieken'!$E110)</f>
        <v>0</v>
      </c>
      <c r="K110" s="168">
        <f>COUNTIF(Berekening!I$75:I$78,'Overzicht pronostieken'!$E110)</f>
        <v>0</v>
      </c>
      <c r="L110" s="168">
        <f>COUNTIF(Berekening!J$75:J$78,'Overzicht pronostieken'!$E110)</f>
        <v>0</v>
      </c>
      <c r="M110" s="168">
        <f>COUNTIF(Berekening!K$75:K$78,'Overzicht pronostieken'!$E110)</f>
        <v>0</v>
      </c>
      <c r="N110" s="168">
        <f>COUNTIF(Berekening!L$75:L$78,'Overzicht pronostieken'!$E110)</f>
        <v>0</v>
      </c>
      <c r="O110" s="168">
        <f>COUNTIF(Berekening!M$75:M$78,'Overzicht pronostieken'!$E110)</f>
        <v>0</v>
      </c>
      <c r="P110" s="168">
        <f>COUNTIF(Berekening!N$75:N$78,'Overzicht pronostieken'!$E110)</f>
        <v>0</v>
      </c>
      <c r="Q110" s="168">
        <f>COUNTIF(Berekening!O$75:O$78,'Overzicht pronostieken'!$E110)</f>
        <v>0</v>
      </c>
      <c r="R110" s="168">
        <f>COUNTIF(Berekening!P$75:P$78,'Overzicht pronostieken'!$E110)</f>
        <v>0</v>
      </c>
      <c r="S110" s="168">
        <f>COUNTIF(Berekening!Q$75:Q$78,'Overzicht pronostieken'!$E110)</f>
        <v>0</v>
      </c>
      <c r="T110" s="168">
        <f>COUNTIF(Berekening!R$75:R$78,'Overzicht pronostieken'!$E110)</f>
        <v>0</v>
      </c>
      <c r="U110" s="168">
        <f>COUNTIF(Berekening!S$75:S$78,'Overzicht pronostieken'!$E110)</f>
        <v>1</v>
      </c>
      <c r="V110" s="168">
        <f>COUNTIF(Berekening!T$75:T$78,'Overzicht pronostieken'!$E110)</f>
        <v>0</v>
      </c>
      <c r="W110" s="168">
        <f>COUNTIF(Berekening!U$75:U$78,'Overzicht pronostieken'!$E110)</f>
        <v>0</v>
      </c>
      <c r="X110" s="168">
        <f>COUNTIF(Berekening!V$75:V$78,'Overzicht pronostieken'!$E110)</f>
        <v>0</v>
      </c>
      <c r="Y110" s="168">
        <f>COUNTIF(Berekening!W$75:W$78,'Overzicht pronostieken'!$E110)</f>
        <v>0</v>
      </c>
      <c r="Z110" s="168">
        <f>COUNTIF(Berekening!X$75:X$78,'Overzicht pronostieken'!$E110)</f>
        <v>0</v>
      </c>
      <c r="AA110" s="168">
        <f>COUNTIF(Berekening!Y$75:Y$78,'Overzicht pronostieken'!$E110)</f>
        <v>0</v>
      </c>
      <c r="AB110" s="168">
        <f>COUNTIF(Berekening!Z$75:Z$78,'Overzicht pronostieken'!$E110)</f>
        <v>0</v>
      </c>
      <c r="AC110" s="168">
        <f>COUNTIF(Berekening!AA$75:AA$78,'Overzicht pronostieken'!$E110)</f>
        <v>0</v>
      </c>
      <c r="AD110" s="168">
        <f>COUNTIF(Berekening!AB$75:AB$78,'Overzicht pronostieken'!$E110)</f>
        <v>0</v>
      </c>
      <c r="AE110" s="168">
        <f>COUNTIF(Berekening!AC$75:AC$78,'Overzicht pronostieken'!$E110)</f>
        <v>0</v>
      </c>
      <c r="AF110" s="168">
        <f>COUNTIF(Berekening!AD$75:AD$78,'Overzicht pronostieken'!$E110)</f>
        <v>0</v>
      </c>
      <c r="AG110" s="168">
        <f>COUNTIF(Berekening!AE$75:AE$78,'Overzicht pronostieken'!$E110)</f>
        <v>0</v>
      </c>
      <c r="AH110" s="168">
        <f>COUNTIF(Berekening!AF$75:AF$78,'Overzicht pronostieken'!$E110)</f>
        <v>0</v>
      </c>
      <c r="AI110" s="168">
        <f>COUNTIF(Berekening!AG$75:AG$78,'Overzicht pronostieken'!$E110)</f>
        <v>0</v>
      </c>
      <c r="AJ110" s="168">
        <f>COUNTIF(Berekening!AH$75:AH$78,'Overzicht pronostieken'!$E110)</f>
        <v>0</v>
      </c>
      <c r="AK110" s="168">
        <f>COUNTIF(Berekening!AI$75:AI$78,'Overzicht pronostieken'!$E110)</f>
        <v>0</v>
      </c>
      <c r="AL110" s="168">
        <f>COUNTIF(Berekening!AJ$75:AJ$78,'Overzicht pronostieken'!$E110)</f>
        <v>0</v>
      </c>
      <c r="AM110" s="168">
        <f>COUNTIF(Berekening!AK$75:AK$78,'Overzicht pronostieken'!$E110)</f>
        <v>0</v>
      </c>
      <c r="AN110" s="168">
        <f>COUNTIF(Berekening!AL$75:AL$78,'Overzicht pronostieken'!$E110)</f>
        <v>0</v>
      </c>
      <c r="AO110" s="168">
        <f>COUNTIF(Berekening!AM$75:AM$78,'Overzicht pronostieken'!$E110)</f>
        <v>0</v>
      </c>
      <c r="AP110" s="168">
        <f>COUNTIF(Berekening!AN$75:AN$78,'Overzicht pronostieken'!$E110)</f>
        <v>0</v>
      </c>
      <c r="AQ110" s="168">
        <f>COUNTIF(Berekening!AO$75:AO$78,'Overzicht pronostieken'!$E110)</f>
        <v>0</v>
      </c>
      <c r="AR110" s="168">
        <f>COUNTIF(Berekening!AP$75:AP$78,'Overzicht pronostieken'!$E110)</f>
        <v>0</v>
      </c>
      <c r="AS110" s="168">
        <f>COUNTIF(Berekening!AQ$75:AQ$78,'Overzicht pronostieken'!$E110)</f>
        <v>0</v>
      </c>
      <c r="AT110" s="168">
        <f>COUNTIF(Berekening!AR$75:AR$78,'Overzicht pronostieken'!$E110)</f>
        <v>0</v>
      </c>
      <c r="AU110" s="168">
        <f>COUNTIF(Berekening!AS$75:AS$78,'Overzicht pronostieken'!$E110)</f>
        <v>0</v>
      </c>
      <c r="AV110" s="168">
        <f>COUNTIF(Berekening!AT$75:AT$78,'Overzicht pronostieken'!$E110)</f>
        <v>0</v>
      </c>
    </row>
    <row r="111" spans="5:48">
      <c r="E111" s="161" t="s">
        <v>1822</v>
      </c>
      <c r="F111" s="161">
        <f t="shared" si="5"/>
        <v>0</v>
      </c>
      <c r="G111" s="168">
        <f>COUNTIF(Berekening!E$75:E$78,'Overzicht pronostieken'!$E111)</f>
        <v>0</v>
      </c>
      <c r="H111" s="168">
        <f>COUNTIF(Berekening!F$75:F$78,'Overzicht pronostieken'!$E111)</f>
        <v>0</v>
      </c>
      <c r="I111" s="168">
        <f>COUNTIF(Berekening!G$75:G$78,'Overzicht pronostieken'!$E111)</f>
        <v>0</v>
      </c>
      <c r="J111" s="168">
        <f>COUNTIF(Berekening!H$75:H$78,'Overzicht pronostieken'!$E111)</f>
        <v>0</v>
      </c>
      <c r="K111" s="168">
        <f>COUNTIF(Berekening!I$75:I$78,'Overzicht pronostieken'!$E111)</f>
        <v>0</v>
      </c>
      <c r="L111" s="168">
        <f>COUNTIF(Berekening!J$75:J$78,'Overzicht pronostieken'!$E111)</f>
        <v>0</v>
      </c>
      <c r="M111" s="168">
        <f>COUNTIF(Berekening!K$75:K$78,'Overzicht pronostieken'!$E111)</f>
        <v>0</v>
      </c>
      <c r="N111" s="168">
        <f>COUNTIF(Berekening!L$75:L$78,'Overzicht pronostieken'!$E111)</f>
        <v>0</v>
      </c>
      <c r="O111" s="168">
        <f>COUNTIF(Berekening!M$75:M$78,'Overzicht pronostieken'!$E111)</f>
        <v>0</v>
      </c>
      <c r="P111" s="168">
        <f>COUNTIF(Berekening!N$75:N$78,'Overzicht pronostieken'!$E111)</f>
        <v>0</v>
      </c>
      <c r="Q111" s="168">
        <f>COUNTIF(Berekening!O$75:O$78,'Overzicht pronostieken'!$E111)</f>
        <v>0</v>
      </c>
      <c r="R111" s="168">
        <f>COUNTIF(Berekening!P$75:P$78,'Overzicht pronostieken'!$E111)</f>
        <v>0</v>
      </c>
      <c r="S111" s="168">
        <f>COUNTIF(Berekening!Q$75:Q$78,'Overzicht pronostieken'!$E111)</f>
        <v>0</v>
      </c>
      <c r="T111" s="168">
        <f>COUNTIF(Berekening!R$75:R$78,'Overzicht pronostieken'!$E111)</f>
        <v>0</v>
      </c>
      <c r="U111" s="168">
        <f>COUNTIF(Berekening!S$75:S$78,'Overzicht pronostieken'!$E111)</f>
        <v>0</v>
      </c>
      <c r="V111" s="168">
        <f>COUNTIF(Berekening!T$75:T$78,'Overzicht pronostieken'!$E111)</f>
        <v>0</v>
      </c>
      <c r="W111" s="168">
        <f>COUNTIF(Berekening!U$75:U$78,'Overzicht pronostieken'!$E111)</f>
        <v>0</v>
      </c>
      <c r="X111" s="168">
        <f>COUNTIF(Berekening!V$75:V$78,'Overzicht pronostieken'!$E111)</f>
        <v>0</v>
      </c>
      <c r="Y111" s="168">
        <f>COUNTIF(Berekening!W$75:W$78,'Overzicht pronostieken'!$E111)</f>
        <v>0</v>
      </c>
      <c r="Z111" s="168">
        <f>COUNTIF(Berekening!X$75:X$78,'Overzicht pronostieken'!$E111)</f>
        <v>0</v>
      </c>
      <c r="AA111" s="168">
        <f>COUNTIF(Berekening!Y$75:Y$78,'Overzicht pronostieken'!$E111)</f>
        <v>0</v>
      </c>
      <c r="AB111" s="168">
        <f>COUNTIF(Berekening!Z$75:Z$78,'Overzicht pronostieken'!$E111)</f>
        <v>0</v>
      </c>
      <c r="AC111" s="168">
        <f>COUNTIF(Berekening!AA$75:AA$78,'Overzicht pronostieken'!$E111)</f>
        <v>0</v>
      </c>
      <c r="AD111" s="168">
        <f>COUNTIF(Berekening!AB$75:AB$78,'Overzicht pronostieken'!$E111)</f>
        <v>0</v>
      </c>
      <c r="AE111" s="168">
        <f>COUNTIF(Berekening!AC$75:AC$78,'Overzicht pronostieken'!$E111)</f>
        <v>0</v>
      </c>
      <c r="AF111" s="168">
        <f>COUNTIF(Berekening!AD$75:AD$78,'Overzicht pronostieken'!$E111)</f>
        <v>0</v>
      </c>
      <c r="AG111" s="168">
        <f>COUNTIF(Berekening!AE$75:AE$78,'Overzicht pronostieken'!$E111)</f>
        <v>0</v>
      </c>
      <c r="AH111" s="168">
        <f>COUNTIF(Berekening!AF$75:AF$78,'Overzicht pronostieken'!$E111)</f>
        <v>0</v>
      </c>
      <c r="AI111" s="168">
        <f>COUNTIF(Berekening!AG$75:AG$78,'Overzicht pronostieken'!$E111)</f>
        <v>0</v>
      </c>
      <c r="AJ111" s="168">
        <f>COUNTIF(Berekening!AH$75:AH$78,'Overzicht pronostieken'!$E111)</f>
        <v>0</v>
      </c>
      <c r="AK111" s="168">
        <f>COUNTIF(Berekening!AI$75:AI$78,'Overzicht pronostieken'!$E111)</f>
        <v>0</v>
      </c>
      <c r="AL111" s="168">
        <f>COUNTIF(Berekening!AJ$75:AJ$78,'Overzicht pronostieken'!$E111)</f>
        <v>0</v>
      </c>
      <c r="AM111" s="168">
        <f>COUNTIF(Berekening!AK$75:AK$78,'Overzicht pronostieken'!$E111)</f>
        <v>0</v>
      </c>
      <c r="AN111" s="168">
        <f>COUNTIF(Berekening!AL$75:AL$78,'Overzicht pronostieken'!$E111)</f>
        <v>0</v>
      </c>
      <c r="AO111" s="168">
        <f>COUNTIF(Berekening!AM$75:AM$78,'Overzicht pronostieken'!$E111)</f>
        <v>0</v>
      </c>
      <c r="AP111" s="168">
        <f>COUNTIF(Berekening!AN$75:AN$78,'Overzicht pronostieken'!$E111)</f>
        <v>0</v>
      </c>
      <c r="AQ111" s="168">
        <f>COUNTIF(Berekening!AO$75:AO$78,'Overzicht pronostieken'!$E111)</f>
        <v>0</v>
      </c>
      <c r="AR111" s="168">
        <f>COUNTIF(Berekening!AP$75:AP$78,'Overzicht pronostieken'!$E111)</f>
        <v>0</v>
      </c>
      <c r="AS111" s="168">
        <f>COUNTIF(Berekening!AQ$75:AQ$78,'Overzicht pronostieken'!$E111)</f>
        <v>0</v>
      </c>
      <c r="AT111" s="168">
        <f>COUNTIF(Berekening!AR$75:AR$78,'Overzicht pronostieken'!$E111)</f>
        <v>0</v>
      </c>
      <c r="AU111" s="168">
        <f>COUNTIF(Berekening!AS$75:AS$78,'Overzicht pronostieken'!$E111)</f>
        <v>0</v>
      </c>
      <c r="AV111" s="168">
        <f>COUNTIF(Berekening!AT$75:AT$78,'Overzicht pronostieken'!$E111)</f>
        <v>0</v>
      </c>
    </row>
    <row r="112" spans="5:48">
      <c r="E112" s="161" t="s">
        <v>1755</v>
      </c>
      <c r="F112" s="161">
        <f t="shared" si="5"/>
        <v>0</v>
      </c>
      <c r="G112" s="168">
        <f>COUNTIF(Berekening!E$75:E$78,'Overzicht pronostieken'!$E112)</f>
        <v>0</v>
      </c>
      <c r="H112" s="168">
        <f>COUNTIF(Berekening!F$75:F$78,'Overzicht pronostieken'!$E112)</f>
        <v>0</v>
      </c>
      <c r="I112" s="168">
        <f>COUNTIF(Berekening!G$75:G$78,'Overzicht pronostieken'!$E112)</f>
        <v>0</v>
      </c>
      <c r="J112" s="168">
        <f>COUNTIF(Berekening!H$75:H$78,'Overzicht pronostieken'!$E112)</f>
        <v>0</v>
      </c>
      <c r="K112" s="168">
        <f>COUNTIF(Berekening!I$75:I$78,'Overzicht pronostieken'!$E112)</f>
        <v>0</v>
      </c>
      <c r="L112" s="168">
        <f>COUNTIF(Berekening!J$75:J$78,'Overzicht pronostieken'!$E112)</f>
        <v>0</v>
      </c>
      <c r="M112" s="168">
        <f>COUNTIF(Berekening!K$75:K$78,'Overzicht pronostieken'!$E112)</f>
        <v>0</v>
      </c>
      <c r="N112" s="168">
        <f>COUNTIF(Berekening!L$75:L$78,'Overzicht pronostieken'!$E112)</f>
        <v>0</v>
      </c>
      <c r="O112" s="168">
        <f>COUNTIF(Berekening!M$75:M$78,'Overzicht pronostieken'!$E112)</f>
        <v>0</v>
      </c>
      <c r="P112" s="168">
        <f>COUNTIF(Berekening!N$75:N$78,'Overzicht pronostieken'!$E112)</f>
        <v>0</v>
      </c>
      <c r="Q112" s="168">
        <f>COUNTIF(Berekening!O$75:O$78,'Overzicht pronostieken'!$E112)</f>
        <v>0</v>
      </c>
      <c r="R112" s="168">
        <f>COUNTIF(Berekening!P$75:P$78,'Overzicht pronostieken'!$E112)</f>
        <v>0</v>
      </c>
      <c r="S112" s="168">
        <f>COUNTIF(Berekening!Q$75:Q$78,'Overzicht pronostieken'!$E112)</f>
        <v>0</v>
      </c>
      <c r="T112" s="168">
        <f>COUNTIF(Berekening!R$75:R$78,'Overzicht pronostieken'!$E112)</f>
        <v>0</v>
      </c>
      <c r="U112" s="168">
        <f>COUNTIF(Berekening!S$75:S$78,'Overzicht pronostieken'!$E112)</f>
        <v>0</v>
      </c>
      <c r="V112" s="168">
        <f>COUNTIF(Berekening!T$75:T$78,'Overzicht pronostieken'!$E112)</f>
        <v>0</v>
      </c>
      <c r="W112" s="168">
        <f>COUNTIF(Berekening!U$75:U$78,'Overzicht pronostieken'!$E112)</f>
        <v>0</v>
      </c>
      <c r="X112" s="168">
        <f>COUNTIF(Berekening!V$75:V$78,'Overzicht pronostieken'!$E112)</f>
        <v>0</v>
      </c>
      <c r="Y112" s="168">
        <f>COUNTIF(Berekening!W$75:W$78,'Overzicht pronostieken'!$E112)</f>
        <v>0</v>
      </c>
      <c r="Z112" s="168">
        <f>COUNTIF(Berekening!X$75:X$78,'Overzicht pronostieken'!$E112)</f>
        <v>0</v>
      </c>
      <c r="AA112" s="168">
        <f>COUNTIF(Berekening!Y$75:Y$78,'Overzicht pronostieken'!$E112)</f>
        <v>0</v>
      </c>
      <c r="AB112" s="168">
        <f>COUNTIF(Berekening!Z$75:Z$78,'Overzicht pronostieken'!$E112)</f>
        <v>0</v>
      </c>
      <c r="AC112" s="168">
        <f>COUNTIF(Berekening!AA$75:AA$78,'Overzicht pronostieken'!$E112)</f>
        <v>0</v>
      </c>
      <c r="AD112" s="168">
        <f>COUNTIF(Berekening!AB$75:AB$78,'Overzicht pronostieken'!$E112)</f>
        <v>0</v>
      </c>
      <c r="AE112" s="168">
        <f>COUNTIF(Berekening!AC$75:AC$78,'Overzicht pronostieken'!$E112)</f>
        <v>0</v>
      </c>
      <c r="AF112" s="168">
        <f>COUNTIF(Berekening!AD$75:AD$78,'Overzicht pronostieken'!$E112)</f>
        <v>0</v>
      </c>
      <c r="AG112" s="168">
        <f>COUNTIF(Berekening!AE$75:AE$78,'Overzicht pronostieken'!$E112)</f>
        <v>0</v>
      </c>
      <c r="AH112" s="168">
        <f>COUNTIF(Berekening!AF$75:AF$78,'Overzicht pronostieken'!$E112)</f>
        <v>0</v>
      </c>
      <c r="AI112" s="168">
        <f>COUNTIF(Berekening!AG$75:AG$78,'Overzicht pronostieken'!$E112)</f>
        <v>0</v>
      </c>
      <c r="AJ112" s="168">
        <f>COUNTIF(Berekening!AH$75:AH$78,'Overzicht pronostieken'!$E112)</f>
        <v>0</v>
      </c>
      <c r="AK112" s="168">
        <f>COUNTIF(Berekening!AI$75:AI$78,'Overzicht pronostieken'!$E112)</f>
        <v>0</v>
      </c>
      <c r="AL112" s="168">
        <f>COUNTIF(Berekening!AJ$75:AJ$78,'Overzicht pronostieken'!$E112)</f>
        <v>0</v>
      </c>
      <c r="AM112" s="168">
        <f>COUNTIF(Berekening!AK$75:AK$78,'Overzicht pronostieken'!$E112)</f>
        <v>0</v>
      </c>
      <c r="AN112" s="168">
        <f>COUNTIF(Berekening!AL$75:AL$78,'Overzicht pronostieken'!$E112)</f>
        <v>0</v>
      </c>
      <c r="AO112" s="168">
        <f>COUNTIF(Berekening!AM$75:AM$78,'Overzicht pronostieken'!$E112)</f>
        <v>0</v>
      </c>
      <c r="AP112" s="168">
        <f>COUNTIF(Berekening!AN$75:AN$78,'Overzicht pronostieken'!$E112)</f>
        <v>0</v>
      </c>
      <c r="AQ112" s="168">
        <f>COUNTIF(Berekening!AO$75:AO$78,'Overzicht pronostieken'!$E112)</f>
        <v>0</v>
      </c>
      <c r="AR112" s="168">
        <f>COUNTIF(Berekening!AP$75:AP$78,'Overzicht pronostieken'!$E112)</f>
        <v>0</v>
      </c>
      <c r="AS112" s="168">
        <f>COUNTIF(Berekening!AQ$75:AQ$78,'Overzicht pronostieken'!$E112)</f>
        <v>0</v>
      </c>
      <c r="AT112" s="168">
        <f>COUNTIF(Berekening!AR$75:AR$78,'Overzicht pronostieken'!$E112)</f>
        <v>0</v>
      </c>
      <c r="AU112" s="168">
        <f>COUNTIF(Berekening!AS$75:AS$78,'Overzicht pronostieken'!$E112)</f>
        <v>0</v>
      </c>
      <c r="AV112" s="168">
        <f>COUNTIF(Berekening!AT$75:AT$78,'Overzicht pronostieken'!$E112)</f>
        <v>0</v>
      </c>
    </row>
    <row r="113" spans="3:48">
      <c r="E113" s="161" t="s">
        <v>1889</v>
      </c>
      <c r="F113" s="161">
        <f t="shared" si="5"/>
        <v>3</v>
      </c>
      <c r="G113" s="168">
        <f>COUNTIF(Berekening!E$75:E$78,'Overzicht pronostieken'!$E113)</f>
        <v>0</v>
      </c>
      <c r="H113" s="168">
        <f>COUNTIF(Berekening!F$75:F$78,'Overzicht pronostieken'!$E113)</f>
        <v>0</v>
      </c>
      <c r="I113" s="168">
        <f>COUNTIF(Berekening!G$75:G$78,'Overzicht pronostieken'!$E113)</f>
        <v>1</v>
      </c>
      <c r="J113" s="168">
        <f>COUNTIF(Berekening!H$75:H$78,'Overzicht pronostieken'!$E113)</f>
        <v>0</v>
      </c>
      <c r="K113" s="168">
        <f>COUNTIF(Berekening!I$75:I$78,'Overzicht pronostieken'!$E113)</f>
        <v>0</v>
      </c>
      <c r="L113" s="168">
        <f>COUNTIF(Berekening!J$75:J$78,'Overzicht pronostieken'!$E113)</f>
        <v>0</v>
      </c>
      <c r="M113" s="168">
        <f>COUNTIF(Berekening!K$75:K$78,'Overzicht pronostieken'!$E113)</f>
        <v>0</v>
      </c>
      <c r="N113" s="168">
        <f>COUNTIF(Berekening!L$75:L$78,'Overzicht pronostieken'!$E113)</f>
        <v>0</v>
      </c>
      <c r="O113" s="168">
        <f>COUNTIF(Berekening!M$75:M$78,'Overzicht pronostieken'!$E113)</f>
        <v>0</v>
      </c>
      <c r="P113" s="168">
        <f>COUNTIF(Berekening!N$75:N$78,'Overzicht pronostieken'!$E113)</f>
        <v>0</v>
      </c>
      <c r="Q113" s="168">
        <f>COUNTIF(Berekening!O$75:O$78,'Overzicht pronostieken'!$E113)</f>
        <v>1</v>
      </c>
      <c r="R113" s="168">
        <f>COUNTIF(Berekening!P$75:P$78,'Overzicht pronostieken'!$E113)</f>
        <v>0</v>
      </c>
      <c r="S113" s="168">
        <f>COUNTIF(Berekening!Q$75:Q$78,'Overzicht pronostieken'!$E113)</f>
        <v>0</v>
      </c>
      <c r="T113" s="168">
        <f>COUNTIF(Berekening!R$75:R$78,'Overzicht pronostieken'!$E113)</f>
        <v>1</v>
      </c>
      <c r="U113" s="168">
        <f>COUNTIF(Berekening!S$75:S$78,'Overzicht pronostieken'!$E113)</f>
        <v>0</v>
      </c>
      <c r="V113" s="168">
        <f>COUNTIF(Berekening!T$75:T$78,'Overzicht pronostieken'!$E113)</f>
        <v>0</v>
      </c>
      <c r="W113" s="168">
        <f>COUNTIF(Berekening!U$75:U$78,'Overzicht pronostieken'!$E113)</f>
        <v>0</v>
      </c>
      <c r="X113" s="168">
        <f>COUNTIF(Berekening!V$75:V$78,'Overzicht pronostieken'!$E113)</f>
        <v>0</v>
      </c>
      <c r="Y113" s="168">
        <f>COUNTIF(Berekening!W$75:W$78,'Overzicht pronostieken'!$E113)</f>
        <v>0</v>
      </c>
      <c r="Z113" s="168">
        <f>COUNTIF(Berekening!X$75:X$78,'Overzicht pronostieken'!$E113)</f>
        <v>0</v>
      </c>
      <c r="AA113" s="168">
        <f>COUNTIF(Berekening!Y$75:Y$78,'Overzicht pronostieken'!$E113)</f>
        <v>0</v>
      </c>
      <c r="AB113" s="168">
        <f>COUNTIF(Berekening!Z$75:Z$78,'Overzicht pronostieken'!$E113)</f>
        <v>0</v>
      </c>
      <c r="AC113" s="168">
        <f>COUNTIF(Berekening!AA$75:AA$78,'Overzicht pronostieken'!$E113)</f>
        <v>0</v>
      </c>
      <c r="AD113" s="168">
        <f>COUNTIF(Berekening!AB$75:AB$78,'Overzicht pronostieken'!$E113)</f>
        <v>0</v>
      </c>
      <c r="AE113" s="168">
        <f>COUNTIF(Berekening!AC$75:AC$78,'Overzicht pronostieken'!$E113)</f>
        <v>0</v>
      </c>
      <c r="AF113" s="168">
        <f>COUNTIF(Berekening!AD$75:AD$78,'Overzicht pronostieken'!$E113)</f>
        <v>0</v>
      </c>
      <c r="AG113" s="168">
        <f>COUNTIF(Berekening!AE$75:AE$78,'Overzicht pronostieken'!$E113)</f>
        <v>0</v>
      </c>
      <c r="AH113" s="168">
        <f>COUNTIF(Berekening!AF$75:AF$78,'Overzicht pronostieken'!$E113)</f>
        <v>0</v>
      </c>
      <c r="AI113" s="168">
        <f>COUNTIF(Berekening!AG$75:AG$78,'Overzicht pronostieken'!$E113)</f>
        <v>0</v>
      </c>
      <c r="AJ113" s="168">
        <f>COUNTIF(Berekening!AH$75:AH$78,'Overzicht pronostieken'!$E113)</f>
        <v>0</v>
      </c>
      <c r="AK113" s="168">
        <f>COUNTIF(Berekening!AI$75:AI$78,'Overzicht pronostieken'!$E113)</f>
        <v>0</v>
      </c>
      <c r="AL113" s="168">
        <f>COUNTIF(Berekening!AJ$75:AJ$78,'Overzicht pronostieken'!$E113)</f>
        <v>0</v>
      </c>
      <c r="AM113" s="168">
        <f>COUNTIF(Berekening!AK$75:AK$78,'Overzicht pronostieken'!$E113)</f>
        <v>0</v>
      </c>
      <c r="AN113" s="168">
        <f>COUNTIF(Berekening!AL$75:AL$78,'Overzicht pronostieken'!$E113)</f>
        <v>0</v>
      </c>
      <c r="AO113" s="168">
        <f>COUNTIF(Berekening!AM$75:AM$78,'Overzicht pronostieken'!$E113)</f>
        <v>0</v>
      </c>
      <c r="AP113" s="168">
        <f>COUNTIF(Berekening!AN$75:AN$78,'Overzicht pronostieken'!$E113)</f>
        <v>0</v>
      </c>
      <c r="AQ113" s="168">
        <f>COUNTIF(Berekening!AO$75:AO$78,'Overzicht pronostieken'!$E113)</f>
        <v>0</v>
      </c>
      <c r="AR113" s="168">
        <f>COUNTIF(Berekening!AP$75:AP$78,'Overzicht pronostieken'!$E113)</f>
        <v>0</v>
      </c>
      <c r="AS113" s="168">
        <f>COUNTIF(Berekening!AQ$75:AQ$78,'Overzicht pronostieken'!$E113)</f>
        <v>0</v>
      </c>
      <c r="AT113" s="168">
        <f>COUNTIF(Berekening!AR$75:AR$78,'Overzicht pronostieken'!$E113)</f>
        <v>0</v>
      </c>
      <c r="AU113" s="168">
        <f>COUNTIF(Berekening!AS$75:AS$78,'Overzicht pronostieken'!$E113)</f>
        <v>0</v>
      </c>
      <c r="AV113" s="168">
        <f>COUNTIF(Berekening!AT$75:AT$78,'Overzicht pronostieken'!$E113)</f>
        <v>0</v>
      </c>
    </row>
    <row r="114" spans="3:48">
      <c r="E114" s="161" t="s">
        <v>1235</v>
      </c>
      <c r="F114" s="161">
        <f t="shared" si="5"/>
        <v>0</v>
      </c>
      <c r="G114" s="168">
        <f>COUNTIF(Berekening!E$75:E$78,'Overzicht pronostieken'!$E114)</f>
        <v>0</v>
      </c>
      <c r="H114" s="168">
        <f>COUNTIF(Berekening!F$75:F$78,'Overzicht pronostieken'!$E114)</f>
        <v>0</v>
      </c>
      <c r="I114" s="168">
        <f>COUNTIF(Berekening!G$75:G$78,'Overzicht pronostieken'!$E114)</f>
        <v>0</v>
      </c>
      <c r="J114" s="168">
        <f>COUNTIF(Berekening!H$75:H$78,'Overzicht pronostieken'!$E114)</f>
        <v>0</v>
      </c>
      <c r="K114" s="168">
        <f>COUNTIF(Berekening!I$75:I$78,'Overzicht pronostieken'!$E114)</f>
        <v>0</v>
      </c>
      <c r="L114" s="168">
        <f>COUNTIF(Berekening!J$75:J$78,'Overzicht pronostieken'!$E114)</f>
        <v>0</v>
      </c>
      <c r="M114" s="168">
        <f>COUNTIF(Berekening!K$75:K$78,'Overzicht pronostieken'!$E114)</f>
        <v>0</v>
      </c>
      <c r="N114" s="168">
        <f>COUNTIF(Berekening!L$75:L$78,'Overzicht pronostieken'!$E114)</f>
        <v>0</v>
      </c>
      <c r="O114" s="168">
        <f>COUNTIF(Berekening!M$75:M$78,'Overzicht pronostieken'!$E114)</f>
        <v>0</v>
      </c>
      <c r="P114" s="168">
        <f>COUNTIF(Berekening!N$75:N$78,'Overzicht pronostieken'!$E114)</f>
        <v>0</v>
      </c>
      <c r="Q114" s="168">
        <f>COUNTIF(Berekening!O$75:O$78,'Overzicht pronostieken'!$E114)</f>
        <v>0</v>
      </c>
      <c r="R114" s="168">
        <f>COUNTIF(Berekening!P$75:P$78,'Overzicht pronostieken'!$E114)</f>
        <v>0</v>
      </c>
      <c r="S114" s="168">
        <f>COUNTIF(Berekening!Q$75:Q$78,'Overzicht pronostieken'!$E114)</f>
        <v>0</v>
      </c>
      <c r="T114" s="168">
        <f>COUNTIF(Berekening!R$75:R$78,'Overzicht pronostieken'!$E114)</f>
        <v>0</v>
      </c>
      <c r="U114" s="168">
        <f>COUNTIF(Berekening!S$75:S$78,'Overzicht pronostieken'!$E114)</f>
        <v>0</v>
      </c>
      <c r="V114" s="168">
        <f>COUNTIF(Berekening!T$75:T$78,'Overzicht pronostieken'!$E114)</f>
        <v>0</v>
      </c>
      <c r="W114" s="168">
        <f>COUNTIF(Berekening!U$75:U$78,'Overzicht pronostieken'!$E114)</f>
        <v>0</v>
      </c>
      <c r="X114" s="168">
        <f>COUNTIF(Berekening!V$75:V$78,'Overzicht pronostieken'!$E114)</f>
        <v>0</v>
      </c>
      <c r="Y114" s="168">
        <f>COUNTIF(Berekening!W$75:W$78,'Overzicht pronostieken'!$E114)</f>
        <v>0</v>
      </c>
      <c r="Z114" s="168">
        <f>COUNTIF(Berekening!X$75:X$78,'Overzicht pronostieken'!$E114)</f>
        <v>0</v>
      </c>
      <c r="AA114" s="168">
        <f>COUNTIF(Berekening!Y$75:Y$78,'Overzicht pronostieken'!$E114)</f>
        <v>0</v>
      </c>
      <c r="AB114" s="168">
        <f>COUNTIF(Berekening!Z$75:Z$78,'Overzicht pronostieken'!$E114)</f>
        <v>0</v>
      </c>
      <c r="AC114" s="168">
        <f>COUNTIF(Berekening!AA$75:AA$78,'Overzicht pronostieken'!$E114)</f>
        <v>0</v>
      </c>
      <c r="AD114" s="168">
        <f>COUNTIF(Berekening!AB$75:AB$78,'Overzicht pronostieken'!$E114)</f>
        <v>0</v>
      </c>
      <c r="AE114" s="168">
        <f>COUNTIF(Berekening!AC$75:AC$78,'Overzicht pronostieken'!$E114)</f>
        <v>0</v>
      </c>
      <c r="AF114" s="168">
        <f>COUNTIF(Berekening!AD$75:AD$78,'Overzicht pronostieken'!$E114)</f>
        <v>0</v>
      </c>
      <c r="AG114" s="168">
        <f>COUNTIF(Berekening!AE$75:AE$78,'Overzicht pronostieken'!$E114)</f>
        <v>0</v>
      </c>
      <c r="AH114" s="168">
        <f>COUNTIF(Berekening!AF$75:AF$78,'Overzicht pronostieken'!$E114)</f>
        <v>0</v>
      </c>
      <c r="AI114" s="168">
        <f>COUNTIF(Berekening!AG$75:AG$78,'Overzicht pronostieken'!$E114)</f>
        <v>0</v>
      </c>
      <c r="AJ114" s="168">
        <f>COUNTIF(Berekening!AH$75:AH$78,'Overzicht pronostieken'!$E114)</f>
        <v>0</v>
      </c>
      <c r="AK114" s="168">
        <f>COUNTIF(Berekening!AI$75:AI$78,'Overzicht pronostieken'!$E114)</f>
        <v>0</v>
      </c>
      <c r="AL114" s="168">
        <f>COUNTIF(Berekening!AJ$75:AJ$78,'Overzicht pronostieken'!$E114)</f>
        <v>0</v>
      </c>
      <c r="AM114" s="168">
        <f>COUNTIF(Berekening!AK$75:AK$78,'Overzicht pronostieken'!$E114)</f>
        <v>0</v>
      </c>
      <c r="AN114" s="168">
        <f>COUNTIF(Berekening!AL$75:AL$78,'Overzicht pronostieken'!$E114)</f>
        <v>0</v>
      </c>
      <c r="AO114" s="168">
        <f>COUNTIF(Berekening!AM$75:AM$78,'Overzicht pronostieken'!$E114)</f>
        <v>0</v>
      </c>
      <c r="AP114" s="168">
        <f>COUNTIF(Berekening!AN$75:AN$78,'Overzicht pronostieken'!$E114)</f>
        <v>0</v>
      </c>
      <c r="AQ114" s="168">
        <f>COUNTIF(Berekening!AO$75:AO$78,'Overzicht pronostieken'!$E114)</f>
        <v>0</v>
      </c>
      <c r="AR114" s="168">
        <f>COUNTIF(Berekening!AP$75:AP$78,'Overzicht pronostieken'!$E114)</f>
        <v>0</v>
      </c>
      <c r="AS114" s="168">
        <f>COUNTIF(Berekening!AQ$75:AQ$78,'Overzicht pronostieken'!$E114)</f>
        <v>0</v>
      </c>
      <c r="AT114" s="168">
        <f>COUNTIF(Berekening!AR$75:AR$78,'Overzicht pronostieken'!$E114)</f>
        <v>0</v>
      </c>
      <c r="AU114" s="168">
        <f>COUNTIF(Berekening!AS$75:AS$78,'Overzicht pronostieken'!$E114)</f>
        <v>0</v>
      </c>
      <c r="AV114" s="168">
        <f>COUNTIF(Berekening!AT$75:AT$78,'Overzicht pronostieken'!$E114)</f>
        <v>0</v>
      </c>
    </row>
    <row r="115" spans="3:48">
      <c r="E115" s="161" t="s">
        <v>1043</v>
      </c>
      <c r="F115" s="161">
        <f t="shared" si="5"/>
        <v>0</v>
      </c>
      <c r="G115" s="168">
        <f>COUNTIF(Berekening!E$75:E$78,'Overzicht pronostieken'!$E115)</f>
        <v>0</v>
      </c>
      <c r="H115" s="168">
        <f>COUNTIF(Berekening!F$75:F$78,'Overzicht pronostieken'!$E115)</f>
        <v>0</v>
      </c>
      <c r="I115" s="168">
        <f>COUNTIF(Berekening!G$75:G$78,'Overzicht pronostieken'!$E115)</f>
        <v>0</v>
      </c>
      <c r="J115" s="168">
        <f>COUNTIF(Berekening!H$75:H$78,'Overzicht pronostieken'!$E115)</f>
        <v>0</v>
      </c>
      <c r="K115" s="168">
        <f>COUNTIF(Berekening!I$75:I$78,'Overzicht pronostieken'!$E115)</f>
        <v>0</v>
      </c>
      <c r="L115" s="168">
        <f>COUNTIF(Berekening!J$75:J$78,'Overzicht pronostieken'!$E115)</f>
        <v>0</v>
      </c>
      <c r="M115" s="168">
        <f>COUNTIF(Berekening!K$75:K$78,'Overzicht pronostieken'!$E115)</f>
        <v>0</v>
      </c>
      <c r="N115" s="168">
        <f>COUNTIF(Berekening!L$75:L$78,'Overzicht pronostieken'!$E115)</f>
        <v>0</v>
      </c>
      <c r="O115" s="168">
        <f>COUNTIF(Berekening!M$75:M$78,'Overzicht pronostieken'!$E115)</f>
        <v>0</v>
      </c>
      <c r="P115" s="168">
        <f>COUNTIF(Berekening!N$75:N$78,'Overzicht pronostieken'!$E115)</f>
        <v>0</v>
      </c>
      <c r="Q115" s="168">
        <f>COUNTIF(Berekening!O$75:O$78,'Overzicht pronostieken'!$E115)</f>
        <v>0</v>
      </c>
      <c r="R115" s="168">
        <f>COUNTIF(Berekening!P$75:P$78,'Overzicht pronostieken'!$E115)</f>
        <v>0</v>
      </c>
      <c r="S115" s="168">
        <f>COUNTIF(Berekening!Q$75:Q$78,'Overzicht pronostieken'!$E115)</f>
        <v>0</v>
      </c>
      <c r="T115" s="168">
        <f>COUNTIF(Berekening!R$75:R$78,'Overzicht pronostieken'!$E115)</f>
        <v>0</v>
      </c>
      <c r="U115" s="168">
        <f>COUNTIF(Berekening!S$75:S$78,'Overzicht pronostieken'!$E115)</f>
        <v>0</v>
      </c>
      <c r="V115" s="168">
        <f>COUNTIF(Berekening!T$75:T$78,'Overzicht pronostieken'!$E115)</f>
        <v>0</v>
      </c>
      <c r="W115" s="168">
        <f>COUNTIF(Berekening!U$75:U$78,'Overzicht pronostieken'!$E115)</f>
        <v>0</v>
      </c>
      <c r="X115" s="168">
        <f>COUNTIF(Berekening!V$75:V$78,'Overzicht pronostieken'!$E115)</f>
        <v>0</v>
      </c>
      <c r="Y115" s="168">
        <f>COUNTIF(Berekening!W$75:W$78,'Overzicht pronostieken'!$E115)</f>
        <v>0</v>
      </c>
      <c r="Z115" s="168">
        <f>COUNTIF(Berekening!X$75:X$78,'Overzicht pronostieken'!$E115)</f>
        <v>0</v>
      </c>
      <c r="AA115" s="168">
        <f>COUNTIF(Berekening!Y$75:Y$78,'Overzicht pronostieken'!$E115)</f>
        <v>0</v>
      </c>
      <c r="AB115" s="168">
        <f>COUNTIF(Berekening!Z$75:Z$78,'Overzicht pronostieken'!$E115)</f>
        <v>0</v>
      </c>
      <c r="AC115" s="168">
        <f>COUNTIF(Berekening!AA$75:AA$78,'Overzicht pronostieken'!$E115)</f>
        <v>0</v>
      </c>
      <c r="AD115" s="168">
        <f>COUNTIF(Berekening!AB$75:AB$78,'Overzicht pronostieken'!$E115)</f>
        <v>0</v>
      </c>
      <c r="AE115" s="168">
        <f>COUNTIF(Berekening!AC$75:AC$78,'Overzicht pronostieken'!$E115)</f>
        <v>0</v>
      </c>
      <c r="AF115" s="168">
        <f>COUNTIF(Berekening!AD$75:AD$78,'Overzicht pronostieken'!$E115)</f>
        <v>0</v>
      </c>
      <c r="AG115" s="168">
        <f>COUNTIF(Berekening!AE$75:AE$78,'Overzicht pronostieken'!$E115)</f>
        <v>0</v>
      </c>
      <c r="AH115" s="168">
        <f>COUNTIF(Berekening!AF$75:AF$78,'Overzicht pronostieken'!$E115)</f>
        <v>0</v>
      </c>
      <c r="AI115" s="168">
        <f>COUNTIF(Berekening!AG$75:AG$78,'Overzicht pronostieken'!$E115)</f>
        <v>0</v>
      </c>
      <c r="AJ115" s="168">
        <f>COUNTIF(Berekening!AH$75:AH$78,'Overzicht pronostieken'!$E115)</f>
        <v>0</v>
      </c>
      <c r="AK115" s="168">
        <f>COUNTIF(Berekening!AI$75:AI$78,'Overzicht pronostieken'!$E115)</f>
        <v>0</v>
      </c>
      <c r="AL115" s="168">
        <f>COUNTIF(Berekening!AJ$75:AJ$78,'Overzicht pronostieken'!$E115)</f>
        <v>0</v>
      </c>
      <c r="AM115" s="168">
        <f>COUNTIF(Berekening!AK$75:AK$78,'Overzicht pronostieken'!$E115)</f>
        <v>0</v>
      </c>
      <c r="AN115" s="168">
        <f>COUNTIF(Berekening!AL$75:AL$78,'Overzicht pronostieken'!$E115)</f>
        <v>0</v>
      </c>
      <c r="AO115" s="168">
        <f>COUNTIF(Berekening!AM$75:AM$78,'Overzicht pronostieken'!$E115)</f>
        <v>0</v>
      </c>
      <c r="AP115" s="168">
        <f>COUNTIF(Berekening!AN$75:AN$78,'Overzicht pronostieken'!$E115)</f>
        <v>0</v>
      </c>
      <c r="AQ115" s="168">
        <f>COUNTIF(Berekening!AO$75:AO$78,'Overzicht pronostieken'!$E115)</f>
        <v>0</v>
      </c>
      <c r="AR115" s="168">
        <f>COUNTIF(Berekening!AP$75:AP$78,'Overzicht pronostieken'!$E115)</f>
        <v>0</v>
      </c>
      <c r="AS115" s="168">
        <f>COUNTIF(Berekening!AQ$75:AQ$78,'Overzicht pronostieken'!$E115)</f>
        <v>0</v>
      </c>
      <c r="AT115" s="168">
        <f>COUNTIF(Berekening!AR$75:AR$78,'Overzicht pronostieken'!$E115)</f>
        <v>0</v>
      </c>
      <c r="AU115" s="168">
        <f>COUNTIF(Berekening!AS$75:AS$78,'Overzicht pronostieken'!$E115)</f>
        <v>0</v>
      </c>
      <c r="AV115" s="168">
        <f>COUNTIF(Berekening!AT$75:AT$78,'Overzicht pronostieken'!$E115)</f>
        <v>0</v>
      </c>
    </row>
    <row r="116" spans="3:48">
      <c r="E116" s="161" t="s">
        <v>1433</v>
      </c>
      <c r="F116" s="161">
        <f t="shared" si="5"/>
        <v>0</v>
      </c>
      <c r="G116" s="168">
        <f>COUNTIF(Berekening!E$75:E$78,'Overzicht pronostieken'!$E116)</f>
        <v>0</v>
      </c>
      <c r="H116" s="168">
        <f>COUNTIF(Berekening!F$75:F$78,'Overzicht pronostieken'!$E116)</f>
        <v>0</v>
      </c>
      <c r="I116" s="168">
        <f>COUNTIF(Berekening!G$75:G$78,'Overzicht pronostieken'!$E116)</f>
        <v>0</v>
      </c>
      <c r="J116" s="168">
        <f>COUNTIF(Berekening!H$75:H$78,'Overzicht pronostieken'!$E116)</f>
        <v>0</v>
      </c>
      <c r="K116" s="168">
        <f>COUNTIF(Berekening!I$75:I$78,'Overzicht pronostieken'!$E116)</f>
        <v>0</v>
      </c>
      <c r="L116" s="168">
        <f>COUNTIF(Berekening!J$75:J$78,'Overzicht pronostieken'!$E116)</f>
        <v>0</v>
      </c>
      <c r="M116" s="168">
        <f>COUNTIF(Berekening!K$75:K$78,'Overzicht pronostieken'!$E116)</f>
        <v>0</v>
      </c>
      <c r="N116" s="168">
        <f>COUNTIF(Berekening!L$75:L$78,'Overzicht pronostieken'!$E116)</f>
        <v>0</v>
      </c>
      <c r="O116" s="168">
        <f>COUNTIF(Berekening!M$75:M$78,'Overzicht pronostieken'!$E116)</f>
        <v>0</v>
      </c>
      <c r="P116" s="168">
        <f>COUNTIF(Berekening!N$75:N$78,'Overzicht pronostieken'!$E116)</f>
        <v>0</v>
      </c>
      <c r="Q116" s="168">
        <f>COUNTIF(Berekening!O$75:O$78,'Overzicht pronostieken'!$E116)</f>
        <v>0</v>
      </c>
      <c r="R116" s="168">
        <f>COUNTIF(Berekening!P$75:P$78,'Overzicht pronostieken'!$E116)</f>
        <v>0</v>
      </c>
      <c r="S116" s="168">
        <f>COUNTIF(Berekening!Q$75:Q$78,'Overzicht pronostieken'!$E116)</f>
        <v>0</v>
      </c>
      <c r="T116" s="168">
        <f>COUNTIF(Berekening!R$75:R$78,'Overzicht pronostieken'!$E116)</f>
        <v>0</v>
      </c>
      <c r="U116" s="168">
        <f>COUNTIF(Berekening!S$75:S$78,'Overzicht pronostieken'!$E116)</f>
        <v>0</v>
      </c>
      <c r="V116" s="168">
        <f>COUNTIF(Berekening!T$75:T$78,'Overzicht pronostieken'!$E116)</f>
        <v>0</v>
      </c>
      <c r="W116" s="168">
        <f>COUNTIF(Berekening!U$75:U$78,'Overzicht pronostieken'!$E116)</f>
        <v>0</v>
      </c>
      <c r="X116" s="168">
        <f>COUNTIF(Berekening!V$75:V$78,'Overzicht pronostieken'!$E116)</f>
        <v>0</v>
      </c>
      <c r="Y116" s="168">
        <f>COUNTIF(Berekening!W$75:W$78,'Overzicht pronostieken'!$E116)</f>
        <v>0</v>
      </c>
      <c r="Z116" s="168">
        <f>COUNTIF(Berekening!X$75:X$78,'Overzicht pronostieken'!$E116)</f>
        <v>0</v>
      </c>
      <c r="AA116" s="168">
        <f>COUNTIF(Berekening!Y$75:Y$78,'Overzicht pronostieken'!$E116)</f>
        <v>0</v>
      </c>
      <c r="AB116" s="168">
        <f>COUNTIF(Berekening!Z$75:Z$78,'Overzicht pronostieken'!$E116)</f>
        <v>0</v>
      </c>
      <c r="AC116" s="168">
        <f>COUNTIF(Berekening!AA$75:AA$78,'Overzicht pronostieken'!$E116)</f>
        <v>0</v>
      </c>
      <c r="AD116" s="168">
        <f>COUNTIF(Berekening!AB$75:AB$78,'Overzicht pronostieken'!$E116)</f>
        <v>0</v>
      </c>
      <c r="AE116" s="168">
        <f>COUNTIF(Berekening!AC$75:AC$78,'Overzicht pronostieken'!$E116)</f>
        <v>0</v>
      </c>
      <c r="AF116" s="168">
        <f>COUNTIF(Berekening!AD$75:AD$78,'Overzicht pronostieken'!$E116)</f>
        <v>0</v>
      </c>
      <c r="AG116" s="168">
        <f>COUNTIF(Berekening!AE$75:AE$78,'Overzicht pronostieken'!$E116)</f>
        <v>0</v>
      </c>
      <c r="AH116" s="168">
        <f>COUNTIF(Berekening!AF$75:AF$78,'Overzicht pronostieken'!$E116)</f>
        <v>0</v>
      </c>
      <c r="AI116" s="168">
        <f>COUNTIF(Berekening!AG$75:AG$78,'Overzicht pronostieken'!$E116)</f>
        <v>0</v>
      </c>
      <c r="AJ116" s="168">
        <f>COUNTIF(Berekening!AH$75:AH$78,'Overzicht pronostieken'!$E116)</f>
        <v>0</v>
      </c>
      <c r="AK116" s="168">
        <f>COUNTIF(Berekening!AI$75:AI$78,'Overzicht pronostieken'!$E116)</f>
        <v>0</v>
      </c>
      <c r="AL116" s="168">
        <f>COUNTIF(Berekening!AJ$75:AJ$78,'Overzicht pronostieken'!$E116)</f>
        <v>0</v>
      </c>
      <c r="AM116" s="168">
        <f>COUNTIF(Berekening!AK$75:AK$78,'Overzicht pronostieken'!$E116)</f>
        <v>0</v>
      </c>
      <c r="AN116" s="168">
        <f>COUNTIF(Berekening!AL$75:AL$78,'Overzicht pronostieken'!$E116)</f>
        <v>0</v>
      </c>
      <c r="AO116" s="168">
        <f>COUNTIF(Berekening!AM$75:AM$78,'Overzicht pronostieken'!$E116)</f>
        <v>0</v>
      </c>
      <c r="AP116" s="168">
        <f>COUNTIF(Berekening!AN$75:AN$78,'Overzicht pronostieken'!$E116)</f>
        <v>0</v>
      </c>
      <c r="AQ116" s="168">
        <f>COUNTIF(Berekening!AO$75:AO$78,'Overzicht pronostieken'!$E116)</f>
        <v>0</v>
      </c>
      <c r="AR116" s="168">
        <f>COUNTIF(Berekening!AP$75:AP$78,'Overzicht pronostieken'!$E116)</f>
        <v>0</v>
      </c>
      <c r="AS116" s="168">
        <f>COUNTIF(Berekening!AQ$75:AQ$78,'Overzicht pronostieken'!$E116)</f>
        <v>0</v>
      </c>
      <c r="AT116" s="168">
        <f>COUNTIF(Berekening!AR$75:AR$78,'Overzicht pronostieken'!$E116)</f>
        <v>0</v>
      </c>
      <c r="AU116" s="168">
        <f>COUNTIF(Berekening!AS$75:AS$78,'Overzicht pronostieken'!$E116)</f>
        <v>0</v>
      </c>
      <c r="AV116" s="168">
        <f>COUNTIF(Berekening!AT$75:AT$78,'Overzicht pronostieken'!$E116)</f>
        <v>0</v>
      </c>
    </row>
    <row r="117" spans="3:48">
      <c r="E117" s="161" t="s">
        <v>1132</v>
      </c>
      <c r="F117" s="161">
        <f t="shared" si="5"/>
        <v>15</v>
      </c>
      <c r="G117" s="168">
        <f>COUNTIF(Berekening!E$75:E$78,'Overzicht pronostieken'!$E117)</f>
        <v>1</v>
      </c>
      <c r="H117" s="168">
        <f>COUNTIF(Berekening!F$75:F$78,'Overzicht pronostieken'!$E117)</f>
        <v>1</v>
      </c>
      <c r="I117" s="168">
        <f>COUNTIF(Berekening!G$75:G$78,'Overzicht pronostieken'!$E117)</f>
        <v>1</v>
      </c>
      <c r="J117" s="168">
        <f>COUNTIF(Berekening!H$75:H$78,'Overzicht pronostieken'!$E117)</f>
        <v>1</v>
      </c>
      <c r="K117" s="168">
        <f>COUNTIF(Berekening!I$75:I$78,'Overzicht pronostieken'!$E117)</f>
        <v>1</v>
      </c>
      <c r="L117" s="168">
        <f>COUNTIF(Berekening!J$75:J$78,'Overzicht pronostieken'!$E117)</f>
        <v>1</v>
      </c>
      <c r="M117" s="168">
        <f>COUNTIF(Berekening!K$75:K$78,'Overzicht pronostieken'!$E117)</f>
        <v>1</v>
      </c>
      <c r="N117" s="168">
        <f>COUNTIF(Berekening!L$75:L$78,'Overzicht pronostieken'!$E117)</f>
        <v>1</v>
      </c>
      <c r="O117" s="168">
        <f>COUNTIF(Berekening!M$75:M$78,'Overzicht pronostieken'!$E117)</f>
        <v>1</v>
      </c>
      <c r="P117" s="168">
        <f>COUNTIF(Berekening!N$75:N$78,'Overzicht pronostieken'!$E117)</f>
        <v>1</v>
      </c>
      <c r="Q117" s="168">
        <f>COUNTIF(Berekening!O$75:O$78,'Overzicht pronostieken'!$E117)</f>
        <v>1</v>
      </c>
      <c r="R117" s="168">
        <f>COUNTIF(Berekening!P$75:P$78,'Overzicht pronostieken'!$E117)</f>
        <v>1</v>
      </c>
      <c r="S117" s="168">
        <f>COUNTIF(Berekening!Q$75:Q$78,'Overzicht pronostieken'!$E117)</f>
        <v>1</v>
      </c>
      <c r="T117" s="168">
        <f>COUNTIF(Berekening!R$75:R$78,'Overzicht pronostieken'!$E117)</f>
        <v>1</v>
      </c>
      <c r="U117" s="168">
        <f>COUNTIF(Berekening!S$75:S$78,'Overzicht pronostieken'!$E117)</f>
        <v>0</v>
      </c>
      <c r="V117" s="168">
        <f>COUNTIF(Berekening!T$75:T$78,'Overzicht pronostieken'!$E117)</f>
        <v>1</v>
      </c>
      <c r="W117" s="168">
        <f>COUNTIF(Berekening!U$75:U$78,'Overzicht pronostieken'!$E117)</f>
        <v>0</v>
      </c>
      <c r="X117" s="168">
        <f>COUNTIF(Berekening!V$75:V$78,'Overzicht pronostieken'!$E117)</f>
        <v>0</v>
      </c>
      <c r="Y117" s="168">
        <f>COUNTIF(Berekening!W$75:W$78,'Overzicht pronostieken'!$E117)</f>
        <v>0</v>
      </c>
      <c r="Z117" s="168">
        <f>COUNTIF(Berekening!X$75:X$78,'Overzicht pronostieken'!$E117)</f>
        <v>0</v>
      </c>
      <c r="AA117" s="168">
        <f>COUNTIF(Berekening!Y$75:Y$78,'Overzicht pronostieken'!$E117)</f>
        <v>0</v>
      </c>
      <c r="AB117" s="168">
        <f>COUNTIF(Berekening!Z$75:Z$78,'Overzicht pronostieken'!$E117)</f>
        <v>0</v>
      </c>
      <c r="AC117" s="168">
        <f>COUNTIF(Berekening!AA$75:AA$78,'Overzicht pronostieken'!$E117)</f>
        <v>0</v>
      </c>
      <c r="AD117" s="168">
        <f>COUNTIF(Berekening!AB$75:AB$78,'Overzicht pronostieken'!$E117)</f>
        <v>0</v>
      </c>
      <c r="AE117" s="168">
        <f>COUNTIF(Berekening!AC$75:AC$78,'Overzicht pronostieken'!$E117)</f>
        <v>0</v>
      </c>
      <c r="AF117" s="168">
        <f>COUNTIF(Berekening!AD$75:AD$78,'Overzicht pronostieken'!$E117)</f>
        <v>0</v>
      </c>
      <c r="AG117" s="168">
        <f>COUNTIF(Berekening!AE$75:AE$78,'Overzicht pronostieken'!$E117)</f>
        <v>0</v>
      </c>
      <c r="AH117" s="168">
        <f>COUNTIF(Berekening!AF$75:AF$78,'Overzicht pronostieken'!$E117)</f>
        <v>0</v>
      </c>
      <c r="AI117" s="168">
        <f>COUNTIF(Berekening!AG$75:AG$78,'Overzicht pronostieken'!$E117)</f>
        <v>0</v>
      </c>
      <c r="AJ117" s="168">
        <f>COUNTIF(Berekening!AH$75:AH$78,'Overzicht pronostieken'!$E117)</f>
        <v>0</v>
      </c>
      <c r="AK117" s="168">
        <f>COUNTIF(Berekening!AI$75:AI$78,'Overzicht pronostieken'!$E117)</f>
        <v>0</v>
      </c>
      <c r="AL117" s="168">
        <f>COUNTIF(Berekening!AJ$75:AJ$78,'Overzicht pronostieken'!$E117)</f>
        <v>0</v>
      </c>
      <c r="AM117" s="168">
        <f>COUNTIF(Berekening!AK$75:AK$78,'Overzicht pronostieken'!$E117)</f>
        <v>0</v>
      </c>
      <c r="AN117" s="168">
        <f>COUNTIF(Berekening!AL$75:AL$78,'Overzicht pronostieken'!$E117)</f>
        <v>0</v>
      </c>
      <c r="AO117" s="168">
        <f>COUNTIF(Berekening!AM$75:AM$78,'Overzicht pronostieken'!$E117)</f>
        <v>0</v>
      </c>
      <c r="AP117" s="168">
        <f>COUNTIF(Berekening!AN$75:AN$78,'Overzicht pronostieken'!$E117)</f>
        <v>0</v>
      </c>
      <c r="AQ117" s="168">
        <f>COUNTIF(Berekening!AO$75:AO$78,'Overzicht pronostieken'!$E117)</f>
        <v>0</v>
      </c>
      <c r="AR117" s="168">
        <f>COUNTIF(Berekening!AP$75:AP$78,'Overzicht pronostieken'!$E117)</f>
        <v>0</v>
      </c>
      <c r="AS117" s="168">
        <f>COUNTIF(Berekening!AQ$75:AQ$78,'Overzicht pronostieken'!$E117)</f>
        <v>0</v>
      </c>
      <c r="AT117" s="168">
        <f>COUNTIF(Berekening!AR$75:AR$78,'Overzicht pronostieken'!$E117)</f>
        <v>0</v>
      </c>
      <c r="AU117" s="168">
        <f>COUNTIF(Berekening!AS$75:AS$78,'Overzicht pronostieken'!$E117)</f>
        <v>0</v>
      </c>
      <c r="AV117" s="168">
        <f>COUNTIF(Berekening!AT$75:AT$78,'Overzicht pronostieken'!$E117)</f>
        <v>0</v>
      </c>
    </row>
    <row r="118" spans="3:48">
      <c r="E118" s="161" t="s">
        <v>2689</v>
      </c>
      <c r="F118" s="161">
        <f t="shared" si="5"/>
        <v>0</v>
      </c>
      <c r="G118" s="168">
        <f>COUNTIF(Berekening!E$75:E$78,'Overzicht pronostieken'!$E118)</f>
        <v>0</v>
      </c>
      <c r="H118" s="168">
        <f>COUNTIF(Berekening!F$75:F$78,'Overzicht pronostieken'!$E118)</f>
        <v>0</v>
      </c>
      <c r="I118" s="168">
        <f>COUNTIF(Berekening!G$75:G$78,'Overzicht pronostieken'!$E118)</f>
        <v>0</v>
      </c>
      <c r="J118" s="168">
        <f>COUNTIF(Berekening!H$75:H$78,'Overzicht pronostieken'!$E118)</f>
        <v>0</v>
      </c>
      <c r="K118" s="168">
        <f>COUNTIF(Berekening!I$75:I$78,'Overzicht pronostieken'!$E118)</f>
        <v>0</v>
      </c>
      <c r="L118" s="168">
        <f>COUNTIF(Berekening!J$75:J$78,'Overzicht pronostieken'!$E118)</f>
        <v>0</v>
      </c>
      <c r="M118" s="168">
        <f>COUNTIF(Berekening!K$75:K$78,'Overzicht pronostieken'!$E118)</f>
        <v>0</v>
      </c>
      <c r="N118" s="168">
        <f>COUNTIF(Berekening!L$75:L$78,'Overzicht pronostieken'!$E118)</f>
        <v>0</v>
      </c>
      <c r="O118" s="168">
        <f>COUNTIF(Berekening!M$75:M$78,'Overzicht pronostieken'!$E118)</f>
        <v>0</v>
      </c>
      <c r="P118" s="168">
        <f>COUNTIF(Berekening!N$75:N$78,'Overzicht pronostieken'!$E118)</f>
        <v>0</v>
      </c>
      <c r="Q118" s="168">
        <f>COUNTIF(Berekening!O$75:O$78,'Overzicht pronostieken'!$E118)</f>
        <v>0</v>
      </c>
      <c r="R118" s="168">
        <f>COUNTIF(Berekening!P$75:P$78,'Overzicht pronostieken'!$E118)</f>
        <v>0</v>
      </c>
      <c r="S118" s="168">
        <f>COUNTIF(Berekening!Q$75:Q$78,'Overzicht pronostieken'!$E118)</f>
        <v>0</v>
      </c>
      <c r="T118" s="168">
        <f>COUNTIF(Berekening!R$75:R$78,'Overzicht pronostieken'!$E118)</f>
        <v>0</v>
      </c>
      <c r="U118" s="168">
        <f>COUNTIF(Berekening!S$75:S$78,'Overzicht pronostieken'!$E118)</f>
        <v>0</v>
      </c>
      <c r="V118" s="168">
        <f>COUNTIF(Berekening!T$75:T$78,'Overzicht pronostieken'!$E118)</f>
        <v>0</v>
      </c>
      <c r="W118" s="168">
        <f>COUNTIF(Berekening!U$75:U$78,'Overzicht pronostieken'!$E118)</f>
        <v>0</v>
      </c>
      <c r="X118" s="168">
        <f>COUNTIF(Berekening!V$75:V$78,'Overzicht pronostieken'!$E118)</f>
        <v>0</v>
      </c>
      <c r="Y118" s="168">
        <f>COUNTIF(Berekening!W$75:W$78,'Overzicht pronostieken'!$E118)</f>
        <v>0</v>
      </c>
      <c r="Z118" s="168">
        <f>COUNTIF(Berekening!X$75:X$78,'Overzicht pronostieken'!$E118)</f>
        <v>0</v>
      </c>
      <c r="AA118" s="168">
        <f>COUNTIF(Berekening!Y$75:Y$78,'Overzicht pronostieken'!$E118)</f>
        <v>0</v>
      </c>
      <c r="AB118" s="168">
        <f>COUNTIF(Berekening!Z$75:Z$78,'Overzicht pronostieken'!$E118)</f>
        <v>0</v>
      </c>
      <c r="AC118" s="168">
        <f>COUNTIF(Berekening!AA$75:AA$78,'Overzicht pronostieken'!$E118)</f>
        <v>0</v>
      </c>
      <c r="AD118" s="168">
        <f>COUNTIF(Berekening!AB$75:AB$78,'Overzicht pronostieken'!$E118)</f>
        <v>0</v>
      </c>
      <c r="AE118" s="168">
        <f>COUNTIF(Berekening!AC$75:AC$78,'Overzicht pronostieken'!$E118)</f>
        <v>0</v>
      </c>
      <c r="AF118" s="168">
        <f>COUNTIF(Berekening!AD$75:AD$78,'Overzicht pronostieken'!$E118)</f>
        <v>0</v>
      </c>
      <c r="AG118" s="168">
        <f>COUNTIF(Berekening!AE$75:AE$78,'Overzicht pronostieken'!$E118)</f>
        <v>0</v>
      </c>
      <c r="AH118" s="168">
        <f>COUNTIF(Berekening!AF$75:AF$78,'Overzicht pronostieken'!$E118)</f>
        <v>0</v>
      </c>
      <c r="AI118" s="168">
        <f>COUNTIF(Berekening!AG$75:AG$78,'Overzicht pronostieken'!$E118)</f>
        <v>0</v>
      </c>
      <c r="AJ118" s="168">
        <f>COUNTIF(Berekening!AH$75:AH$78,'Overzicht pronostieken'!$E118)</f>
        <v>0</v>
      </c>
      <c r="AK118" s="168">
        <f>COUNTIF(Berekening!AI$75:AI$78,'Overzicht pronostieken'!$E118)</f>
        <v>0</v>
      </c>
      <c r="AL118" s="168">
        <f>COUNTIF(Berekening!AJ$75:AJ$78,'Overzicht pronostieken'!$E118)</f>
        <v>0</v>
      </c>
      <c r="AM118" s="168">
        <f>COUNTIF(Berekening!AK$75:AK$78,'Overzicht pronostieken'!$E118)</f>
        <v>0</v>
      </c>
      <c r="AN118" s="168">
        <f>COUNTIF(Berekening!AL$75:AL$78,'Overzicht pronostieken'!$E118)</f>
        <v>0</v>
      </c>
      <c r="AO118" s="168">
        <f>COUNTIF(Berekening!AM$75:AM$78,'Overzicht pronostieken'!$E118)</f>
        <v>0</v>
      </c>
      <c r="AP118" s="168">
        <f>COUNTIF(Berekening!AN$75:AN$78,'Overzicht pronostieken'!$E118)</f>
        <v>0</v>
      </c>
      <c r="AQ118" s="168">
        <f>COUNTIF(Berekening!AO$75:AO$78,'Overzicht pronostieken'!$E118)</f>
        <v>0</v>
      </c>
      <c r="AR118" s="168">
        <f>COUNTIF(Berekening!AP$75:AP$78,'Overzicht pronostieken'!$E118)</f>
        <v>0</v>
      </c>
      <c r="AS118" s="168">
        <f>COUNTIF(Berekening!AQ$75:AQ$78,'Overzicht pronostieken'!$E118)</f>
        <v>0</v>
      </c>
      <c r="AT118" s="168">
        <f>COUNTIF(Berekening!AR$75:AR$78,'Overzicht pronostieken'!$E118)</f>
        <v>0</v>
      </c>
      <c r="AU118" s="168">
        <f>COUNTIF(Berekening!AS$75:AS$78,'Overzicht pronostieken'!$E118)</f>
        <v>0</v>
      </c>
      <c r="AV118" s="168">
        <f>COUNTIF(Berekening!AT$75:AT$78,'Overzicht pronostieken'!$E118)</f>
        <v>0</v>
      </c>
    </row>
    <row r="119" spans="3:48">
      <c r="E119" s="161" t="s">
        <v>1647</v>
      </c>
      <c r="F119" s="161">
        <f t="shared" si="5"/>
        <v>0</v>
      </c>
      <c r="G119" s="168">
        <f>COUNTIF(Berekening!E$75:E$78,'Overzicht pronostieken'!$E119)</f>
        <v>0</v>
      </c>
      <c r="H119" s="168">
        <f>COUNTIF(Berekening!F$75:F$78,'Overzicht pronostieken'!$E119)</f>
        <v>0</v>
      </c>
      <c r="I119" s="168">
        <f>COUNTIF(Berekening!G$75:G$78,'Overzicht pronostieken'!$E119)</f>
        <v>0</v>
      </c>
      <c r="J119" s="168">
        <f>COUNTIF(Berekening!H$75:H$78,'Overzicht pronostieken'!$E119)</f>
        <v>0</v>
      </c>
      <c r="K119" s="168">
        <f>COUNTIF(Berekening!I$75:I$78,'Overzicht pronostieken'!$E119)</f>
        <v>0</v>
      </c>
      <c r="L119" s="168">
        <f>COUNTIF(Berekening!J$75:J$78,'Overzicht pronostieken'!$E119)</f>
        <v>0</v>
      </c>
      <c r="M119" s="168">
        <f>COUNTIF(Berekening!K$75:K$78,'Overzicht pronostieken'!$E119)</f>
        <v>0</v>
      </c>
      <c r="N119" s="168">
        <f>COUNTIF(Berekening!L$75:L$78,'Overzicht pronostieken'!$E119)</f>
        <v>0</v>
      </c>
      <c r="O119" s="168">
        <f>COUNTIF(Berekening!M$75:M$78,'Overzicht pronostieken'!$E119)</f>
        <v>0</v>
      </c>
      <c r="P119" s="168">
        <f>COUNTIF(Berekening!N$75:N$78,'Overzicht pronostieken'!$E119)</f>
        <v>0</v>
      </c>
      <c r="Q119" s="168">
        <f>COUNTIF(Berekening!O$75:O$78,'Overzicht pronostieken'!$E119)</f>
        <v>0</v>
      </c>
      <c r="R119" s="168">
        <f>COUNTIF(Berekening!P$75:P$78,'Overzicht pronostieken'!$E119)</f>
        <v>0</v>
      </c>
      <c r="S119" s="168">
        <f>COUNTIF(Berekening!Q$75:Q$78,'Overzicht pronostieken'!$E119)</f>
        <v>0</v>
      </c>
      <c r="T119" s="168">
        <f>COUNTIF(Berekening!R$75:R$78,'Overzicht pronostieken'!$E119)</f>
        <v>0</v>
      </c>
      <c r="U119" s="168">
        <f>COUNTIF(Berekening!S$75:S$78,'Overzicht pronostieken'!$E119)</f>
        <v>0</v>
      </c>
      <c r="V119" s="168">
        <f>COUNTIF(Berekening!T$75:T$78,'Overzicht pronostieken'!$E119)</f>
        <v>0</v>
      </c>
      <c r="W119" s="168">
        <f>COUNTIF(Berekening!U$75:U$78,'Overzicht pronostieken'!$E119)</f>
        <v>0</v>
      </c>
      <c r="X119" s="168">
        <f>COUNTIF(Berekening!V$75:V$78,'Overzicht pronostieken'!$E119)</f>
        <v>0</v>
      </c>
      <c r="Y119" s="168">
        <f>COUNTIF(Berekening!W$75:W$78,'Overzicht pronostieken'!$E119)</f>
        <v>0</v>
      </c>
      <c r="Z119" s="168">
        <f>COUNTIF(Berekening!X$75:X$78,'Overzicht pronostieken'!$E119)</f>
        <v>0</v>
      </c>
      <c r="AA119" s="168">
        <f>COUNTIF(Berekening!Y$75:Y$78,'Overzicht pronostieken'!$E119)</f>
        <v>0</v>
      </c>
      <c r="AB119" s="168">
        <f>COUNTIF(Berekening!Z$75:Z$78,'Overzicht pronostieken'!$E119)</f>
        <v>0</v>
      </c>
      <c r="AC119" s="168">
        <f>COUNTIF(Berekening!AA$75:AA$78,'Overzicht pronostieken'!$E119)</f>
        <v>0</v>
      </c>
      <c r="AD119" s="168">
        <f>COUNTIF(Berekening!AB$75:AB$78,'Overzicht pronostieken'!$E119)</f>
        <v>0</v>
      </c>
      <c r="AE119" s="168">
        <f>COUNTIF(Berekening!AC$75:AC$78,'Overzicht pronostieken'!$E119)</f>
        <v>0</v>
      </c>
      <c r="AF119" s="168">
        <f>COUNTIF(Berekening!AD$75:AD$78,'Overzicht pronostieken'!$E119)</f>
        <v>0</v>
      </c>
      <c r="AG119" s="168">
        <f>COUNTIF(Berekening!AE$75:AE$78,'Overzicht pronostieken'!$E119)</f>
        <v>0</v>
      </c>
      <c r="AH119" s="168">
        <f>COUNTIF(Berekening!AF$75:AF$78,'Overzicht pronostieken'!$E119)</f>
        <v>0</v>
      </c>
      <c r="AI119" s="168">
        <f>COUNTIF(Berekening!AG$75:AG$78,'Overzicht pronostieken'!$E119)</f>
        <v>0</v>
      </c>
      <c r="AJ119" s="168">
        <f>COUNTIF(Berekening!AH$75:AH$78,'Overzicht pronostieken'!$E119)</f>
        <v>0</v>
      </c>
      <c r="AK119" s="168">
        <f>COUNTIF(Berekening!AI$75:AI$78,'Overzicht pronostieken'!$E119)</f>
        <v>0</v>
      </c>
      <c r="AL119" s="168">
        <f>COUNTIF(Berekening!AJ$75:AJ$78,'Overzicht pronostieken'!$E119)</f>
        <v>0</v>
      </c>
      <c r="AM119" s="168">
        <f>COUNTIF(Berekening!AK$75:AK$78,'Overzicht pronostieken'!$E119)</f>
        <v>0</v>
      </c>
      <c r="AN119" s="168">
        <f>COUNTIF(Berekening!AL$75:AL$78,'Overzicht pronostieken'!$E119)</f>
        <v>0</v>
      </c>
      <c r="AO119" s="168">
        <f>COUNTIF(Berekening!AM$75:AM$78,'Overzicht pronostieken'!$E119)</f>
        <v>0</v>
      </c>
      <c r="AP119" s="168">
        <f>COUNTIF(Berekening!AN$75:AN$78,'Overzicht pronostieken'!$E119)</f>
        <v>0</v>
      </c>
      <c r="AQ119" s="168">
        <f>COUNTIF(Berekening!AO$75:AO$78,'Overzicht pronostieken'!$E119)</f>
        <v>0</v>
      </c>
      <c r="AR119" s="168">
        <f>COUNTIF(Berekening!AP$75:AP$78,'Overzicht pronostieken'!$E119)</f>
        <v>0</v>
      </c>
      <c r="AS119" s="168">
        <f>COUNTIF(Berekening!AQ$75:AQ$78,'Overzicht pronostieken'!$E119)</f>
        <v>0</v>
      </c>
      <c r="AT119" s="168">
        <f>COUNTIF(Berekening!AR$75:AR$78,'Overzicht pronostieken'!$E119)</f>
        <v>0</v>
      </c>
      <c r="AU119" s="168">
        <f>COUNTIF(Berekening!AS$75:AS$78,'Overzicht pronostieken'!$E119)</f>
        <v>0</v>
      </c>
      <c r="AV119" s="168">
        <f>COUNTIF(Berekening!AT$75:AT$78,'Overzicht pronostieken'!$E119)</f>
        <v>0</v>
      </c>
    </row>
    <row r="120" spans="3:48">
      <c r="E120" s="161" t="s">
        <v>1262</v>
      </c>
      <c r="F120" s="161">
        <f t="shared" si="5"/>
        <v>0</v>
      </c>
      <c r="G120" s="168">
        <f>COUNTIF(Berekening!E$75:E$78,'Overzicht pronostieken'!$E120)</f>
        <v>0</v>
      </c>
      <c r="H120" s="168">
        <f>COUNTIF(Berekening!F$75:F$78,'Overzicht pronostieken'!$E120)</f>
        <v>0</v>
      </c>
      <c r="I120" s="168">
        <f>COUNTIF(Berekening!G$75:G$78,'Overzicht pronostieken'!$E120)</f>
        <v>0</v>
      </c>
      <c r="J120" s="168">
        <f>COUNTIF(Berekening!H$75:H$78,'Overzicht pronostieken'!$E120)</f>
        <v>0</v>
      </c>
      <c r="K120" s="168">
        <f>COUNTIF(Berekening!I$75:I$78,'Overzicht pronostieken'!$E120)</f>
        <v>0</v>
      </c>
      <c r="L120" s="168">
        <f>COUNTIF(Berekening!J$75:J$78,'Overzicht pronostieken'!$E120)</f>
        <v>0</v>
      </c>
      <c r="M120" s="168">
        <f>COUNTIF(Berekening!K$75:K$78,'Overzicht pronostieken'!$E120)</f>
        <v>0</v>
      </c>
      <c r="N120" s="168">
        <f>COUNTIF(Berekening!L$75:L$78,'Overzicht pronostieken'!$E120)</f>
        <v>0</v>
      </c>
      <c r="O120" s="168">
        <f>COUNTIF(Berekening!M$75:M$78,'Overzicht pronostieken'!$E120)</f>
        <v>0</v>
      </c>
      <c r="P120" s="168">
        <f>COUNTIF(Berekening!N$75:N$78,'Overzicht pronostieken'!$E120)</f>
        <v>0</v>
      </c>
      <c r="Q120" s="168">
        <f>COUNTIF(Berekening!O$75:O$78,'Overzicht pronostieken'!$E120)</f>
        <v>0</v>
      </c>
      <c r="R120" s="168">
        <f>COUNTIF(Berekening!P$75:P$78,'Overzicht pronostieken'!$E120)</f>
        <v>0</v>
      </c>
      <c r="S120" s="168">
        <f>COUNTIF(Berekening!Q$75:Q$78,'Overzicht pronostieken'!$E120)</f>
        <v>0</v>
      </c>
      <c r="T120" s="168">
        <f>COUNTIF(Berekening!R$75:R$78,'Overzicht pronostieken'!$E120)</f>
        <v>0</v>
      </c>
      <c r="U120" s="168">
        <f>COUNTIF(Berekening!S$75:S$78,'Overzicht pronostieken'!$E120)</f>
        <v>0</v>
      </c>
      <c r="V120" s="168">
        <f>COUNTIF(Berekening!T$75:T$78,'Overzicht pronostieken'!$E120)</f>
        <v>0</v>
      </c>
      <c r="W120" s="168">
        <f>COUNTIF(Berekening!U$75:U$78,'Overzicht pronostieken'!$E120)</f>
        <v>0</v>
      </c>
      <c r="X120" s="168">
        <f>COUNTIF(Berekening!V$75:V$78,'Overzicht pronostieken'!$E120)</f>
        <v>0</v>
      </c>
      <c r="Y120" s="168">
        <f>COUNTIF(Berekening!W$75:W$78,'Overzicht pronostieken'!$E120)</f>
        <v>0</v>
      </c>
      <c r="Z120" s="168">
        <f>COUNTIF(Berekening!X$75:X$78,'Overzicht pronostieken'!$E120)</f>
        <v>0</v>
      </c>
      <c r="AA120" s="168">
        <f>COUNTIF(Berekening!Y$75:Y$78,'Overzicht pronostieken'!$E120)</f>
        <v>0</v>
      </c>
      <c r="AB120" s="168">
        <f>COUNTIF(Berekening!Z$75:Z$78,'Overzicht pronostieken'!$E120)</f>
        <v>0</v>
      </c>
      <c r="AC120" s="168">
        <f>COUNTIF(Berekening!AA$75:AA$78,'Overzicht pronostieken'!$E120)</f>
        <v>0</v>
      </c>
      <c r="AD120" s="168">
        <f>COUNTIF(Berekening!AB$75:AB$78,'Overzicht pronostieken'!$E120)</f>
        <v>0</v>
      </c>
      <c r="AE120" s="168">
        <f>COUNTIF(Berekening!AC$75:AC$78,'Overzicht pronostieken'!$E120)</f>
        <v>0</v>
      </c>
      <c r="AF120" s="168">
        <f>COUNTIF(Berekening!AD$75:AD$78,'Overzicht pronostieken'!$E120)</f>
        <v>0</v>
      </c>
      <c r="AG120" s="168">
        <f>COUNTIF(Berekening!AE$75:AE$78,'Overzicht pronostieken'!$E120)</f>
        <v>0</v>
      </c>
      <c r="AH120" s="168">
        <f>COUNTIF(Berekening!AF$75:AF$78,'Overzicht pronostieken'!$E120)</f>
        <v>0</v>
      </c>
      <c r="AI120" s="168">
        <f>COUNTIF(Berekening!AG$75:AG$78,'Overzicht pronostieken'!$E120)</f>
        <v>0</v>
      </c>
      <c r="AJ120" s="168">
        <f>COUNTIF(Berekening!AH$75:AH$78,'Overzicht pronostieken'!$E120)</f>
        <v>0</v>
      </c>
      <c r="AK120" s="168">
        <f>COUNTIF(Berekening!AI$75:AI$78,'Overzicht pronostieken'!$E120)</f>
        <v>0</v>
      </c>
      <c r="AL120" s="168">
        <f>COUNTIF(Berekening!AJ$75:AJ$78,'Overzicht pronostieken'!$E120)</f>
        <v>0</v>
      </c>
      <c r="AM120" s="168">
        <f>COUNTIF(Berekening!AK$75:AK$78,'Overzicht pronostieken'!$E120)</f>
        <v>0</v>
      </c>
      <c r="AN120" s="168">
        <f>COUNTIF(Berekening!AL$75:AL$78,'Overzicht pronostieken'!$E120)</f>
        <v>0</v>
      </c>
      <c r="AO120" s="168">
        <f>COUNTIF(Berekening!AM$75:AM$78,'Overzicht pronostieken'!$E120)</f>
        <v>0</v>
      </c>
      <c r="AP120" s="168">
        <f>COUNTIF(Berekening!AN$75:AN$78,'Overzicht pronostieken'!$E120)</f>
        <v>0</v>
      </c>
      <c r="AQ120" s="168">
        <f>COUNTIF(Berekening!AO$75:AO$78,'Overzicht pronostieken'!$E120)</f>
        <v>0</v>
      </c>
      <c r="AR120" s="168">
        <f>COUNTIF(Berekening!AP$75:AP$78,'Overzicht pronostieken'!$E120)</f>
        <v>0</v>
      </c>
      <c r="AS120" s="168">
        <f>COUNTIF(Berekening!AQ$75:AQ$78,'Overzicht pronostieken'!$E120)</f>
        <v>0</v>
      </c>
      <c r="AT120" s="168">
        <f>COUNTIF(Berekening!AR$75:AR$78,'Overzicht pronostieken'!$E120)</f>
        <v>0</v>
      </c>
      <c r="AU120" s="168">
        <f>COUNTIF(Berekening!AS$75:AS$78,'Overzicht pronostieken'!$E120)</f>
        <v>0</v>
      </c>
      <c r="AV120" s="168">
        <f>COUNTIF(Berekening!AT$75:AT$78,'Overzicht pronostieken'!$E120)</f>
        <v>0</v>
      </c>
    </row>
    <row r="124" spans="3:48" ht="32">
      <c r="C124" s="167" t="s">
        <v>245</v>
      </c>
      <c r="G124" s="162" t="str">
        <f>G2</f>
        <v>Sam</v>
      </c>
      <c r="H124" s="162" t="str">
        <f t="shared" ref="H124:AV124" si="6">H2</f>
        <v>Matthias</v>
      </c>
      <c r="I124" s="162" t="str">
        <f t="shared" si="6"/>
        <v>Billy</v>
      </c>
      <c r="J124" s="162" t="str">
        <f t="shared" si="6"/>
        <v>Timon</v>
      </c>
      <c r="K124" s="162" t="str">
        <f t="shared" si="6"/>
        <v>Bavo</v>
      </c>
      <c r="L124" s="162" t="str">
        <f t="shared" si="6"/>
        <v>Lowie</v>
      </c>
      <c r="M124" s="162" t="str">
        <f t="shared" si="6"/>
        <v>Stijn</v>
      </c>
      <c r="N124" s="162" t="str">
        <f t="shared" si="6"/>
        <v>Tom</v>
      </c>
      <c r="O124" s="162" t="str">
        <f t="shared" si="6"/>
        <v>Cas</v>
      </c>
      <c r="P124" s="162" t="str">
        <f t="shared" si="6"/>
        <v>Dean</v>
      </c>
      <c r="Q124" s="162" t="str">
        <f t="shared" si="6"/>
        <v>Jannes</v>
      </c>
      <c r="R124" s="162" t="str">
        <f t="shared" si="6"/>
        <v>Jens</v>
      </c>
      <c r="S124" s="162" t="str">
        <f t="shared" si="6"/>
        <v>Louis</v>
      </c>
      <c r="T124" s="162" t="str">
        <f t="shared" si="6"/>
        <v>Ruben</v>
      </c>
      <c r="U124" s="162" t="str">
        <f t="shared" si="6"/>
        <v>Karl</v>
      </c>
      <c r="V124" s="162" t="str">
        <f t="shared" si="6"/>
        <v>Seppe</v>
      </c>
      <c r="W124" s="162" t="str">
        <f t="shared" si="6"/>
        <v>deelnemer 17</v>
      </c>
      <c r="X124" s="162" t="str">
        <f t="shared" si="6"/>
        <v>deelnemer 18</v>
      </c>
      <c r="Y124" s="162" t="str">
        <f t="shared" si="6"/>
        <v>deelnemer 19</v>
      </c>
      <c r="Z124" s="162" t="str">
        <f t="shared" si="6"/>
        <v>deelnemer 20</v>
      </c>
      <c r="AA124" s="162" t="str">
        <f t="shared" si="6"/>
        <v>deelnemer 21</v>
      </c>
      <c r="AB124" s="162" t="str">
        <f t="shared" si="6"/>
        <v>deelnemer 22</v>
      </c>
      <c r="AC124" s="162" t="str">
        <f t="shared" si="6"/>
        <v>deelnemer 23</v>
      </c>
      <c r="AD124" s="162" t="str">
        <f t="shared" si="6"/>
        <v>deelnemer 24</v>
      </c>
      <c r="AE124" s="162" t="str">
        <f t="shared" si="6"/>
        <v>deelnemer 25</v>
      </c>
      <c r="AF124" s="162" t="str">
        <f t="shared" si="6"/>
        <v>deelnemer 26</v>
      </c>
      <c r="AG124" s="162" t="str">
        <f t="shared" si="6"/>
        <v>deelnemer 27</v>
      </c>
      <c r="AH124" s="162" t="str">
        <f t="shared" si="6"/>
        <v>deelnemer 28</v>
      </c>
      <c r="AI124" s="162" t="str">
        <f t="shared" si="6"/>
        <v>deelnemer 29</v>
      </c>
      <c r="AJ124" s="162" t="str">
        <f t="shared" si="6"/>
        <v>deelnemer 30</v>
      </c>
      <c r="AK124" s="162" t="str">
        <f t="shared" si="6"/>
        <v>deelnemer 31</v>
      </c>
      <c r="AL124" s="162" t="str">
        <f t="shared" si="6"/>
        <v>deelnemer 32</v>
      </c>
      <c r="AM124" s="162" t="str">
        <f t="shared" si="6"/>
        <v>deelnemer 33</v>
      </c>
      <c r="AN124" s="162" t="str">
        <f t="shared" si="6"/>
        <v>deelnemer 34</v>
      </c>
      <c r="AO124" s="162" t="str">
        <f t="shared" si="6"/>
        <v>deelnemer 35</v>
      </c>
      <c r="AP124" s="162" t="str">
        <f t="shared" si="6"/>
        <v>deelnemer 36</v>
      </c>
      <c r="AQ124" s="162" t="str">
        <f t="shared" si="6"/>
        <v>deelnemer 37</v>
      </c>
      <c r="AR124" s="162" t="str">
        <f t="shared" si="6"/>
        <v>deelnemer 38</v>
      </c>
      <c r="AS124" s="162" t="str">
        <f t="shared" si="6"/>
        <v>deelnemer 39</v>
      </c>
      <c r="AT124" s="162" t="str">
        <f t="shared" si="6"/>
        <v>deelnemer 40</v>
      </c>
      <c r="AU124" s="162" t="str">
        <f t="shared" si="6"/>
        <v>deelnemer 41</v>
      </c>
      <c r="AV124" s="162" t="str">
        <f t="shared" si="6"/>
        <v>deelnemer 42</v>
      </c>
    </row>
    <row r="125" spans="3:48">
      <c r="E125" s="161" t="s">
        <v>1608</v>
      </c>
      <c r="F125" s="161">
        <f>SUM(G125:AV125)</f>
        <v>0</v>
      </c>
      <c r="G125" s="168">
        <f>COUNTIF(Berekening!E$79:E$80,'Overzicht pronostieken'!$E125)</f>
        <v>0</v>
      </c>
      <c r="H125" s="168">
        <f>COUNTIF(Berekening!F$79:F$80,'Overzicht pronostieken'!$E125)</f>
        <v>0</v>
      </c>
      <c r="I125" s="168">
        <f>COUNTIF(Berekening!G$79:G$80,'Overzicht pronostieken'!$E125)</f>
        <v>0</v>
      </c>
      <c r="J125" s="168">
        <f>COUNTIF(Berekening!H$79:H$80,'Overzicht pronostieken'!$E125)</f>
        <v>0</v>
      </c>
      <c r="K125" s="168">
        <f>COUNTIF(Berekening!I$79:I$80,'Overzicht pronostieken'!$E125)</f>
        <v>0</v>
      </c>
      <c r="L125" s="168">
        <f>COUNTIF(Berekening!J$79:J$80,'Overzicht pronostieken'!$E125)</f>
        <v>0</v>
      </c>
      <c r="M125" s="168">
        <f>COUNTIF(Berekening!K$79:K$80,'Overzicht pronostieken'!$E125)</f>
        <v>0</v>
      </c>
      <c r="N125" s="168">
        <f>COUNTIF(Berekening!L$79:L$80,'Overzicht pronostieken'!$E125)</f>
        <v>0</v>
      </c>
      <c r="O125" s="168">
        <f>COUNTIF(Berekening!M$79:M$80,'Overzicht pronostieken'!$E125)</f>
        <v>0</v>
      </c>
      <c r="P125" s="168">
        <f>COUNTIF(Berekening!N$79:N$80,'Overzicht pronostieken'!$E125)</f>
        <v>0</v>
      </c>
      <c r="Q125" s="168">
        <f>COUNTIF(Berekening!O$79:O$80,'Overzicht pronostieken'!$E125)</f>
        <v>0</v>
      </c>
      <c r="R125" s="168">
        <f>COUNTIF(Berekening!P$79:P$80,'Overzicht pronostieken'!$E125)</f>
        <v>0</v>
      </c>
      <c r="S125" s="168">
        <f>COUNTIF(Berekening!Q$79:Q$80,'Overzicht pronostieken'!$E125)</f>
        <v>0</v>
      </c>
      <c r="T125" s="168">
        <f>COUNTIF(Berekening!R$79:R$80,'Overzicht pronostieken'!$E125)</f>
        <v>0</v>
      </c>
      <c r="U125" s="168">
        <f>COUNTIF(Berekening!S$79:S$80,'Overzicht pronostieken'!$E125)</f>
        <v>0</v>
      </c>
      <c r="V125" s="168">
        <f>COUNTIF(Berekening!T$79:T$80,'Overzicht pronostieken'!$E125)</f>
        <v>0</v>
      </c>
      <c r="W125" s="168">
        <f>COUNTIF(Berekening!U$79:U$80,'Overzicht pronostieken'!$E125)</f>
        <v>0</v>
      </c>
      <c r="X125" s="168">
        <f>COUNTIF(Berekening!V$79:V$80,'Overzicht pronostieken'!$E125)</f>
        <v>0</v>
      </c>
      <c r="Y125" s="168">
        <f>COUNTIF(Berekening!W$79:W$80,'Overzicht pronostieken'!$E125)</f>
        <v>0</v>
      </c>
      <c r="Z125" s="168">
        <f>COUNTIF(Berekening!X$79:X$80,'Overzicht pronostieken'!$E125)</f>
        <v>0</v>
      </c>
      <c r="AA125" s="168">
        <f>COUNTIF(Berekening!Y$79:Y$80,'Overzicht pronostieken'!$E125)</f>
        <v>0</v>
      </c>
      <c r="AB125" s="168">
        <f>COUNTIF(Berekening!Z$79:Z$80,'Overzicht pronostieken'!$E125)</f>
        <v>0</v>
      </c>
      <c r="AC125" s="168">
        <f>COUNTIF(Berekening!AA$79:AA$80,'Overzicht pronostieken'!$E125)</f>
        <v>0</v>
      </c>
      <c r="AD125" s="168">
        <f>COUNTIF(Berekening!AB$79:AB$80,'Overzicht pronostieken'!$E125)</f>
        <v>0</v>
      </c>
      <c r="AE125" s="168">
        <f>COUNTIF(Berekening!AC$79:AC$80,'Overzicht pronostieken'!$E125)</f>
        <v>0</v>
      </c>
      <c r="AF125" s="168">
        <f>COUNTIF(Berekening!AD$79:AD$80,'Overzicht pronostieken'!$E125)</f>
        <v>0</v>
      </c>
      <c r="AG125" s="168">
        <f>COUNTIF(Berekening!AE$79:AE$80,'Overzicht pronostieken'!$E125)</f>
        <v>0</v>
      </c>
      <c r="AH125" s="168">
        <f>COUNTIF(Berekening!AF$79:AF$80,'Overzicht pronostieken'!$E125)</f>
        <v>0</v>
      </c>
      <c r="AI125" s="168">
        <f>COUNTIF(Berekening!AG$79:AG$80,'Overzicht pronostieken'!$E125)</f>
        <v>0</v>
      </c>
      <c r="AJ125" s="168">
        <f>COUNTIF(Berekening!AH$79:AH$80,'Overzicht pronostieken'!$E125)</f>
        <v>0</v>
      </c>
      <c r="AK125" s="168">
        <f>COUNTIF(Berekening!AI$79:AI$80,'Overzicht pronostieken'!$E125)</f>
        <v>0</v>
      </c>
      <c r="AL125" s="168">
        <f>COUNTIF(Berekening!AJ$79:AJ$80,'Overzicht pronostieken'!$E125)</f>
        <v>0</v>
      </c>
      <c r="AM125" s="168">
        <f>COUNTIF(Berekening!AK$79:AK$80,'Overzicht pronostieken'!$E125)</f>
        <v>0</v>
      </c>
      <c r="AN125" s="168">
        <f>COUNTIF(Berekening!AL$79:AL$80,'Overzicht pronostieken'!$E125)</f>
        <v>0</v>
      </c>
      <c r="AO125" s="168">
        <f>COUNTIF(Berekening!AM$79:AM$80,'Overzicht pronostieken'!$E125)</f>
        <v>0</v>
      </c>
      <c r="AP125" s="168">
        <f>COUNTIF(Berekening!AN$79:AN$80,'Overzicht pronostieken'!$E125)</f>
        <v>0</v>
      </c>
      <c r="AQ125" s="168">
        <f>COUNTIF(Berekening!AO$79:AO$80,'Overzicht pronostieken'!$E125)</f>
        <v>0</v>
      </c>
      <c r="AR125" s="168">
        <f>COUNTIF(Berekening!AP$79:AP$80,'Overzicht pronostieken'!$E125)</f>
        <v>0</v>
      </c>
      <c r="AS125" s="168">
        <f>COUNTIF(Berekening!AQ$79:AQ$80,'Overzicht pronostieken'!$E125)</f>
        <v>0</v>
      </c>
      <c r="AT125" s="168">
        <f>COUNTIF(Berekening!AR$79:AR$80,'Overzicht pronostieken'!$E125)</f>
        <v>0</v>
      </c>
      <c r="AU125" s="168">
        <f>COUNTIF(Berekening!AS$79:AS$80,'Overzicht pronostieken'!$E125)</f>
        <v>0</v>
      </c>
      <c r="AV125" s="168">
        <f>COUNTIF(Berekening!AT$79:AT$80,'Overzicht pronostieken'!$E125)</f>
        <v>0</v>
      </c>
    </row>
    <row r="126" spans="3:48">
      <c r="E126" s="161" t="s">
        <v>1168</v>
      </c>
      <c r="F126" s="161">
        <f t="shared" ref="F126:F148" si="7">SUM(G126:AV126)</f>
        <v>0</v>
      </c>
      <c r="G126" s="168">
        <f>COUNTIF(Berekening!E$79:E$80,'Overzicht pronostieken'!$E126)</f>
        <v>0</v>
      </c>
      <c r="H126" s="168">
        <f>COUNTIF(Berekening!F$79:F$80,'Overzicht pronostieken'!$E126)</f>
        <v>0</v>
      </c>
      <c r="I126" s="168">
        <f>COUNTIF(Berekening!G$79:G$80,'Overzicht pronostieken'!$E126)</f>
        <v>0</v>
      </c>
      <c r="J126" s="168">
        <f>COUNTIF(Berekening!H$79:H$80,'Overzicht pronostieken'!$E126)</f>
        <v>0</v>
      </c>
      <c r="K126" s="168">
        <f>COUNTIF(Berekening!I$79:I$80,'Overzicht pronostieken'!$E126)</f>
        <v>0</v>
      </c>
      <c r="L126" s="168">
        <f>COUNTIF(Berekening!J$79:J$80,'Overzicht pronostieken'!$E126)</f>
        <v>0</v>
      </c>
      <c r="M126" s="168">
        <f>COUNTIF(Berekening!K$79:K$80,'Overzicht pronostieken'!$E126)</f>
        <v>0</v>
      </c>
      <c r="N126" s="168">
        <f>COUNTIF(Berekening!L$79:L$80,'Overzicht pronostieken'!$E126)</f>
        <v>0</v>
      </c>
      <c r="O126" s="168">
        <f>COUNTIF(Berekening!M$79:M$80,'Overzicht pronostieken'!$E126)</f>
        <v>0</v>
      </c>
      <c r="P126" s="168">
        <f>COUNTIF(Berekening!N$79:N$80,'Overzicht pronostieken'!$E126)</f>
        <v>0</v>
      </c>
      <c r="Q126" s="168">
        <f>COUNTIF(Berekening!O$79:O$80,'Overzicht pronostieken'!$E126)</f>
        <v>0</v>
      </c>
      <c r="R126" s="168">
        <f>COUNTIF(Berekening!P$79:P$80,'Overzicht pronostieken'!$E126)</f>
        <v>0</v>
      </c>
      <c r="S126" s="168">
        <f>COUNTIF(Berekening!Q$79:Q$80,'Overzicht pronostieken'!$E126)</f>
        <v>0</v>
      </c>
      <c r="T126" s="168">
        <f>COUNTIF(Berekening!R$79:R$80,'Overzicht pronostieken'!$E126)</f>
        <v>0</v>
      </c>
      <c r="U126" s="168">
        <f>COUNTIF(Berekening!S$79:S$80,'Overzicht pronostieken'!$E126)</f>
        <v>0</v>
      </c>
      <c r="V126" s="168">
        <f>COUNTIF(Berekening!T$79:T$80,'Overzicht pronostieken'!$E126)</f>
        <v>0</v>
      </c>
      <c r="W126" s="168">
        <f>COUNTIF(Berekening!U$79:U$80,'Overzicht pronostieken'!$E126)</f>
        <v>0</v>
      </c>
      <c r="X126" s="168">
        <f>COUNTIF(Berekening!V$79:V$80,'Overzicht pronostieken'!$E126)</f>
        <v>0</v>
      </c>
      <c r="Y126" s="168">
        <f>COUNTIF(Berekening!W$79:W$80,'Overzicht pronostieken'!$E126)</f>
        <v>0</v>
      </c>
      <c r="Z126" s="168">
        <f>COUNTIF(Berekening!X$79:X$80,'Overzicht pronostieken'!$E126)</f>
        <v>0</v>
      </c>
      <c r="AA126" s="168">
        <f>COUNTIF(Berekening!Y$79:Y$80,'Overzicht pronostieken'!$E126)</f>
        <v>0</v>
      </c>
      <c r="AB126" s="168">
        <f>COUNTIF(Berekening!Z$79:Z$80,'Overzicht pronostieken'!$E126)</f>
        <v>0</v>
      </c>
      <c r="AC126" s="168">
        <f>COUNTIF(Berekening!AA$79:AA$80,'Overzicht pronostieken'!$E126)</f>
        <v>0</v>
      </c>
      <c r="AD126" s="168">
        <f>COUNTIF(Berekening!AB$79:AB$80,'Overzicht pronostieken'!$E126)</f>
        <v>0</v>
      </c>
      <c r="AE126" s="168">
        <f>COUNTIF(Berekening!AC$79:AC$80,'Overzicht pronostieken'!$E126)</f>
        <v>0</v>
      </c>
      <c r="AF126" s="168">
        <f>COUNTIF(Berekening!AD$79:AD$80,'Overzicht pronostieken'!$E126)</f>
        <v>0</v>
      </c>
      <c r="AG126" s="168">
        <f>COUNTIF(Berekening!AE$79:AE$80,'Overzicht pronostieken'!$E126)</f>
        <v>0</v>
      </c>
      <c r="AH126" s="168">
        <f>COUNTIF(Berekening!AF$79:AF$80,'Overzicht pronostieken'!$E126)</f>
        <v>0</v>
      </c>
      <c r="AI126" s="168">
        <f>COUNTIF(Berekening!AG$79:AG$80,'Overzicht pronostieken'!$E126)</f>
        <v>0</v>
      </c>
      <c r="AJ126" s="168">
        <f>COUNTIF(Berekening!AH$79:AH$80,'Overzicht pronostieken'!$E126)</f>
        <v>0</v>
      </c>
      <c r="AK126" s="168">
        <f>COUNTIF(Berekening!AI$79:AI$80,'Overzicht pronostieken'!$E126)</f>
        <v>0</v>
      </c>
      <c r="AL126" s="168">
        <f>COUNTIF(Berekening!AJ$79:AJ$80,'Overzicht pronostieken'!$E126)</f>
        <v>0</v>
      </c>
      <c r="AM126" s="168">
        <f>COUNTIF(Berekening!AK$79:AK$80,'Overzicht pronostieken'!$E126)</f>
        <v>0</v>
      </c>
      <c r="AN126" s="168">
        <f>COUNTIF(Berekening!AL$79:AL$80,'Overzicht pronostieken'!$E126)</f>
        <v>0</v>
      </c>
      <c r="AO126" s="168">
        <f>COUNTIF(Berekening!AM$79:AM$80,'Overzicht pronostieken'!$E126)</f>
        <v>0</v>
      </c>
      <c r="AP126" s="168">
        <f>COUNTIF(Berekening!AN$79:AN$80,'Overzicht pronostieken'!$E126)</f>
        <v>0</v>
      </c>
      <c r="AQ126" s="168">
        <f>COUNTIF(Berekening!AO$79:AO$80,'Overzicht pronostieken'!$E126)</f>
        <v>0</v>
      </c>
      <c r="AR126" s="168">
        <f>COUNTIF(Berekening!AP$79:AP$80,'Overzicht pronostieken'!$E126)</f>
        <v>0</v>
      </c>
      <c r="AS126" s="168">
        <f>COUNTIF(Berekening!AQ$79:AQ$80,'Overzicht pronostieken'!$E126)</f>
        <v>0</v>
      </c>
      <c r="AT126" s="168">
        <f>COUNTIF(Berekening!AR$79:AR$80,'Overzicht pronostieken'!$E126)</f>
        <v>0</v>
      </c>
      <c r="AU126" s="168">
        <f>COUNTIF(Berekening!AS$79:AS$80,'Overzicht pronostieken'!$E126)</f>
        <v>0</v>
      </c>
      <c r="AV126" s="168">
        <f>COUNTIF(Berekening!AT$79:AT$80,'Overzicht pronostieken'!$E126)</f>
        <v>0</v>
      </c>
    </row>
    <row r="127" spans="3:48">
      <c r="E127" s="161" t="s">
        <v>1399</v>
      </c>
      <c r="F127" s="161">
        <f t="shared" si="7"/>
        <v>0</v>
      </c>
      <c r="G127" s="168">
        <f>COUNTIF(Berekening!E$79:E$80,'Overzicht pronostieken'!$E127)</f>
        <v>0</v>
      </c>
      <c r="H127" s="168">
        <f>COUNTIF(Berekening!F$79:F$80,'Overzicht pronostieken'!$E127)</f>
        <v>0</v>
      </c>
      <c r="I127" s="168">
        <f>COUNTIF(Berekening!G$79:G$80,'Overzicht pronostieken'!$E127)</f>
        <v>0</v>
      </c>
      <c r="J127" s="168">
        <f>COUNTIF(Berekening!H$79:H$80,'Overzicht pronostieken'!$E127)</f>
        <v>0</v>
      </c>
      <c r="K127" s="168">
        <f>COUNTIF(Berekening!I$79:I$80,'Overzicht pronostieken'!$E127)</f>
        <v>0</v>
      </c>
      <c r="L127" s="168">
        <f>COUNTIF(Berekening!J$79:J$80,'Overzicht pronostieken'!$E127)</f>
        <v>0</v>
      </c>
      <c r="M127" s="168">
        <f>COUNTIF(Berekening!K$79:K$80,'Overzicht pronostieken'!$E127)</f>
        <v>0</v>
      </c>
      <c r="N127" s="168">
        <f>COUNTIF(Berekening!L$79:L$80,'Overzicht pronostieken'!$E127)</f>
        <v>0</v>
      </c>
      <c r="O127" s="168">
        <f>COUNTIF(Berekening!M$79:M$80,'Overzicht pronostieken'!$E127)</f>
        <v>0</v>
      </c>
      <c r="P127" s="168">
        <f>COUNTIF(Berekening!N$79:N$80,'Overzicht pronostieken'!$E127)</f>
        <v>0</v>
      </c>
      <c r="Q127" s="168">
        <f>COUNTIF(Berekening!O$79:O$80,'Overzicht pronostieken'!$E127)</f>
        <v>0</v>
      </c>
      <c r="R127" s="168">
        <f>COUNTIF(Berekening!P$79:P$80,'Overzicht pronostieken'!$E127)</f>
        <v>0</v>
      </c>
      <c r="S127" s="168">
        <f>COUNTIF(Berekening!Q$79:Q$80,'Overzicht pronostieken'!$E127)</f>
        <v>0</v>
      </c>
      <c r="T127" s="168">
        <f>COUNTIF(Berekening!R$79:R$80,'Overzicht pronostieken'!$E127)</f>
        <v>0</v>
      </c>
      <c r="U127" s="168">
        <f>COUNTIF(Berekening!S$79:S$80,'Overzicht pronostieken'!$E127)</f>
        <v>0</v>
      </c>
      <c r="V127" s="168">
        <f>COUNTIF(Berekening!T$79:T$80,'Overzicht pronostieken'!$E127)</f>
        <v>0</v>
      </c>
      <c r="W127" s="168">
        <f>COUNTIF(Berekening!U$79:U$80,'Overzicht pronostieken'!$E127)</f>
        <v>0</v>
      </c>
      <c r="X127" s="168">
        <f>COUNTIF(Berekening!V$79:V$80,'Overzicht pronostieken'!$E127)</f>
        <v>0</v>
      </c>
      <c r="Y127" s="168">
        <f>COUNTIF(Berekening!W$79:W$80,'Overzicht pronostieken'!$E127)</f>
        <v>0</v>
      </c>
      <c r="Z127" s="168">
        <f>COUNTIF(Berekening!X$79:X$80,'Overzicht pronostieken'!$E127)</f>
        <v>0</v>
      </c>
      <c r="AA127" s="168">
        <f>COUNTIF(Berekening!Y$79:Y$80,'Overzicht pronostieken'!$E127)</f>
        <v>0</v>
      </c>
      <c r="AB127" s="168">
        <f>COUNTIF(Berekening!Z$79:Z$80,'Overzicht pronostieken'!$E127)</f>
        <v>0</v>
      </c>
      <c r="AC127" s="168">
        <f>COUNTIF(Berekening!AA$79:AA$80,'Overzicht pronostieken'!$E127)</f>
        <v>0</v>
      </c>
      <c r="AD127" s="168">
        <f>COUNTIF(Berekening!AB$79:AB$80,'Overzicht pronostieken'!$E127)</f>
        <v>0</v>
      </c>
      <c r="AE127" s="168">
        <f>COUNTIF(Berekening!AC$79:AC$80,'Overzicht pronostieken'!$E127)</f>
        <v>0</v>
      </c>
      <c r="AF127" s="168">
        <f>COUNTIF(Berekening!AD$79:AD$80,'Overzicht pronostieken'!$E127)</f>
        <v>0</v>
      </c>
      <c r="AG127" s="168">
        <f>COUNTIF(Berekening!AE$79:AE$80,'Overzicht pronostieken'!$E127)</f>
        <v>0</v>
      </c>
      <c r="AH127" s="168">
        <f>COUNTIF(Berekening!AF$79:AF$80,'Overzicht pronostieken'!$E127)</f>
        <v>0</v>
      </c>
      <c r="AI127" s="168">
        <f>COUNTIF(Berekening!AG$79:AG$80,'Overzicht pronostieken'!$E127)</f>
        <v>0</v>
      </c>
      <c r="AJ127" s="168">
        <f>COUNTIF(Berekening!AH$79:AH$80,'Overzicht pronostieken'!$E127)</f>
        <v>0</v>
      </c>
      <c r="AK127" s="168">
        <f>COUNTIF(Berekening!AI$79:AI$80,'Overzicht pronostieken'!$E127)</f>
        <v>0</v>
      </c>
      <c r="AL127" s="168">
        <f>COUNTIF(Berekening!AJ$79:AJ$80,'Overzicht pronostieken'!$E127)</f>
        <v>0</v>
      </c>
      <c r="AM127" s="168">
        <f>COUNTIF(Berekening!AK$79:AK$80,'Overzicht pronostieken'!$E127)</f>
        <v>0</v>
      </c>
      <c r="AN127" s="168">
        <f>COUNTIF(Berekening!AL$79:AL$80,'Overzicht pronostieken'!$E127)</f>
        <v>0</v>
      </c>
      <c r="AO127" s="168">
        <f>COUNTIF(Berekening!AM$79:AM$80,'Overzicht pronostieken'!$E127)</f>
        <v>0</v>
      </c>
      <c r="AP127" s="168">
        <f>COUNTIF(Berekening!AN$79:AN$80,'Overzicht pronostieken'!$E127)</f>
        <v>0</v>
      </c>
      <c r="AQ127" s="168">
        <f>COUNTIF(Berekening!AO$79:AO$80,'Overzicht pronostieken'!$E127)</f>
        <v>0</v>
      </c>
      <c r="AR127" s="168">
        <f>COUNTIF(Berekening!AP$79:AP$80,'Overzicht pronostieken'!$E127)</f>
        <v>0</v>
      </c>
      <c r="AS127" s="168">
        <f>COUNTIF(Berekening!AQ$79:AQ$80,'Overzicht pronostieken'!$E127)</f>
        <v>0</v>
      </c>
      <c r="AT127" s="168">
        <f>COUNTIF(Berekening!AR$79:AR$80,'Overzicht pronostieken'!$E127)</f>
        <v>0</v>
      </c>
      <c r="AU127" s="168">
        <f>COUNTIF(Berekening!AS$79:AS$80,'Overzicht pronostieken'!$E127)</f>
        <v>0</v>
      </c>
      <c r="AV127" s="168">
        <f>COUNTIF(Berekening!AT$79:AT$80,'Overzicht pronostieken'!$E127)</f>
        <v>0</v>
      </c>
    </row>
    <row r="128" spans="3:48">
      <c r="E128" s="161" t="s">
        <v>1468</v>
      </c>
      <c r="F128" s="161">
        <f t="shared" si="7"/>
        <v>5</v>
      </c>
      <c r="G128" s="168">
        <f>COUNTIF(Berekening!E$79:E$80,'Overzicht pronostieken'!$E128)</f>
        <v>0</v>
      </c>
      <c r="H128" s="168">
        <f>COUNTIF(Berekening!F$79:F$80,'Overzicht pronostieken'!$E128)</f>
        <v>0</v>
      </c>
      <c r="I128" s="168">
        <f>COUNTIF(Berekening!G$79:G$80,'Overzicht pronostieken'!$E128)</f>
        <v>0</v>
      </c>
      <c r="J128" s="168">
        <f>COUNTIF(Berekening!H$79:H$80,'Overzicht pronostieken'!$E128)</f>
        <v>1</v>
      </c>
      <c r="K128" s="168">
        <f>COUNTIF(Berekening!I$79:I$80,'Overzicht pronostieken'!$E128)</f>
        <v>1</v>
      </c>
      <c r="L128" s="168">
        <f>COUNTIF(Berekening!J$79:J$80,'Overzicht pronostieken'!$E128)</f>
        <v>0</v>
      </c>
      <c r="M128" s="168">
        <f>COUNTIF(Berekening!K$79:K$80,'Overzicht pronostieken'!$E128)</f>
        <v>0</v>
      </c>
      <c r="N128" s="168">
        <f>COUNTIF(Berekening!L$79:L$80,'Overzicht pronostieken'!$E128)</f>
        <v>0</v>
      </c>
      <c r="O128" s="168">
        <f>COUNTIF(Berekening!M$79:M$80,'Overzicht pronostieken'!$E128)</f>
        <v>0</v>
      </c>
      <c r="P128" s="168">
        <f>COUNTIF(Berekening!N$79:N$80,'Overzicht pronostieken'!$E128)</f>
        <v>0</v>
      </c>
      <c r="Q128" s="168">
        <f>COUNTIF(Berekening!O$79:O$80,'Overzicht pronostieken'!$E128)</f>
        <v>1</v>
      </c>
      <c r="R128" s="168">
        <f>COUNTIF(Berekening!P$79:P$80,'Overzicht pronostieken'!$E128)</f>
        <v>1</v>
      </c>
      <c r="S128" s="168">
        <f>COUNTIF(Berekening!Q$79:Q$80,'Overzicht pronostieken'!$E128)</f>
        <v>0</v>
      </c>
      <c r="T128" s="168">
        <f>COUNTIF(Berekening!R$79:R$80,'Overzicht pronostieken'!$E128)</f>
        <v>1</v>
      </c>
      <c r="U128" s="168">
        <f>COUNTIF(Berekening!S$79:S$80,'Overzicht pronostieken'!$E128)</f>
        <v>0</v>
      </c>
      <c r="V128" s="168">
        <f>COUNTIF(Berekening!T$79:T$80,'Overzicht pronostieken'!$E128)</f>
        <v>0</v>
      </c>
      <c r="W128" s="168">
        <f>COUNTIF(Berekening!U$79:U$80,'Overzicht pronostieken'!$E128)</f>
        <v>0</v>
      </c>
      <c r="X128" s="168">
        <f>COUNTIF(Berekening!V$79:V$80,'Overzicht pronostieken'!$E128)</f>
        <v>0</v>
      </c>
      <c r="Y128" s="168">
        <f>COUNTIF(Berekening!W$79:W$80,'Overzicht pronostieken'!$E128)</f>
        <v>0</v>
      </c>
      <c r="Z128" s="168">
        <f>COUNTIF(Berekening!X$79:X$80,'Overzicht pronostieken'!$E128)</f>
        <v>0</v>
      </c>
      <c r="AA128" s="168">
        <f>COUNTIF(Berekening!Y$79:Y$80,'Overzicht pronostieken'!$E128)</f>
        <v>0</v>
      </c>
      <c r="AB128" s="168">
        <f>COUNTIF(Berekening!Z$79:Z$80,'Overzicht pronostieken'!$E128)</f>
        <v>0</v>
      </c>
      <c r="AC128" s="168">
        <f>COUNTIF(Berekening!AA$79:AA$80,'Overzicht pronostieken'!$E128)</f>
        <v>0</v>
      </c>
      <c r="AD128" s="168">
        <f>COUNTIF(Berekening!AB$79:AB$80,'Overzicht pronostieken'!$E128)</f>
        <v>0</v>
      </c>
      <c r="AE128" s="168">
        <f>COUNTIF(Berekening!AC$79:AC$80,'Overzicht pronostieken'!$E128)</f>
        <v>0</v>
      </c>
      <c r="AF128" s="168">
        <f>COUNTIF(Berekening!AD$79:AD$80,'Overzicht pronostieken'!$E128)</f>
        <v>0</v>
      </c>
      <c r="AG128" s="168">
        <f>COUNTIF(Berekening!AE$79:AE$80,'Overzicht pronostieken'!$E128)</f>
        <v>0</v>
      </c>
      <c r="AH128" s="168">
        <f>COUNTIF(Berekening!AF$79:AF$80,'Overzicht pronostieken'!$E128)</f>
        <v>0</v>
      </c>
      <c r="AI128" s="168">
        <f>COUNTIF(Berekening!AG$79:AG$80,'Overzicht pronostieken'!$E128)</f>
        <v>0</v>
      </c>
      <c r="AJ128" s="168">
        <f>COUNTIF(Berekening!AH$79:AH$80,'Overzicht pronostieken'!$E128)</f>
        <v>0</v>
      </c>
      <c r="AK128" s="168">
        <f>COUNTIF(Berekening!AI$79:AI$80,'Overzicht pronostieken'!$E128)</f>
        <v>0</v>
      </c>
      <c r="AL128" s="168">
        <f>COUNTIF(Berekening!AJ$79:AJ$80,'Overzicht pronostieken'!$E128)</f>
        <v>0</v>
      </c>
      <c r="AM128" s="168">
        <f>COUNTIF(Berekening!AK$79:AK$80,'Overzicht pronostieken'!$E128)</f>
        <v>0</v>
      </c>
      <c r="AN128" s="168">
        <f>COUNTIF(Berekening!AL$79:AL$80,'Overzicht pronostieken'!$E128)</f>
        <v>0</v>
      </c>
      <c r="AO128" s="168">
        <f>COUNTIF(Berekening!AM$79:AM$80,'Overzicht pronostieken'!$E128)</f>
        <v>0</v>
      </c>
      <c r="AP128" s="168">
        <f>COUNTIF(Berekening!AN$79:AN$80,'Overzicht pronostieken'!$E128)</f>
        <v>0</v>
      </c>
      <c r="AQ128" s="168">
        <f>COUNTIF(Berekening!AO$79:AO$80,'Overzicht pronostieken'!$E128)</f>
        <v>0</v>
      </c>
      <c r="AR128" s="168">
        <f>COUNTIF(Berekening!AP$79:AP$80,'Overzicht pronostieken'!$E128)</f>
        <v>0</v>
      </c>
      <c r="AS128" s="168">
        <f>COUNTIF(Berekening!AQ$79:AQ$80,'Overzicht pronostieken'!$E128)</f>
        <v>0</v>
      </c>
      <c r="AT128" s="168">
        <f>COUNTIF(Berekening!AR$79:AR$80,'Overzicht pronostieken'!$E128)</f>
        <v>0</v>
      </c>
      <c r="AU128" s="168">
        <f>COUNTIF(Berekening!AS$79:AS$80,'Overzicht pronostieken'!$E128)</f>
        <v>0</v>
      </c>
      <c r="AV128" s="168">
        <f>COUNTIF(Berekening!AT$79:AT$80,'Overzicht pronostieken'!$E128)</f>
        <v>0</v>
      </c>
    </row>
    <row r="129" spans="5:48">
      <c r="E129" s="161" t="s">
        <v>1113</v>
      </c>
      <c r="F129" s="161">
        <f t="shared" si="7"/>
        <v>0</v>
      </c>
      <c r="G129" s="168">
        <f>COUNTIF(Berekening!E$79:E$80,'Overzicht pronostieken'!$E129)</f>
        <v>0</v>
      </c>
      <c r="H129" s="168">
        <f>COUNTIF(Berekening!F$79:F$80,'Overzicht pronostieken'!$E129)</f>
        <v>0</v>
      </c>
      <c r="I129" s="168">
        <f>COUNTIF(Berekening!G$79:G$80,'Overzicht pronostieken'!$E129)</f>
        <v>0</v>
      </c>
      <c r="J129" s="168">
        <f>COUNTIF(Berekening!H$79:H$80,'Overzicht pronostieken'!$E129)</f>
        <v>0</v>
      </c>
      <c r="K129" s="168">
        <f>COUNTIF(Berekening!I$79:I$80,'Overzicht pronostieken'!$E129)</f>
        <v>0</v>
      </c>
      <c r="L129" s="168">
        <f>COUNTIF(Berekening!J$79:J$80,'Overzicht pronostieken'!$E129)</f>
        <v>0</v>
      </c>
      <c r="M129" s="168">
        <f>COUNTIF(Berekening!K$79:K$80,'Overzicht pronostieken'!$E129)</f>
        <v>0</v>
      </c>
      <c r="N129" s="168">
        <f>COUNTIF(Berekening!L$79:L$80,'Overzicht pronostieken'!$E129)</f>
        <v>0</v>
      </c>
      <c r="O129" s="168">
        <f>COUNTIF(Berekening!M$79:M$80,'Overzicht pronostieken'!$E129)</f>
        <v>0</v>
      </c>
      <c r="P129" s="168">
        <f>COUNTIF(Berekening!N$79:N$80,'Overzicht pronostieken'!$E129)</f>
        <v>0</v>
      </c>
      <c r="Q129" s="168">
        <f>COUNTIF(Berekening!O$79:O$80,'Overzicht pronostieken'!$E129)</f>
        <v>0</v>
      </c>
      <c r="R129" s="168">
        <f>COUNTIF(Berekening!P$79:P$80,'Overzicht pronostieken'!$E129)</f>
        <v>0</v>
      </c>
      <c r="S129" s="168">
        <f>COUNTIF(Berekening!Q$79:Q$80,'Overzicht pronostieken'!$E129)</f>
        <v>0</v>
      </c>
      <c r="T129" s="168">
        <f>COUNTIF(Berekening!R$79:R$80,'Overzicht pronostieken'!$E129)</f>
        <v>0</v>
      </c>
      <c r="U129" s="168">
        <f>COUNTIF(Berekening!S$79:S$80,'Overzicht pronostieken'!$E129)</f>
        <v>0</v>
      </c>
      <c r="V129" s="168">
        <f>COUNTIF(Berekening!T$79:T$80,'Overzicht pronostieken'!$E129)</f>
        <v>0</v>
      </c>
      <c r="W129" s="168">
        <f>COUNTIF(Berekening!U$79:U$80,'Overzicht pronostieken'!$E129)</f>
        <v>0</v>
      </c>
      <c r="X129" s="168">
        <f>COUNTIF(Berekening!V$79:V$80,'Overzicht pronostieken'!$E129)</f>
        <v>0</v>
      </c>
      <c r="Y129" s="168">
        <f>COUNTIF(Berekening!W$79:W$80,'Overzicht pronostieken'!$E129)</f>
        <v>0</v>
      </c>
      <c r="Z129" s="168">
        <f>COUNTIF(Berekening!X$79:X$80,'Overzicht pronostieken'!$E129)</f>
        <v>0</v>
      </c>
      <c r="AA129" s="168">
        <f>COUNTIF(Berekening!Y$79:Y$80,'Overzicht pronostieken'!$E129)</f>
        <v>0</v>
      </c>
      <c r="AB129" s="168">
        <f>COUNTIF(Berekening!Z$79:Z$80,'Overzicht pronostieken'!$E129)</f>
        <v>0</v>
      </c>
      <c r="AC129" s="168">
        <f>COUNTIF(Berekening!AA$79:AA$80,'Overzicht pronostieken'!$E129)</f>
        <v>0</v>
      </c>
      <c r="AD129" s="168">
        <f>COUNTIF(Berekening!AB$79:AB$80,'Overzicht pronostieken'!$E129)</f>
        <v>0</v>
      </c>
      <c r="AE129" s="168">
        <f>COUNTIF(Berekening!AC$79:AC$80,'Overzicht pronostieken'!$E129)</f>
        <v>0</v>
      </c>
      <c r="AF129" s="168">
        <f>COUNTIF(Berekening!AD$79:AD$80,'Overzicht pronostieken'!$E129)</f>
        <v>0</v>
      </c>
      <c r="AG129" s="168">
        <f>COUNTIF(Berekening!AE$79:AE$80,'Overzicht pronostieken'!$E129)</f>
        <v>0</v>
      </c>
      <c r="AH129" s="168">
        <f>COUNTIF(Berekening!AF$79:AF$80,'Overzicht pronostieken'!$E129)</f>
        <v>0</v>
      </c>
      <c r="AI129" s="168">
        <f>COUNTIF(Berekening!AG$79:AG$80,'Overzicht pronostieken'!$E129)</f>
        <v>0</v>
      </c>
      <c r="AJ129" s="168">
        <f>COUNTIF(Berekening!AH$79:AH$80,'Overzicht pronostieken'!$E129)</f>
        <v>0</v>
      </c>
      <c r="AK129" s="168">
        <f>COUNTIF(Berekening!AI$79:AI$80,'Overzicht pronostieken'!$E129)</f>
        <v>0</v>
      </c>
      <c r="AL129" s="168">
        <f>COUNTIF(Berekening!AJ$79:AJ$80,'Overzicht pronostieken'!$E129)</f>
        <v>0</v>
      </c>
      <c r="AM129" s="168">
        <f>COUNTIF(Berekening!AK$79:AK$80,'Overzicht pronostieken'!$E129)</f>
        <v>0</v>
      </c>
      <c r="AN129" s="168">
        <f>COUNTIF(Berekening!AL$79:AL$80,'Overzicht pronostieken'!$E129)</f>
        <v>0</v>
      </c>
      <c r="AO129" s="168">
        <f>COUNTIF(Berekening!AM$79:AM$80,'Overzicht pronostieken'!$E129)</f>
        <v>0</v>
      </c>
      <c r="AP129" s="168">
        <f>COUNTIF(Berekening!AN$79:AN$80,'Overzicht pronostieken'!$E129)</f>
        <v>0</v>
      </c>
      <c r="AQ129" s="168">
        <f>COUNTIF(Berekening!AO$79:AO$80,'Overzicht pronostieken'!$E129)</f>
        <v>0</v>
      </c>
      <c r="AR129" s="168">
        <f>COUNTIF(Berekening!AP$79:AP$80,'Overzicht pronostieken'!$E129)</f>
        <v>0</v>
      </c>
      <c r="AS129" s="168">
        <f>COUNTIF(Berekening!AQ$79:AQ$80,'Overzicht pronostieken'!$E129)</f>
        <v>0</v>
      </c>
      <c r="AT129" s="168">
        <f>COUNTIF(Berekening!AR$79:AR$80,'Overzicht pronostieken'!$E129)</f>
        <v>0</v>
      </c>
      <c r="AU129" s="168">
        <f>COUNTIF(Berekening!AS$79:AS$80,'Overzicht pronostieken'!$E129)</f>
        <v>0</v>
      </c>
      <c r="AV129" s="168">
        <f>COUNTIF(Berekening!AT$79:AT$80,'Overzicht pronostieken'!$E129)</f>
        <v>0</v>
      </c>
    </row>
    <row r="130" spans="5:48">
      <c r="E130" s="161" t="s">
        <v>1077</v>
      </c>
      <c r="F130" s="161">
        <f t="shared" si="7"/>
        <v>3</v>
      </c>
      <c r="G130" s="168">
        <f>COUNTIF(Berekening!E$79:E$80,'Overzicht pronostieken'!$E130)</f>
        <v>0</v>
      </c>
      <c r="H130" s="168">
        <f>COUNTIF(Berekening!F$79:F$80,'Overzicht pronostieken'!$E130)</f>
        <v>0</v>
      </c>
      <c r="I130" s="168">
        <f>COUNTIF(Berekening!G$79:G$80,'Overzicht pronostieken'!$E130)</f>
        <v>1</v>
      </c>
      <c r="J130" s="168">
        <f>COUNTIF(Berekening!H$79:H$80,'Overzicht pronostieken'!$E130)</f>
        <v>0</v>
      </c>
      <c r="K130" s="168">
        <f>COUNTIF(Berekening!I$79:I$80,'Overzicht pronostieken'!$E130)</f>
        <v>0</v>
      </c>
      <c r="L130" s="168">
        <f>COUNTIF(Berekening!J$79:J$80,'Overzicht pronostieken'!$E130)</f>
        <v>0</v>
      </c>
      <c r="M130" s="168">
        <f>COUNTIF(Berekening!K$79:K$80,'Overzicht pronostieken'!$E130)</f>
        <v>0</v>
      </c>
      <c r="N130" s="168">
        <f>COUNTIF(Berekening!L$79:L$80,'Overzicht pronostieken'!$E130)</f>
        <v>0</v>
      </c>
      <c r="O130" s="168">
        <f>COUNTIF(Berekening!M$79:M$80,'Overzicht pronostieken'!$E130)</f>
        <v>1</v>
      </c>
      <c r="P130" s="168">
        <f>COUNTIF(Berekening!N$79:N$80,'Overzicht pronostieken'!$E130)</f>
        <v>0</v>
      </c>
      <c r="Q130" s="168">
        <f>COUNTIF(Berekening!O$79:O$80,'Overzicht pronostieken'!$E130)</f>
        <v>0</v>
      </c>
      <c r="R130" s="168">
        <f>COUNTIF(Berekening!P$79:P$80,'Overzicht pronostieken'!$E130)</f>
        <v>0</v>
      </c>
      <c r="S130" s="168">
        <f>COUNTIF(Berekening!Q$79:Q$80,'Overzicht pronostieken'!$E130)</f>
        <v>0</v>
      </c>
      <c r="T130" s="168">
        <f>COUNTIF(Berekening!R$79:R$80,'Overzicht pronostieken'!$E130)</f>
        <v>0</v>
      </c>
      <c r="U130" s="168">
        <f>COUNTIF(Berekening!S$79:S$80,'Overzicht pronostieken'!$E130)</f>
        <v>0</v>
      </c>
      <c r="V130" s="168">
        <f>COUNTIF(Berekening!T$79:T$80,'Overzicht pronostieken'!$E130)</f>
        <v>1</v>
      </c>
      <c r="W130" s="168">
        <f>COUNTIF(Berekening!U$79:U$80,'Overzicht pronostieken'!$E130)</f>
        <v>0</v>
      </c>
      <c r="X130" s="168">
        <f>COUNTIF(Berekening!V$79:V$80,'Overzicht pronostieken'!$E130)</f>
        <v>0</v>
      </c>
      <c r="Y130" s="168">
        <f>COUNTIF(Berekening!W$79:W$80,'Overzicht pronostieken'!$E130)</f>
        <v>0</v>
      </c>
      <c r="Z130" s="168">
        <f>COUNTIF(Berekening!X$79:X$80,'Overzicht pronostieken'!$E130)</f>
        <v>0</v>
      </c>
      <c r="AA130" s="168">
        <f>COUNTIF(Berekening!Y$79:Y$80,'Overzicht pronostieken'!$E130)</f>
        <v>0</v>
      </c>
      <c r="AB130" s="168">
        <f>COUNTIF(Berekening!Z$79:Z$80,'Overzicht pronostieken'!$E130)</f>
        <v>0</v>
      </c>
      <c r="AC130" s="168">
        <f>COUNTIF(Berekening!AA$79:AA$80,'Overzicht pronostieken'!$E130)</f>
        <v>0</v>
      </c>
      <c r="AD130" s="168">
        <f>COUNTIF(Berekening!AB$79:AB$80,'Overzicht pronostieken'!$E130)</f>
        <v>0</v>
      </c>
      <c r="AE130" s="168">
        <f>COUNTIF(Berekening!AC$79:AC$80,'Overzicht pronostieken'!$E130)</f>
        <v>0</v>
      </c>
      <c r="AF130" s="168">
        <f>COUNTIF(Berekening!AD$79:AD$80,'Overzicht pronostieken'!$E130)</f>
        <v>0</v>
      </c>
      <c r="AG130" s="168">
        <f>COUNTIF(Berekening!AE$79:AE$80,'Overzicht pronostieken'!$E130)</f>
        <v>0</v>
      </c>
      <c r="AH130" s="168">
        <f>COUNTIF(Berekening!AF$79:AF$80,'Overzicht pronostieken'!$E130)</f>
        <v>0</v>
      </c>
      <c r="AI130" s="168">
        <f>COUNTIF(Berekening!AG$79:AG$80,'Overzicht pronostieken'!$E130)</f>
        <v>0</v>
      </c>
      <c r="AJ130" s="168">
        <f>COUNTIF(Berekening!AH$79:AH$80,'Overzicht pronostieken'!$E130)</f>
        <v>0</v>
      </c>
      <c r="AK130" s="168">
        <f>COUNTIF(Berekening!AI$79:AI$80,'Overzicht pronostieken'!$E130)</f>
        <v>0</v>
      </c>
      <c r="AL130" s="168">
        <f>COUNTIF(Berekening!AJ$79:AJ$80,'Overzicht pronostieken'!$E130)</f>
        <v>0</v>
      </c>
      <c r="AM130" s="168">
        <f>COUNTIF(Berekening!AK$79:AK$80,'Overzicht pronostieken'!$E130)</f>
        <v>0</v>
      </c>
      <c r="AN130" s="168">
        <f>COUNTIF(Berekening!AL$79:AL$80,'Overzicht pronostieken'!$E130)</f>
        <v>0</v>
      </c>
      <c r="AO130" s="168">
        <f>COUNTIF(Berekening!AM$79:AM$80,'Overzicht pronostieken'!$E130)</f>
        <v>0</v>
      </c>
      <c r="AP130" s="168">
        <f>COUNTIF(Berekening!AN$79:AN$80,'Overzicht pronostieken'!$E130)</f>
        <v>0</v>
      </c>
      <c r="AQ130" s="168">
        <f>COUNTIF(Berekening!AO$79:AO$80,'Overzicht pronostieken'!$E130)</f>
        <v>0</v>
      </c>
      <c r="AR130" s="168">
        <f>COUNTIF(Berekening!AP$79:AP$80,'Overzicht pronostieken'!$E130)</f>
        <v>0</v>
      </c>
      <c r="AS130" s="168">
        <f>COUNTIF(Berekening!AQ$79:AQ$80,'Overzicht pronostieken'!$E130)</f>
        <v>0</v>
      </c>
      <c r="AT130" s="168">
        <f>COUNTIF(Berekening!AR$79:AR$80,'Overzicht pronostieken'!$E130)</f>
        <v>0</v>
      </c>
      <c r="AU130" s="168">
        <f>COUNTIF(Berekening!AS$79:AS$80,'Overzicht pronostieken'!$E130)</f>
        <v>0</v>
      </c>
      <c r="AV130" s="168">
        <f>COUNTIF(Berekening!AT$79:AT$80,'Overzicht pronostieken'!$E130)</f>
        <v>0</v>
      </c>
    </row>
    <row r="131" spans="5:48">
      <c r="E131" s="161" t="s">
        <v>1016</v>
      </c>
      <c r="F131" s="161">
        <f t="shared" si="7"/>
        <v>0</v>
      </c>
      <c r="G131" s="168">
        <f>COUNTIF(Berekening!E$79:E$80,'Overzicht pronostieken'!$E131)</f>
        <v>0</v>
      </c>
      <c r="H131" s="168">
        <f>COUNTIF(Berekening!F$79:F$80,'Overzicht pronostieken'!$E131)</f>
        <v>0</v>
      </c>
      <c r="I131" s="168">
        <f>COUNTIF(Berekening!G$79:G$80,'Overzicht pronostieken'!$E131)</f>
        <v>0</v>
      </c>
      <c r="J131" s="168">
        <f>COUNTIF(Berekening!H$79:H$80,'Overzicht pronostieken'!$E131)</f>
        <v>0</v>
      </c>
      <c r="K131" s="168">
        <f>COUNTIF(Berekening!I$79:I$80,'Overzicht pronostieken'!$E131)</f>
        <v>0</v>
      </c>
      <c r="L131" s="168">
        <f>COUNTIF(Berekening!J$79:J$80,'Overzicht pronostieken'!$E131)</f>
        <v>0</v>
      </c>
      <c r="M131" s="168">
        <f>COUNTIF(Berekening!K$79:K$80,'Overzicht pronostieken'!$E131)</f>
        <v>0</v>
      </c>
      <c r="N131" s="168">
        <f>COUNTIF(Berekening!L$79:L$80,'Overzicht pronostieken'!$E131)</f>
        <v>0</v>
      </c>
      <c r="O131" s="168">
        <f>COUNTIF(Berekening!M$79:M$80,'Overzicht pronostieken'!$E131)</f>
        <v>0</v>
      </c>
      <c r="P131" s="168">
        <f>COUNTIF(Berekening!N$79:N$80,'Overzicht pronostieken'!$E131)</f>
        <v>0</v>
      </c>
      <c r="Q131" s="168">
        <f>COUNTIF(Berekening!O$79:O$80,'Overzicht pronostieken'!$E131)</f>
        <v>0</v>
      </c>
      <c r="R131" s="168">
        <f>COUNTIF(Berekening!P$79:P$80,'Overzicht pronostieken'!$E131)</f>
        <v>0</v>
      </c>
      <c r="S131" s="168">
        <f>COUNTIF(Berekening!Q$79:Q$80,'Overzicht pronostieken'!$E131)</f>
        <v>0</v>
      </c>
      <c r="T131" s="168">
        <f>COUNTIF(Berekening!R$79:R$80,'Overzicht pronostieken'!$E131)</f>
        <v>0</v>
      </c>
      <c r="U131" s="168">
        <f>COUNTIF(Berekening!S$79:S$80,'Overzicht pronostieken'!$E131)</f>
        <v>0</v>
      </c>
      <c r="V131" s="168">
        <f>COUNTIF(Berekening!T$79:T$80,'Overzicht pronostieken'!$E131)</f>
        <v>0</v>
      </c>
      <c r="W131" s="168">
        <f>COUNTIF(Berekening!U$79:U$80,'Overzicht pronostieken'!$E131)</f>
        <v>0</v>
      </c>
      <c r="X131" s="168">
        <f>COUNTIF(Berekening!V$79:V$80,'Overzicht pronostieken'!$E131)</f>
        <v>0</v>
      </c>
      <c r="Y131" s="168">
        <f>COUNTIF(Berekening!W$79:W$80,'Overzicht pronostieken'!$E131)</f>
        <v>0</v>
      </c>
      <c r="Z131" s="168">
        <f>COUNTIF(Berekening!X$79:X$80,'Overzicht pronostieken'!$E131)</f>
        <v>0</v>
      </c>
      <c r="AA131" s="168">
        <f>COUNTIF(Berekening!Y$79:Y$80,'Overzicht pronostieken'!$E131)</f>
        <v>0</v>
      </c>
      <c r="AB131" s="168">
        <f>COUNTIF(Berekening!Z$79:Z$80,'Overzicht pronostieken'!$E131)</f>
        <v>0</v>
      </c>
      <c r="AC131" s="168">
        <f>COUNTIF(Berekening!AA$79:AA$80,'Overzicht pronostieken'!$E131)</f>
        <v>0</v>
      </c>
      <c r="AD131" s="168">
        <f>COUNTIF(Berekening!AB$79:AB$80,'Overzicht pronostieken'!$E131)</f>
        <v>0</v>
      </c>
      <c r="AE131" s="168">
        <f>COUNTIF(Berekening!AC$79:AC$80,'Overzicht pronostieken'!$E131)</f>
        <v>0</v>
      </c>
      <c r="AF131" s="168">
        <f>COUNTIF(Berekening!AD$79:AD$80,'Overzicht pronostieken'!$E131)</f>
        <v>0</v>
      </c>
      <c r="AG131" s="168">
        <f>COUNTIF(Berekening!AE$79:AE$80,'Overzicht pronostieken'!$E131)</f>
        <v>0</v>
      </c>
      <c r="AH131" s="168">
        <f>COUNTIF(Berekening!AF$79:AF$80,'Overzicht pronostieken'!$E131)</f>
        <v>0</v>
      </c>
      <c r="AI131" s="168">
        <f>COUNTIF(Berekening!AG$79:AG$80,'Overzicht pronostieken'!$E131)</f>
        <v>0</v>
      </c>
      <c r="AJ131" s="168">
        <f>COUNTIF(Berekening!AH$79:AH$80,'Overzicht pronostieken'!$E131)</f>
        <v>0</v>
      </c>
      <c r="AK131" s="168">
        <f>COUNTIF(Berekening!AI$79:AI$80,'Overzicht pronostieken'!$E131)</f>
        <v>0</v>
      </c>
      <c r="AL131" s="168">
        <f>COUNTIF(Berekening!AJ$79:AJ$80,'Overzicht pronostieken'!$E131)</f>
        <v>0</v>
      </c>
      <c r="AM131" s="168">
        <f>COUNTIF(Berekening!AK$79:AK$80,'Overzicht pronostieken'!$E131)</f>
        <v>0</v>
      </c>
      <c r="AN131" s="168">
        <f>COUNTIF(Berekening!AL$79:AL$80,'Overzicht pronostieken'!$E131)</f>
        <v>0</v>
      </c>
      <c r="AO131" s="168">
        <f>COUNTIF(Berekening!AM$79:AM$80,'Overzicht pronostieken'!$E131)</f>
        <v>0</v>
      </c>
      <c r="AP131" s="168">
        <f>COUNTIF(Berekening!AN$79:AN$80,'Overzicht pronostieken'!$E131)</f>
        <v>0</v>
      </c>
      <c r="AQ131" s="168">
        <f>COUNTIF(Berekening!AO$79:AO$80,'Overzicht pronostieken'!$E131)</f>
        <v>0</v>
      </c>
      <c r="AR131" s="168">
        <f>COUNTIF(Berekening!AP$79:AP$80,'Overzicht pronostieken'!$E131)</f>
        <v>0</v>
      </c>
      <c r="AS131" s="168">
        <f>COUNTIF(Berekening!AQ$79:AQ$80,'Overzicht pronostieken'!$E131)</f>
        <v>0</v>
      </c>
      <c r="AT131" s="168">
        <f>COUNTIF(Berekening!AR$79:AR$80,'Overzicht pronostieken'!$E131)</f>
        <v>0</v>
      </c>
      <c r="AU131" s="168">
        <f>COUNTIF(Berekening!AS$79:AS$80,'Overzicht pronostieken'!$E131)</f>
        <v>0</v>
      </c>
      <c r="AV131" s="168">
        <f>COUNTIF(Berekening!AT$79:AT$80,'Overzicht pronostieken'!$E131)</f>
        <v>0</v>
      </c>
    </row>
    <row r="132" spans="5:48">
      <c r="E132" s="161" t="s">
        <v>1533</v>
      </c>
      <c r="F132" s="161">
        <f t="shared" si="7"/>
        <v>0</v>
      </c>
      <c r="G132" s="168">
        <f>COUNTIF(Berekening!E$79:E$80,'Overzicht pronostieken'!$E132)</f>
        <v>0</v>
      </c>
      <c r="H132" s="168">
        <f>COUNTIF(Berekening!F$79:F$80,'Overzicht pronostieken'!$E132)</f>
        <v>0</v>
      </c>
      <c r="I132" s="168">
        <f>COUNTIF(Berekening!G$79:G$80,'Overzicht pronostieken'!$E132)</f>
        <v>0</v>
      </c>
      <c r="J132" s="168">
        <f>COUNTIF(Berekening!H$79:H$80,'Overzicht pronostieken'!$E132)</f>
        <v>0</v>
      </c>
      <c r="K132" s="168">
        <f>COUNTIF(Berekening!I$79:I$80,'Overzicht pronostieken'!$E132)</f>
        <v>0</v>
      </c>
      <c r="L132" s="168">
        <f>COUNTIF(Berekening!J$79:J$80,'Overzicht pronostieken'!$E132)</f>
        <v>0</v>
      </c>
      <c r="M132" s="168">
        <f>COUNTIF(Berekening!K$79:K$80,'Overzicht pronostieken'!$E132)</f>
        <v>0</v>
      </c>
      <c r="N132" s="168">
        <f>COUNTIF(Berekening!L$79:L$80,'Overzicht pronostieken'!$E132)</f>
        <v>0</v>
      </c>
      <c r="O132" s="168">
        <f>COUNTIF(Berekening!M$79:M$80,'Overzicht pronostieken'!$E132)</f>
        <v>0</v>
      </c>
      <c r="P132" s="168">
        <f>COUNTIF(Berekening!N$79:N$80,'Overzicht pronostieken'!$E132)</f>
        <v>0</v>
      </c>
      <c r="Q132" s="168">
        <f>COUNTIF(Berekening!O$79:O$80,'Overzicht pronostieken'!$E132)</f>
        <v>0</v>
      </c>
      <c r="R132" s="168">
        <f>COUNTIF(Berekening!P$79:P$80,'Overzicht pronostieken'!$E132)</f>
        <v>0</v>
      </c>
      <c r="S132" s="168">
        <f>COUNTIF(Berekening!Q$79:Q$80,'Overzicht pronostieken'!$E132)</f>
        <v>0</v>
      </c>
      <c r="T132" s="168">
        <f>COUNTIF(Berekening!R$79:R$80,'Overzicht pronostieken'!$E132)</f>
        <v>0</v>
      </c>
      <c r="U132" s="168">
        <f>COUNTIF(Berekening!S$79:S$80,'Overzicht pronostieken'!$E132)</f>
        <v>0</v>
      </c>
      <c r="V132" s="168">
        <f>COUNTIF(Berekening!T$79:T$80,'Overzicht pronostieken'!$E132)</f>
        <v>0</v>
      </c>
      <c r="W132" s="168">
        <f>COUNTIF(Berekening!U$79:U$80,'Overzicht pronostieken'!$E132)</f>
        <v>0</v>
      </c>
      <c r="X132" s="168">
        <f>COUNTIF(Berekening!V$79:V$80,'Overzicht pronostieken'!$E132)</f>
        <v>0</v>
      </c>
      <c r="Y132" s="168">
        <f>COUNTIF(Berekening!W$79:W$80,'Overzicht pronostieken'!$E132)</f>
        <v>0</v>
      </c>
      <c r="Z132" s="168">
        <f>COUNTIF(Berekening!X$79:X$80,'Overzicht pronostieken'!$E132)</f>
        <v>0</v>
      </c>
      <c r="AA132" s="168">
        <f>COUNTIF(Berekening!Y$79:Y$80,'Overzicht pronostieken'!$E132)</f>
        <v>0</v>
      </c>
      <c r="AB132" s="168">
        <f>COUNTIF(Berekening!Z$79:Z$80,'Overzicht pronostieken'!$E132)</f>
        <v>0</v>
      </c>
      <c r="AC132" s="168">
        <f>COUNTIF(Berekening!AA$79:AA$80,'Overzicht pronostieken'!$E132)</f>
        <v>0</v>
      </c>
      <c r="AD132" s="168">
        <f>COUNTIF(Berekening!AB$79:AB$80,'Overzicht pronostieken'!$E132)</f>
        <v>0</v>
      </c>
      <c r="AE132" s="168">
        <f>COUNTIF(Berekening!AC$79:AC$80,'Overzicht pronostieken'!$E132)</f>
        <v>0</v>
      </c>
      <c r="AF132" s="168">
        <f>COUNTIF(Berekening!AD$79:AD$80,'Overzicht pronostieken'!$E132)</f>
        <v>0</v>
      </c>
      <c r="AG132" s="168">
        <f>COUNTIF(Berekening!AE$79:AE$80,'Overzicht pronostieken'!$E132)</f>
        <v>0</v>
      </c>
      <c r="AH132" s="168">
        <f>COUNTIF(Berekening!AF$79:AF$80,'Overzicht pronostieken'!$E132)</f>
        <v>0</v>
      </c>
      <c r="AI132" s="168">
        <f>COUNTIF(Berekening!AG$79:AG$80,'Overzicht pronostieken'!$E132)</f>
        <v>0</v>
      </c>
      <c r="AJ132" s="168">
        <f>COUNTIF(Berekening!AH$79:AH$80,'Overzicht pronostieken'!$E132)</f>
        <v>0</v>
      </c>
      <c r="AK132" s="168">
        <f>COUNTIF(Berekening!AI$79:AI$80,'Overzicht pronostieken'!$E132)</f>
        <v>0</v>
      </c>
      <c r="AL132" s="168">
        <f>COUNTIF(Berekening!AJ$79:AJ$80,'Overzicht pronostieken'!$E132)</f>
        <v>0</v>
      </c>
      <c r="AM132" s="168">
        <f>COUNTIF(Berekening!AK$79:AK$80,'Overzicht pronostieken'!$E132)</f>
        <v>0</v>
      </c>
      <c r="AN132" s="168">
        <f>COUNTIF(Berekening!AL$79:AL$80,'Overzicht pronostieken'!$E132)</f>
        <v>0</v>
      </c>
      <c r="AO132" s="168">
        <f>COUNTIF(Berekening!AM$79:AM$80,'Overzicht pronostieken'!$E132)</f>
        <v>0</v>
      </c>
      <c r="AP132" s="168">
        <f>COUNTIF(Berekening!AN$79:AN$80,'Overzicht pronostieken'!$E132)</f>
        <v>0</v>
      </c>
      <c r="AQ132" s="168">
        <f>COUNTIF(Berekening!AO$79:AO$80,'Overzicht pronostieken'!$E132)</f>
        <v>0</v>
      </c>
      <c r="AR132" s="168">
        <f>COUNTIF(Berekening!AP$79:AP$80,'Overzicht pronostieken'!$E132)</f>
        <v>0</v>
      </c>
      <c r="AS132" s="168">
        <f>COUNTIF(Berekening!AQ$79:AQ$80,'Overzicht pronostieken'!$E132)</f>
        <v>0</v>
      </c>
      <c r="AT132" s="168">
        <f>COUNTIF(Berekening!AR$79:AR$80,'Overzicht pronostieken'!$E132)</f>
        <v>0</v>
      </c>
      <c r="AU132" s="168">
        <f>COUNTIF(Berekening!AS$79:AS$80,'Overzicht pronostieken'!$E132)</f>
        <v>0</v>
      </c>
      <c r="AV132" s="168">
        <f>COUNTIF(Berekening!AT$79:AT$80,'Overzicht pronostieken'!$E132)</f>
        <v>0</v>
      </c>
    </row>
    <row r="133" spans="5:48">
      <c r="E133" s="161" t="s">
        <v>2630</v>
      </c>
      <c r="F133" s="161">
        <f t="shared" si="7"/>
        <v>0</v>
      </c>
      <c r="G133" s="168">
        <f>COUNTIF(Berekening!E$79:E$80,'Overzicht pronostieken'!$E133)</f>
        <v>0</v>
      </c>
      <c r="H133" s="168">
        <f>COUNTIF(Berekening!F$79:F$80,'Overzicht pronostieken'!$E133)</f>
        <v>0</v>
      </c>
      <c r="I133" s="168">
        <f>COUNTIF(Berekening!G$79:G$80,'Overzicht pronostieken'!$E133)</f>
        <v>0</v>
      </c>
      <c r="J133" s="168">
        <f>COUNTIF(Berekening!H$79:H$80,'Overzicht pronostieken'!$E133)</f>
        <v>0</v>
      </c>
      <c r="K133" s="168">
        <f>COUNTIF(Berekening!I$79:I$80,'Overzicht pronostieken'!$E133)</f>
        <v>0</v>
      </c>
      <c r="L133" s="168">
        <f>COUNTIF(Berekening!J$79:J$80,'Overzicht pronostieken'!$E133)</f>
        <v>0</v>
      </c>
      <c r="M133" s="168">
        <f>COUNTIF(Berekening!K$79:K$80,'Overzicht pronostieken'!$E133)</f>
        <v>0</v>
      </c>
      <c r="N133" s="168">
        <f>COUNTIF(Berekening!L$79:L$80,'Overzicht pronostieken'!$E133)</f>
        <v>0</v>
      </c>
      <c r="O133" s="168">
        <f>COUNTIF(Berekening!M$79:M$80,'Overzicht pronostieken'!$E133)</f>
        <v>0</v>
      </c>
      <c r="P133" s="168">
        <f>COUNTIF(Berekening!N$79:N$80,'Overzicht pronostieken'!$E133)</f>
        <v>0</v>
      </c>
      <c r="Q133" s="168">
        <f>COUNTIF(Berekening!O$79:O$80,'Overzicht pronostieken'!$E133)</f>
        <v>0</v>
      </c>
      <c r="R133" s="168">
        <f>COUNTIF(Berekening!P$79:P$80,'Overzicht pronostieken'!$E133)</f>
        <v>0</v>
      </c>
      <c r="S133" s="168">
        <f>COUNTIF(Berekening!Q$79:Q$80,'Overzicht pronostieken'!$E133)</f>
        <v>0</v>
      </c>
      <c r="T133" s="168">
        <f>COUNTIF(Berekening!R$79:R$80,'Overzicht pronostieken'!$E133)</f>
        <v>0</v>
      </c>
      <c r="U133" s="168">
        <f>COUNTIF(Berekening!S$79:S$80,'Overzicht pronostieken'!$E133)</f>
        <v>0</v>
      </c>
      <c r="V133" s="168">
        <f>COUNTIF(Berekening!T$79:T$80,'Overzicht pronostieken'!$E133)</f>
        <v>0</v>
      </c>
      <c r="W133" s="168">
        <f>COUNTIF(Berekening!U$79:U$80,'Overzicht pronostieken'!$E133)</f>
        <v>0</v>
      </c>
      <c r="X133" s="168">
        <f>COUNTIF(Berekening!V$79:V$80,'Overzicht pronostieken'!$E133)</f>
        <v>0</v>
      </c>
      <c r="Y133" s="168">
        <f>COUNTIF(Berekening!W$79:W$80,'Overzicht pronostieken'!$E133)</f>
        <v>0</v>
      </c>
      <c r="Z133" s="168">
        <f>COUNTIF(Berekening!X$79:X$80,'Overzicht pronostieken'!$E133)</f>
        <v>0</v>
      </c>
      <c r="AA133" s="168">
        <f>COUNTIF(Berekening!Y$79:Y$80,'Overzicht pronostieken'!$E133)</f>
        <v>0</v>
      </c>
      <c r="AB133" s="168">
        <f>COUNTIF(Berekening!Z$79:Z$80,'Overzicht pronostieken'!$E133)</f>
        <v>0</v>
      </c>
      <c r="AC133" s="168">
        <f>COUNTIF(Berekening!AA$79:AA$80,'Overzicht pronostieken'!$E133)</f>
        <v>0</v>
      </c>
      <c r="AD133" s="168">
        <f>COUNTIF(Berekening!AB$79:AB$80,'Overzicht pronostieken'!$E133)</f>
        <v>0</v>
      </c>
      <c r="AE133" s="168">
        <f>COUNTIF(Berekening!AC$79:AC$80,'Overzicht pronostieken'!$E133)</f>
        <v>0</v>
      </c>
      <c r="AF133" s="168">
        <f>COUNTIF(Berekening!AD$79:AD$80,'Overzicht pronostieken'!$E133)</f>
        <v>0</v>
      </c>
      <c r="AG133" s="168">
        <f>COUNTIF(Berekening!AE$79:AE$80,'Overzicht pronostieken'!$E133)</f>
        <v>0</v>
      </c>
      <c r="AH133" s="168">
        <f>COUNTIF(Berekening!AF$79:AF$80,'Overzicht pronostieken'!$E133)</f>
        <v>0</v>
      </c>
      <c r="AI133" s="168">
        <f>COUNTIF(Berekening!AG$79:AG$80,'Overzicht pronostieken'!$E133)</f>
        <v>0</v>
      </c>
      <c r="AJ133" s="168">
        <f>COUNTIF(Berekening!AH$79:AH$80,'Overzicht pronostieken'!$E133)</f>
        <v>0</v>
      </c>
      <c r="AK133" s="168">
        <f>COUNTIF(Berekening!AI$79:AI$80,'Overzicht pronostieken'!$E133)</f>
        <v>0</v>
      </c>
      <c r="AL133" s="168">
        <f>COUNTIF(Berekening!AJ$79:AJ$80,'Overzicht pronostieken'!$E133)</f>
        <v>0</v>
      </c>
      <c r="AM133" s="168">
        <f>COUNTIF(Berekening!AK$79:AK$80,'Overzicht pronostieken'!$E133)</f>
        <v>0</v>
      </c>
      <c r="AN133" s="168">
        <f>COUNTIF(Berekening!AL$79:AL$80,'Overzicht pronostieken'!$E133)</f>
        <v>0</v>
      </c>
      <c r="AO133" s="168">
        <f>COUNTIF(Berekening!AM$79:AM$80,'Overzicht pronostieken'!$E133)</f>
        <v>0</v>
      </c>
      <c r="AP133" s="168">
        <f>COUNTIF(Berekening!AN$79:AN$80,'Overzicht pronostieken'!$E133)</f>
        <v>0</v>
      </c>
      <c r="AQ133" s="168">
        <f>COUNTIF(Berekening!AO$79:AO$80,'Overzicht pronostieken'!$E133)</f>
        <v>0</v>
      </c>
      <c r="AR133" s="168">
        <f>COUNTIF(Berekening!AP$79:AP$80,'Overzicht pronostieken'!$E133)</f>
        <v>0</v>
      </c>
      <c r="AS133" s="168">
        <f>COUNTIF(Berekening!AQ$79:AQ$80,'Overzicht pronostieken'!$E133)</f>
        <v>0</v>
      </c>
      <c r="AT133" s="168">
        <f>COUNTIF(Berekening!AR$79:AR$80,'Overzicht pronostieken'!$E133)</f>
        <v>0</v>
      </c>
      <c r="AU133" s="168">
        <f>COUNTIF(Berekening!AS$79:AS$80,'Overzicht pronostieken'!$E133)</f>
        <v>0</v>
      </c>
      <c r="AV133" s="168">
        <f>COUNTIF(Berekening!AT$79:AT$80,'Overzicht pronostieken'!$E133)</f>
        <v>0</v>
      </c>
    </row>
    <row r="134" spans="5:48">
      <c r="E134" s="161" t="s">
        <v>1206</v>
      </c>
      <c r="F134" s="161">
        <f t="shared" si="7"/>
        <v>0</v>
      </c>
      <c r="G134" s="168">
        <f>COUNTIF(Berekening!E$79:E$80,'Overzicht pronostieken'!$E134)</f>
        <v>0</v>
      </c>
      <c r="H134" s="168">
        <f>COUNTIF(Berekening!F$79:F$80,'Overzicht pronostieken'!$E134)</f>
        <v>0</v>
      </c>
      <c r="I134" s="168">
        <f>COUNTIF(Berekening!G$79:G$80,'Overzicht pronostieken'!$E134)</f>
        <v>0</v>
      </c>
      <c r="J134" s="168">
        <f>COUNTIF(Berekening!H$79:H$80,'Overzicht pronostieken'!$E134)</f>
        <v>0</v>
      </c>
      <c r="K134" s="168">
        <f>COUNTIF(Berekening!I$79:I$80,'Overzicht pronostieken'!$E134)</f>
        <v>0</v>
      </c>
      <c r="L134" s="168">
        <f>COUNTIF(Berekening!J$79:J$80,'Overzicht pronostieken'!$E134)</f>
        <v>0</v>
      </c>
      <c r="M134" s="168">
        <f>COUNTIF(Berekening!K$79:K$80,'Overzicht pronostieken'!$E134)</f>
        <v>0</v>
      </c>
      <c r="N134" s="168">
        <f>COUNTIF(Berekening!L$79:L$80,'Overzicht pronostieken'!$E134)</f>
        <v>0</v>
      </c>
      <c r="O134" s="168">
        <f>COUNTIF(Berekening!M$79:M$80,'Overzicht pronostieken'!$E134)</f>
        <v>0</v>
      </c>
      <c r="P134" s="168">
        <f>COUNTIF(Berekening!N$79:N$80,'Overzicht pronostieken'!$E134)</f>
        <v>0</v>
      </c>
      <c r="Q134" s="168">
        <f>COUNTIF(Berekening!O$79:O$80,'Overzicht pronostieken'!$E134)</f>
        <v>0</v>
      </c>
      <c r="R134" s="168">
        <f>COUNTIF(Berekening!P$79:P$80,'Overzicht pronostieken'!$E134)</f>
        <v>0</v>
      </c>
      <c r="S134" s="168">
        <f>COUNTIF(Berekening!Q$79:Q$80,'Overzicht pronostieken'!$E134)</f>
        <v>0</v>
      </c>
      <c r="T134" s="168">
        <f>COUNTIF(Berekening!R$79:R$80,'Overzicht pronostieken'!$E134)</f>
        <v>0</v>
      </c>
      <c r="U134" s="168">
        <f>COUNTIF(Berekening!S$79:S$80,'Overzicht pronostieken'!$E134)</f>
        <v>0</v>
      </c>
      <c r="V134" s="168">
        <f>COUNTIF(Berekening!T$79:T$80,'Overzicht pronostieken'!$E134)</f>
        <v>0</v>
      </c>
      <c r="W134" s="168">
        <f>COUNTIF(Berekening!U$79:U$80,'Overzicht pronostieken'!$E134)</f>
        <v>0</v>
      </c>
      <c r="X134" s="168">
        <f>COUNTIF(Berekening!V$79:V$80,'Overzicht pronostieken'!$E134)</f>
        <v>0</v>
      </c>
      <c r="Y134" s="168">
        <f>COUNTIF(Berekening!W$79:W$80,'Overzicht pronostieken'!$E134)</f>
        <v>0</v>
      </c>
      <c r="Z134" s="168">
        <f>COUNTIF(Berekening!X$79:X$80,'Overzicht pronostieken'!$E134)</f>
        <v>0</v>
      </c>
      <c r="AA134" s="168">
        <f>COUNTIF(Berekening!Y$79:Y$80,'Overzicht pronostieken'!$E134)</f>
        <v>0</v>
      </c>
      <c r="AB134" s="168">
        <f>COUNTIF(Berekening!Z$79:Z$80,'Overzicht pronostieken'!$E134)</f>
        <v>0</v>
      </c>
      <c r="AC134" s="168">
        <f>COUNTIF(Berekening!AA$79:AA$80,'Overzicht pronostieken'!$E134)</f>
        <v>0</v>
      </c>
      <c r="AD134" s="168">
        <f>COUNTIF(Berekening!AB$79:AB$80,'Overzicht pronostieken'!$E134)</f>
        <v>0</v>
      </c>
      <c r="AE134" s="168">
        <f>COUNTIF(Berekening!AC$79:AC$80,'Overzicht pronostieken'!$E134)</f>
        <v>0</v>
      </c>
      <c r="AF134" s="168">
        <f>COUNTIF(Berekening!AD$79:AD$80,'Overzicht pronostieken'!$E134)</f>
        <v>0</v>
      </c>
      <c r="AG134" s="168">
        <f>COUNTIF(Berekening!AE$79:AE$80,'Overzicht pronostieken'!$E134)</f>
        <v>0</v>
      </c>
      <c r="AH134" s="168">
        <f>COUNTIF(Berekening!AF$79:AF$80,'Overzicht pronostieken'!$E134)</f>
        <v>0</v>
      </c>
      <c r="AI134" s="168">
        <f>COUNTIF(Berekening!AG$79:AG$80,'Overzicht pronostieken'!$E134)</f>
        <v>0</v>
      </c>
      <c r="AJ134" s="168">
        <f>COUNTIF(Berekening!AH$79:AH$80,'Overzicht pronostieken'!$E134)</f>
        <v>0</v>
      </c>
      <c r="AK134" s="168">
        <f>COUNTIF(Berekening!AI$79:AI$80,'Overzicht pronostieken'!$E134)</f>
        <v>0</v>
      </c>
      <c r="AL134" s="168">
        <f>COUNTIF(Berekening!AJ$79:AJ$80,'Overzicht pronostieken'!$E134)</f>
        <v>0</v>
      </c>
      <c r="AM134" s="168">
        <f>COUNTIF(Berekening!AK$79:AK$80,'Overzicht pronostieken'!$E134)</f>
        <v>0</v>
      </c>
      <c r="AN134" s="168">
        <f>COUNTIF(Berekening!AL$79:AL$80,'Overzicht pronostieken'!$E134)</f>
        <v>0</v>
      </c>
      <c r="AO134" s="168">
        <f>COUNTIF(Berekening!AM$79:AM$80,'Overzicht pronostieken'!$E134)</f>
        <v>0</v>
      </c>
      <c r="AP134" s="168">
        <f>COUNTIF(Berekening!AN$79:AN$80,'Overzicht pronostieken'!$E134)</f>
        <v>0</v>
      </c>
      <c r="AQ134" s="168">
        <f>COUNTIF(Berekening!AO$79:AO$80,'Overzicht pronostieken'!$E134)</f>
        <v>0</v>
      </c>
      <c r="AR134" s="168">
        <f>COUNTIF(Berekening!AP$79:AP$80,'Overzicht pronostieken'!$E134)</f>
        <v>0</v>
      </c>
      <c r="AS134" s="168">
        <f>COUNTIF(Berekening!AQ$79:AQ$80,'Overzicht pronostieken'!$E134)</f>
        <v>0</v>
      </c>
      <c r="AT134" s="168">
        <f>COUNTIF(Berekening!AR$79:AR$80,'Overzicht pronostieken'!$E134)</f>
        <v>0</v>
      </c>
      <c r="AU134" s="168">
        <f>COUNTIF(Berekening!AS$79:AS$80,'Overzicht pronostieken'!$E134)</f>
        <v>0</v>
      </c>
      <c r="AV134" s="168">
        <f>COUNTIF(Berekening!AT$79:AT$80,'Overzicht pronostieken'!$E134)</f>
        <v>0</v>
      </c>
    </row>
    <row r="135" spans="5:48">
      <c r="E135" s="161" t="s">
        <v>1856</v>
      </c>
      <c r="F135" s="161">
        <f t="shared" si="7"/>
        <v>6</v>
      </c>
      <c r="G135" s="168">
        <f>COUNTIF(Berekening!E$79:E$80,'Overzicht pronostieken'!$E135)</f>
        <v>1</v>
      </c>
      <c r="H135" s="168">
        <f>COUNTIF(Berekening!F$79:F$80,'Overzicht pronostieken'!$E135)</f>
        <v>0</v>
      </c>
      <c r="I135" s="168">
        <f>COUNTIF(Berekening!G$79:G$80,'Overzicht pronostieken'!$E135)</f>
        <v>1</v>
      </c>
      <c r="J135" s="168">
        <f>COUNTIF(Berekening!H$79:H$80,'Overzicht pronostieken'!$E135)</f>
        <v>0</v>
      </c>
      <c r="K135" s="168">
        <f>COUNTIF(Berekening!I$79:I$80,'Overzicht pronostieken'!$E135)</f>
        <v>0</v>
      </c>
      <c r="L135" s="168">
        <f>COUNTIF(Berekening!J$79:J$80,'Overzicht pronostieken'!$E135)</f>
        <v>0</v>
      </c>
      <c r="M135" s="168">
        <f>COUNTIF(Berekening!K$79:K$80,'Overzicht pronostieken'!$E135)</f>
        <v>1</v>
      </c>
      <c r="N135" s="168">
        <f>COUNTIF(Berekening!L$79:L$80,'Overzicht pronostieken'!$E135)</f>
        <v>1</v>
      </c>
      <c r="O135" s="168">
        <f>COUNTIF(Berekening!M$79:M$80,'Overzicht pronostieken'!$E135)</f>
        <v>0</v>
      </c>
      <c r="P135" s="168">
        <f>COUNTIF(Berekening!N$79:N$80,'Overzicht pronostieken'!$E135)</f>
        <v>1</v>
      </c>
      <c r="Q135" s="168">
        <f>COUNTIF(Berekening!O$79:O$80,'Overzicht pronostieken'!$E135)</f>
        <v>0</v>
      </c>
      <c r="R135" s="168">
        <f>COUNTIF(Berekening!P$79:P$80,'Overzicht pronostieken'!$E135)</f>
        <v>0</v>
      </c>
      <c r="S135" s="168">
        <f>COUNTIF(Berekening!Q$79:Q$80,'Overzicht pronostieken'!$E135)</f>
        <v>0</v>
      </c>
      <c r="T135" s="168">
        <f>COUNTIF(Berekening!R$79:R$80,'Overzicht pronostieken'!$E135)</f>
        <v>0</v>
      </c>
      <c r="U135" s="168">
        <f>COUNTIF(Berekening!S$79:S$80,'Overzicht pronostieken'!$E135)</f>
        <v>1</v>
      </c>
      <c r="V135" s="168">
        <f>COUNTIF(Berekening!T$79:T$80,'Overzicht pronostieken'!$E135)</f>
        <v>0</v>
      </c>
      <c r="W135" s="168">
        <f>COUNTIF(Berekening!U$79:U$80,'Overzicht pronostieken'!$E135)</f>
        <v>0</v>
      </c>
      <c r="X135" s="168">
        <f>COUNTIF(Berekening!V$79:V$80,'Overzicht pronostieken'!$E135)</f>
        <v>0</v>
      </c>
      <c r="Y135" s="168">
        <f>COUNTIF(Berekening!W$79:W$80,'Overzicht pronostieken'!$E135)</f>
        <v>0</v>
      </c>
      <c r="Z135" s="168">
        <f>COUNTIF(Berekening!X$79:X$80,'Overzicht pronostieken'!$E135)</f>
        <v>0</v>
      </c>
      <c r="AA135" s="168">
        <f>COUNTIF(Berekening!Y$79:Y$80,'Overzicht pronostieken'!$E135)</f>
        <v>0</v>
      </c>
      <c r="AB135" s="168">
        <f>COUNTIF(Berekening!Z$79:Z$80,'Overzicht pronostieken'!$E135)</f>
        <v>0</v>
      </c>
      <c r="AC135" s="168">
        <f>COUNTIF(Berekening!AA$79:AA$80,'Overzicht pronostieken'!$E135)</f>
        <v>0</v>
      </c>
      <c r="AD135" s="168">
        <f>COUNTIF(Berekening!AB$79:AB$80,'Overzicht pronostieken'!$E135)</f>
        <v>0</v>
      </c>
      <c r="AE135" s="168">
        <f>COUNTIF(Berekening!AC$79:AC$80,'Overzicht pronostieken'!$E135)</f>
        <v>0</v>
      </c>
      <c r="AF135" s="168">
        <f>COUNTIF(Berekening!AD$79:AD$80,'Overzicht pronostieken'!$E135)</f>
        <v>0</v>
      </c>
      <c r="AG135" s="168">
        <f>COUNTIF(Berekening!AE$79:AE$80,'Overzicht pronostieken'!$E135)</f>
        <v>0</v>
      </c>
      <c r="AH135" s="168">
        <f>COUNTIF(Berekening!AF$79:AF$80,'Overzicht pronostieken'!$E135)</f>
        <v>0</v>
      </c>
      <c r="AI135" s="168">
        <f>COUNTIF(Berekening!AG$79:AG$80,'Overzicht pronostieken'!$E135)</f>
        <v>0</v>
      </c>
      <c r="AJ135" s="168">
        <f>COUNTIF(Berekening!AH$79:AH$80,'Overzicht pronostieken'!$E135)</f>
        <v>0</v>
      </c>
      <c r="AK135" s="168">
        <f>COUNTIF(Berekening!AI$79:AI$80,'Overzicht pronostieken'!$E135)</f>
        <v>0</v>
      </c>
      <c r="AL135" s="168">
        <f>COUNTIF(Berekening!AJ$79:AJ$80,'Overzicht pronostieken'!$E135)</f>
        <v>0</v>
      </c>
      <c r="AM135" s="168">
        <f>COUNTIF(Berekening!AK$79:AK$80,'Overzicht pronostieken'!$E135)</f>
        <v>0</v>
      </c>
      <c r="AN135" s="168">
        <f>COUNTIF(Berekening!AL$79:AL$80,'Overzicht pronostieken'!$E135)</f>
        <v>0</v>
      </c>
      <c r="AO135" s="168">
        <f>COUNTIF(Berekening!AM$79:AM$80,'Overzicht pronostieken'!$E135)</f>
        <v>0</v>
      </c>
      <c r="AP135" s="168">
        <f>COUNTIF(Berekening!AN$79:AN$80,'Overzicht pronostieken'!$E135)</f>
        <v>0</v>
      </c>
      <c r="AQ135" s="168">
        <f>COUNTIF(Berekening!AO$79:AO$80,'Overzicht pronostieken'!$E135)</f>
        <v>0</v>
      </c>
      <c r="AR135" s="168">
        <f>COUNTIF(Berekening!AP$79:AP$80,'Overzicht pronostieken'!$E135)</f>
        <v>0</v>
      </c>
      <c r="AS135" s="168">
        <f>COUNTIF(Berekening!AQ$79:AQ$80,'Overzicht pronostieken'!$E135)</f>
        <v>0</v>
      </c>
      <c r="AT135" s="168">
        <f>COUNTIF(Berekening!AR$79:AR$80,'Overzicht pronostieken'!$E135)</f>
        <v>0</v>
      </c>
      <c r="AU135" s="168">
        <f>COUNTIF(Berekening!AS$79:AS$80,'Overzicht pronostieken'!$E135)</f>
        <v>0</v>
      </c>
      <c r="AV135" s="168">
        <f>COUNTIF(Berekening!AT$79:AT$80,'Overzicht pronostieken'!$E135)</f>
        <v>0</v>
      </c>
    </row>
    <row r="136" spans="5:48">
      <c r="E136" s="161" t="s">
        <v>2661</v>
      </c>
      <c r="F136" s="161">
        <f t="shared" si="7"/>
        <v>0</v>
      </c>
      <c r="G136" s="168">
        <f>COUNTIF(Berekening!E$79:E$80,'Overzicht pronostieken'!$E136)</f>
        <v>0</v>
      </c>
      <c r="H136" s="168">
        <f>COUNTIF(Berekening!F$79:F$80,'Overzicht pronostieken'!$E136)</f>
        <v>0</v>
      </c>
      <c r="I136" s="168">
        <f>COUNTIF(Berekening!G$79:G$80,'Overzicht pronostieken'!$E136)</f>
        <v>0</v>
      </c>
      <c r="J136" s="168">
        <f>COUNTIF(Berekening!H$79:H$80,'Overzicht pronostieken'!$E136)</f>
        <v>0</v>
      </c>
      <c r="K136" s="168">
        <f>COUNTIF(Berekening!I$79:I$80,'Overzicht pronostieken'!$E136)</f>
        <v>0</v>
      </c>
      <c r="L136" s="168">
        <f>COUNTIF(Berekening!J$79:J$80,'Overzicht pronostieken'!$E136)</f>
        <v>0</v>
      </c>
      <c r="M136" s="168">
        <f>COUNTIF(Berekening!K$79:K$80,'Overzicht pronostieken'!$E136)</f>
        <v>0</v>
      </c>
      <c r="N136" s="168">
        <f>COUNTIF(Berekening!L$79:L$80,'Overzicht pronostieken'!$E136)</f>
        <v>0</v>
      </c>
      <c r="O136" s="168">
        <f>COUNTIF(Berekening!M$79:M$80,'Overzicht pronostieken'!$E136)</f>
        <v>0</v>
      </c>
      <c r="P136" s="168">
        <f>COUNTIF(Berekening!N$79:N$80,'Overzicht pronostieken'!$E136)</f>
        <v>0</v>
      </c>
      <c r="Q136" s="168">
        <f>COUNTIF(Berekening!O$79:O$80,'Overzicht pronostieken'!$E136)</f>
        <v>0</v>
      </c>
      <c r="R136" s="168">
        <f>COUNTIF(Berekening!P$79:P$80,'Overzicht pronostieken'!$E136)</f>
        <v>0</v>
      </c>
      <c r="S136" s="168">
        <f>COUNTIF(Berekening!Q$79:Q$80,'Overzicht pronostieken'!$E136)</f>
        <v>0</v>
      </c>
      <c r="T136" s="168">
        <f>COUNTIF(Berekening!R$79:R$80,'Overzicht pronostieken'!$E136)</f>
        <v>0</v>
      </c>
      <c r="U136" s="168">
        <f>COUNTIF(Berekening!S$79:S$80,'Overzicht pronostieken'!$E136)</f>
        <v>0</v>
      </c>
      <c r="V136" s="168">
        <f>COUNTIF(Berekening!T$79:T$80,'Overzicht pronostieken'!$E136)</f>
        <v>0</v>
      </c>
      <c r="W136" s="168">
        <f>COUNTIF(Berekening!U$79:U$80,'Overzicht pronostieken'!$E136)</f>
        <v>0</v>
      </c>
      <c r="X136" s="168">
        <f>COUNTIF(Berekening!V$79:V$80,'Overzicht pronostieken'!$E136)</f>
        <v>0</v>
      </c>
      <c r="Y136" s="168">
        <f>COUNTIF(Berekening!W$79:W$80,'Overzicht pronostieken'!$E136)</f>
        <v>0</v>
      </c>
      <c r="Z136" s="168">
        <f>COUNTIF(Berekening!X$79:X$80,'Overzicht pronostieken'!$E136)</f>
        <v>0</v>
      </c>
      <c r="AA136" s="168">
        <f>COUNTIF(Berekening!Y$79:Y$80,'Overzicht pronostieken'!$E136)</f>
        <v>0</v>
      </c>
      <c r="AB136" s="168">
        <f>COUNTIF(Berekening!Z$79:Z$80,'Overzicht pronostieken'!$E136)</f>
        <v>0</v>
      </c>
      <c r="AC136" s="168">
        <f>COUNTIF(Berekening!AA$79:AA$80,'Overzicht pronostieken'!$E136)</f>
        <v>0</v>
      </c>
      <c r="AD136" s="168">
        <f>COUNTIF(Berekening!AB$79:AB$80,'Overzicht pronostieken'!$E136)</f>
        <v>0</v>
      </c>
      <c r="AE136" s="168">
        <f>COUNTIF(Berekening!AC$79:AC$80,'Overzicht pronostieken'!$E136)</f>
        <v>0</v>
      </c>
      <c r="AF136" s="168">
        <f>COUNTIF(Berekening!AD$79:AD$80,'Overzicht pronostieken'!$E136)</f>
        <v>0</v>
      </c>
      <c r="AG136" s="168">
        <f>COUNTIF(Berekening!AE$79:AE$80,'Overzicht pronostieken'!$E136)</f>
        <v>0</v>
      </c>
      <c r="AH136" s="168">
        <f>COUNTIF(Berekening!AF$79:AF$80,'Overzicht pronostieken'!$E136)</f>
        <v>0</v>
      </c>
      <c r="AI136" s="168">
        <f>COUNTIF(Berekening!AG$79:AG$80,'Overzicht pronostieken'!$E136)</f>
        <v>0</v>
      </c>
      <c r="AJ136" s="168">
        <f>COUNTIF(Berekening!AH$79:AH$80,'Overzicht pronostieken'!$E136)</f>
        <v>0</v>
      </c>
      <c r="AK136" s="168">
        <f>COUNTIF(Berekening!AI$79:AI$80,'Overzicht pronostieken'!$E136)</f>
        <v>0</v>
      </c>
      <c r="AL136" s="168">
        <f>COUNTIF(Berekening!AJ$79:AJ$80,'Overzicht pronostieken'!$E136)</f>
        <v>0</v>
      </c>
      <c r="AM136" s="168">
        <f>COUNTIF(Berekening!AK$79:AK$80,'Overzicht pronostieken'!$E136)</f>
        <v>0</v>
      </c>
      <c r="AN136" s="168">
        <f>COUNTIF(Berekening!AL$79:AL$80,'Overzicht pronostieken'!$E136)</f>
        <v>0</v>
      </c>
      <c r="AO136" s="168">
        <f>COUNTIF(Berekening!AM$79:AM$80,'Overzicht pronostieken'!$E136)</f>
        <v>0</v>
      </c>
      <c r="AP136" s="168">
        <f>COUNTIF(Berekening!AN$79:AN$80,'Overzicht pronostieken'!$E136)</f>
        <v>0</v>
      </c>
      <c r="AQ136" s="168">
        <f>COUNTIF(Berekening!AO$79:AO$80,'Overzicht pronostieken'!$E136)</f>
        <v>0</v>
      </c>
      <c r="AR136" s="168">
        <f>COUNTIF(Berekening!AP$79:AP$80,'Overzicht pronostieken'!$E136)</f>
        <v>0</v>
      </c>
      <c r="AS136" s="168">
        <f>COUNTIF(Berekening!AQ$79:AQ$80,'Overzicht pronostieken'!$E136)</f>
        <v>0</v>
      </c>
      <c r="AT136" s="168">
        <f>COUNTIF(Berekening!AR$79:AR$80,'Overzicht pronostieken'!$E136)</f>
        <v>0</v>
      </c>
      <c r="AU136" s="168">
        <f>COUNTIF(Berekening!AS$79:AS$80,'Overzicht pronostieken'!$E136)</f>
        <v>0</v>
      </c>
      <c r="AV136" s="168">
        <f>COUNTIF(Berekening!AT$79:AT$80,'Overzicht pronostieken'!$E136)</f>
        <v>0</v>
      </c>
    </row>
    <row r="137" spans="5:48">
      <c r="E137" s="161" t="s">
        <v>1789</v>
      </c>
      <c r="F137" s="161">
        <f t="shared" si="7"/>
        <v>9</v>
      </c>
      <c r="G137" s="168">
        <f>COUNTIF(Berekening!E$79:E$80,'Overzicht pronostieken'!$E137)</f>
        <v>0</v>
      </c>
      <c r="H137" s="168">
        <f>COUNTIF(Berekening!F$79:F$80,'Overzicht pronostieken'!$E137)</f>
        <v>1</v>
      </c>
      <c r="I137" s="168">
        <f>COUNTIF(Berekening!G$79:G$80,'Overzicht pronostieken'!$E137)</f>
        <v>0</v>
      </c>
      <c r="J137" s="168">
        <f>COUNTIF(Berekening!H$79:H$80,'Overzicht pronostieken'!$E137)</f>
        <v>1</v>
      </c>
      <c r="K137" s="168">
        <f>COUNTIF(Berekening!I$79:I$80,'Overzicht pronostieken'!$E137)</f>
        <v>1</v>
      </c>
      <c r="L137" s="168">
        <f>COUNTIF(Berekening!J$79:J$80,'Overzicht pronostieken'!$E137)</f>
        <v>1</v>
      </c>
      <c r="M137" s="168">
        <f>COUNTIF(Berekening!K$79:K$80,'Overzicht pronostieken'!$E137)</f>
        <v>0</v>
      </c>
      <c r="N137" s="168">
        <f>COUNTIF(Berekening!L$79:L$80,'Overzicht pronostieken'!$E137)</f>
        <v>0</v>
      </c>
      <c r="O137" s="168">
        <f>COUNTIF(Berekening!M$79:M$80,'Overzicht pronostieken'!$E137)</f>
        <v>1</v>
      </c>
      <c r="P137" s="168">
        <f>COUNTIF(Berekening!N$79:N$80,'Overzicht pronostieken'!$E137)</f>
        <v>0</v>
      </c>
      <c r="Q137" s="168">
        <f>COUNTIF(Berekening!O$79:O$80,'Overzicht pronostieken'!$E137)</f>
        <v>0</v>
      </c>
      <c r="R137" s="168">
        <f>COUNTIF(Berekening!P$79:P$80,'Overzicht pronostieken'!$E137)</f>
        <v>1</v>
      </c>
      <c r="S137" s="168">
        <f>COUNTIF(Berekening!Q$79:Q$80,'Overzicht pronostieken'!$E137)</f>
        <v>1</v>
      </c>
      <c r="T137" s="168">
        <f>COUNTIF(Berekening!R$79:R$80,'Overzicht pronostieken'!$E137)</f>
        <v>0</v>
      </c>
      <c r="U137" s="168">
        <f>COUNTIF(Berekening!S$79:S$80,'Overzicht pronostieken'!$E137)</f>
        <v>1</v>
      </c>
      <c r="V137" s="168">
        <f>COUNTIF(Berekening!T$79:T$80,'Overzicht pronostieken'!$E137)</f>
        <v>1</v>
      </c>
      <c r="W137" s="168">
        <f>COUNTIF(Berekening!U$79:U$80,'Overzicht pronostieken'!$E137)</f>
        <v>0</v>
      </c>
      <c r="X137" s="168">
        <f>COUNTIF(Berekening!V$79:V$80,'Overzicht pronostieken'!$E137)</f>
        <v>0</v>
      </c>
      <c r="Y137" s="168">
        <f>COUNTIF(Berekening!W$79:W$80,'Overzicht pronostieken'!$E137)</f>
        <v>0</v>
      </c>
      <c r="Z137" s="168">
        <f>COUNTIF(Berekening!X$79:X$80,'Overzicht pronostieken'!$E137)</f>
        <v>0</v>
      </c>
      <c r="AA137" s="168">
        <f>COUNTIF(Berekening!Y$79:Y$80,'Overzicht pronostieken'!$E137)</f>
        <v>0</v>
      </c>
      <c r="AB137" s="168">
        <f>COUNTIF(Berekening!Z$79:Z$80,'Overzicht pronostieken'!$E137)</f>
        <v>0</v>
      </c>
      <c r="AC137" s="168">
        <f>COUNTIF(Berekening!AA$79:AA$80,'Overzicht pronostieken'!$E137)</f>
        <v>0</v>
      </c>
      <c r="AD137" s="168">
        <f>COUNTIF(Berekening!AB$79:AB$80,'Overzicht pronostieken'!$E137)</f>
        <v>0</v>
      </c>
      <c r="AE137" s="168">
        <f>COUNTIF(Berekening!AC$79:AC$80,'Overzicht pronostieken'!$E137)</f>
        <v>0</v>
      </c>
      <c r="AF137" s="168">
        <f>COUNTIF(Berekening!AD$79:AD$80,'Overzicht pronostieken'!$E137)</f>
        <v>0</v>
      </c>
      <c r="AG137" s="168">
        <f>COUNTIF(Berekening!AE$79:AE$80,'Overzicht pronostieken'!$E137)</f>
        <v>0</v>
      </c>
      <c r="AH137" s="168">
        <f>COUNTIF(Berekening!AF$79:AF$80,'Overzicht pronostieken'!$E137)</f>
        <v>0</v>
      </c>
      <c r="AI137" s="168">
        <f>COUNTIF(Berekening!AG$79:AG$80,'Overzicht pronostieken'!$E137)</f>
        <v>0</v>
      </c>
      <c r="AJ137" s="168">
        <f>COUNTIF(Berekening!AH$79:AH$80,'Overzicht pronostieken'!$E137)</f>
        <v>0</v>
      </c>
      <c r="AK137" s="168">
        <f>COUNTIF(Berekening!AI$79:AI$80,'Overzicht pronostieken'!$E137)</f>
        <v>0</v>
      </c>
      <c r="AL137" s="168">
        <f>COUNTIF(Berekening!AJ$79:AJ$80,'Overzicht pronostieken'!$E137)</f>
        <v>0</v>
      </c>
      <c r="AM137" s="168">
        <f>COUNTIF(Berekening!AK$79:AK$80,'Overzicht pronostieken'!$E137)</f>
        <v>0</v>
      </c>
      <c r="AN137" s="168">
        <f>COUNTIF(Berekening!AL$79:AL$80,'Overzicht pronostieken'!$E137)</f>
        <v>0</v>
      </c>
      <c r="AO137" s="168">
        <f>COUNTIF(Berekening!AM$79:AM$80,'Overzicht pronostieken'!$E137)</f>
        <v>0</v>
      </c>
      <c r="AP137" s="168">
        <f>COUNTIF(Berekening!AN$79:AN$80,'Overzicht pronostieken'!$E137)</f>
        <v>0</v>
      </c>
      <c r="AQ137" s="168">
        <f>COUNTIF(Berekening!AO$79:AO$80,'Overzicht pronostieken'!$E137)</f>
        <v>0</v>
      </c>
      <c r="AR137" s="168">
        <f>COUNTIF(Berekening!AP$79:AP$80,'Overzicht pronostieken'!$E137)</f>
        <v>0</v>
      </c>
      <c r="AS137" s="168">
        <f>COUNTIF(Berekening!AQ$79:AQ$80,'Overzicht pronostieken'!$E137)</f>
        <v>0</v>
      </c>
      <c r="AT137" s="168">
        <f>COUNTIF(Berekening!AR$79:AR$80,'Overzicht pronostieken'!$E137)</f>
        <v>0</v>
      </c>
      <c r="AU137" s="168">
        <f>COUNTIF(Berekening!AS$79:AS$80,'Overzicht pronostieken'!$E137)</f>
        <v>0</v>
      </c>
      <c r="AV137" s="168">
        <f>COUNTIF(Berekening!AT$79:AT$80,'Overzicht pronostieken'!$E137)</f>
        <v>0</v>
      </c>
    </row>
    <row r="138" spans="5:48">
      <c r="E138" s="161" t="s">
        <v>1324</v>
      </c>
      <c r="F138" s="161">
        <f t="shared" si="7"/>
        <v>0</v>
      </c>
      <c r="G138" s="168">
        <f>COUNTIF(Berekening!E$79:E$80,'Overzicht pronostieken'!$E138)</f>
        <v>0</v>
      </c>
      <c r="H138" s="168">
        <f>COUNTIF(Berekening!F$79:F$80,'Overzicht pronostieken'!$E138)</f>
        <v>0</v>
      </c>
      <c r="I138" s="168">
        <f>COUNTIF(Berekening!G$79:G$80,'Overzicht pronostieken'!$E138)</f>
        <v>0</v>
      </c>
      <c r="J138" s="168">
        <f>COUNTIF(Berekening!H$79:H$80,'Overzicht pronostieken'!$E138)</f>
        <v>0</v>
      </c>
      <c r="K138" s="168">
        <f>COUNTIF(Berekening!I$79:I$80,'Overzicht pronostieken'!$E138)</f>
        <v>0</v>
      </c>
      <c r="L138" s="168">
        <f>COUNTIF(Berekening!J$79:J$80,'Overzicht pronostieken'!$E138)</f>
        <v>0</v>
      </c>
      <c r="M138" s="168">
        <f>COUNTIF(Berekening!K$79:K$80,'Overzicht pronostieken'!$E138)</f>
        <v>0</v>
      </c>
      <c r="N138" s="168">
        <f>COUNTIF(Berekening!L$79:L$80,'Overzicht pronostieken'!$E138)</f>
        <v>0</v>
      </c>
      <c r="O138" s="168">
        <f>COUNTIF(Berekening!M$79:M$80,'Overzicht pronostieken'!$E138)</f>
        <v>0</v>
      </c>
      <c r="P138" s="168">
        <f>COUNTIF(Berekening!N$79:N$80,'Overzicht pronostieken'!$E138)</f>
        <v>0</v>
      </c>
      <c r="Q138" s="168">
        <f>COUNTIF(Berekening!O$79:O$80,'Overzicht pronostieken'!$E138)</f>
        <v>0</v>
      </c>
      <c r="R138" s="168">
        <f>COUNTIF(Berekening!P$79:P$80,'Overzicht pronostieken'!$E138)</f>
        <v>0</v>
      </c>
      <c r="S138" s="168">
        <f>COUNTIF(Berekening!Q$79:Q$80,'Overzicht pronostieken'!$E138)</f>
        <v>0</v>
      </c>
      <c r="T138" s="168">
        <f>COUNTIF(Berekening!R$79:R$80,'Overzicht pronostieken'!$E138)</f>
        <v>0</v>
      </c>
      <c r="U138" s="168">
        <f>COUNTIF(Berekening!S$79:S$80,'Overzicht pronostieken'!$E138)</f>
        <v>0</v>
      </c>
      <c r="V138" s="168">
        <f>COUNTIF(Berekening!T$79:T$80,'Overzicht pronostieken'!$E138)</f>
        <v>0</v>
      </c>
      <c r="W138" s="168">
        <f>COUNTIF(Berekening!U$79:U$80,'Overzicht pronostieken'!$E138)</f>
        <v>0</v>
      </c>
      <c r="X138" s="168">
        <f>COUNTIF(Berekening!V$79:V$80,'Overzicht pronostieken'!$E138)</f>
        <v>0</v>
      </c>
      <c r="Y138" s="168">
        <f>COUNTIF(Berekening!W$79:W$80,'Overzicht pronostieken'!$E138)</f>
        <v>0</v>
      </c>
      <c r="Z138" s="168">
        <f>COUNTIF(Berekening!X$79:X$80,'Overzicht pronostieken'!$E138)</f>
        <v>0</v>
      </c>
      <c r="AA138" s="168">
        <f>COUNTIF(Berekening!Y$79:Y$80,'Overzicht pronostieken'!$E138)</f>
        <v>0</v>
      </c>
      <c r="AB138" s="168">
        <f>COUNTIF(Berekening!Z$79:Z$80,'Overzicht pronostieken'!$E138)</f>
        <v>0</v>
      </c>
      <c r="AC138" s="168">
        <f>COUNTIF(Berekening!AA$79:AA$80,'Overzicht pronostieken'!$E138)</f>
        <v>0</v>
      </c>
      <c r="AD138" s="168">
        <f>COUNTIF(Berekening!AB$79:AB$80,'Overzicht pronostieken'!$E138)</f>
        <v>0</v>
      </c>
      <c r="AE138" s="168">
        <f>COUNTIF(Berekening!AC$79:AC$80,'Overzicht pronostieken'!$E138)</f>
        <v>0</v>
      </c>
      <c r="AF138" s="168">
        <f>COUNTIF(Berekening!AD$79:AD$80,'Overzicht pronostieken'!$E138)</f>
        <v>0</v>
      </c>
      <c r="AG138" s="168">
        <f>COUNTIF(Berekening!AE$79:AE$80,'Overzicht pronostieken'!$E138)</f>
        <v>0</v>
      </c>
      <c r="AH138" s="168">
        <f>COUNTIF(Berekening!AF$79:AF$80,'Overzicht pronostieken'!$E138)</f>
        <v>0</v>
      </c>
      <c r="AI138" s="168">
        <f>COUNTIF(Berekening!AG$79:AG$80,'Overzicht pronostieken'!$E138)</f>
        <v>0</v>
      </c>
      <c r="AJ138" s="168">
        <f>COUNTIF(Berekening!AH$79:AH$80,'Overzicht pronostieken'!$E138)</f>
        <v>0</v>
      </c>
      <c r="AK138" s="168">
        <f>COUNTIF(Berekening!AI$79:AI$80,'Overzicht pronostieken'!$E138)</f>
        <v>0</v>
      </c>
      <c r="AL138" s="168">
        <f>COUNTIF(Berekening!AJ$79:AJ$80,'Overzicht pronostieken'!$E138)</f>
        <v>0</v>
      </c>
      <c r="AM138" s="168">
        <f>COUNTIF(Berekening!AK$79:AK$80,'Overzicht pronostieken'!$E138)</f>
        <v>0</v>
      </c>
      <c r="AN138" s="168">
        <f>COUNTIF(Berekening!AL$79:AL$80,'Overzicht pronostieken'!$E138)</f>
        <v>0</v>
      </c>
      <c r="AO138" s="168">
        <f>COUNTIF(Berekening!AM$79:AM$80,'Overzicht pronostieken'!$E138)</f>
        <v>0</v>
      </c>
      <c r="AP138" s="168">
        <f>COUNTIF(Berekening!AN$79:AN$80,'Overzicht pronostieken'!$E138)</f>
        <v>0</v>
      </c>
      <c r="AQ138" s="168">
        <f>COUNTIF(Berekening!AO$79:AO$80,'Overzicht pronostieken'!$E138)</f>
        <v>0</v>
      </c>
      <c r="AR138" s="168">
        <f>COUNTIF(Berekening!AP$79:AP$80,'Overzicht pronostieken'!$E138)</f>
        <v>0</v>
      </c>
      <c r="AS138" s="168">
        <f>COUNTIF(Berekening!AQ$79:AQ$80,'Overzicht pronostieken'!$E138)</f>
        <v>0</v>
      </c>
      <c r="AT138" s="168">
        <f>COUNTIF(Berekening!AR$79:AR$80,'Overzicht pronostieken'!$E138)</f>
        <v>0</v>
      </c>
      <c r="AU138" s="168">
        <f>COUNTIF(Berekening!AS$79:AS$80,'Overzicht pronostieken'!$E138)</f>
        <v>0</v>
      </c>
      <c r="AV138" s="168">
        <f>COUNTIF(Berekening!AT$79:AT$80,'Overzicht pronostieken'!$E138)</f>
        <v>0</v>
      </c>
    </row>
    <row r="139" spans="5:48">
      <c r="E139" s="161" t="s">
        <v>1822</v>
      </c>
      <c r="F139" s="161">
        <f t="shared" si="7"/>
        <v>0</v>
      </c>
      <c r="G139" s="168">
        <f>COUNTIF(Berekening!E$79:E$80,'Overzicht pronostieken'!$E139)</f>
        <v>0</v>
      </c>
      <c r="H139" s="168">
        <f>COUNTIF(Berekening!F$79:F$80,'Overzicht pronostieken'!$E139)</f>
        <v>0</v>
      </c>
      <c r="I139" s="168">
        <f>COUNTIF(Berekening!G$79:G$80,'Overzicht pronostieken'!$E139)</f>
        <v>0</v>
      </c>
      <c r="J139" s="168">
        <f>COUNTIF(Berekening!H$79:H$80,'Overzicht pronostieken'!$E139)</f>
        <v>0</v>
      </c>
      <c r="K139" s="168">
        <f>COUNTIF(Berekening!I$79:I$80,'Overzicht pronostieken'!$E139)</f>
        <v>0</v>
      </c>
      <c r="L139" s="168">
        <f>COUNTIF(Berekening!J$79:J$80,'Overzicht pronostieken'!$E139)</f>
        <v>0</v>
      </c>
      <c r="M139" s="168">
        <f>COUNTIF(Berekening!K$79:K$80,'Overzicht pronostieken'!$E139)</f>
        <v>0</v>
      </c>
      <c r="N139" s="168">
        <f>COUNTIF(Berekening!L$79:L$80,'Overzicht pronostieken'!$E139)</f>
        <v>0</v>
      </c>
      <c r="O139" s="168">
        <f>COUNTIF(Berekening!M$79:M$80,'Overzicht pronostieken'!$E139)</f>
        <v>0</v>
      </c>
      <c r="P139" s="168">
        <f>COUNTIF(Berekening!N$79:N$80,'Overzicht pronostieken'!$E139)</f>
        <v>0</v>
      </c>
      <c r="Q139" s="168">
        <f>COUNTIF(Berekening!O$79:O$80,'Overzicht pronostieken'!$E139)</f>
        <v>0</v>
      </c>
      <c r="R139" s="168">
        <f>COUNTIF(Berekening!P$79:P$80,'Overzicht pronostieken'!$E139)</f>
        <v>0</v>
      </c>
      <c r="S139" s="168">
        <f>COUNTIF(Berekening!Q$79:Q$80,'Overzicht pronostieken'!$E139)</f>
        <v>0</v>
      </c>
      <c r="T139" s="168">
        <f>COUNTIF(Berekening!R$79:R$80,'Overzicht pronostieken'!$E139)</f>
        <v>0</v>
      </c>
      <c r="U139" s="168">
        <f>COUNTIF(Berekening!S$79:S$80,'Overzicht pronostieken'!$E139)</f>
        <v>0</v>
      </c>
      <c r="V139" s="168">
        <f>COUNTIF(Berekening!T$79:T$80,'Overzicht pronostieken'!$E139)</f>
        <v>0</v>
      </c>
      <c r="W139" s="168">
        <f>COUNTIF(Berekening!U$79:U$80,'Overzicht pronostieken'!$E139)</f>
        <v>0</v>
      </c>
      <c r="X139" s="168">
        <f>COUNTIF(Berekening!V$79:V$80,'Overzicht pronostieken'!$E139)</f>
        <v>0</v>
      </c>
      <c r="Y139" s="168">
        <f>COUNTIF(Berekening!W$79:W$80,'Overzicht pronostieken'!$E139)</f>
        <v>0</v>
      </c>
      <c r="Z139" s="168">
        <f>COUNTIF(Berekening!X$79:X$80,'Overzicht pronostieken'!$E139)</f>
        <v>0</v>
      </c>
      <c r="AA139" s="168">
        <f>COUNTIF(Berekening!Y$79:Y$80,'Overzicht pronostieken'!$E139)</f>
        <v>0</v>
      </c>
      <c r="AB139" s="168">
        <f>COUNTIF(Berekening!Z$79:Z$80,'Overzicht pronostieken'!$E139)</f>
        <v>0</v>
      </c>
      <c r="AC139" s="168">
        <f>COUNTIF(Berekening!AA$79:AA$80,'Overzicht pronostieken'!$E139)</f>
        <v>0</v>
      </c>
      <c r="AD139" s="168">
        <f>COUNTIF(Berekening!AB$79:AB$80,'Overzicht pronostieken'!$E139)</f>
        <v>0</v>
      </c>
      <c r="AE139" s="168">
        <f>COUNTIF(Berekening!AC$79:AC$80,'Overzicht pronostieken'!$E139)</f>
        <v>0</v>
      </c>
      <c r="AF139" s="168">
        <f>COUNTIF(Berekening!AD$79:AD$80,'Overzicht pronostieken'!$E139)</f>
        <v>0</v>
      </c>
      <c r="AG139" s="168">
        <f>COUNTIF(Berekening!AE$79:AE$80,'Overzicht pronostieken'!$E139)</f>
        <v>0</v>
      </c>
      <c r="AH139" s="168">
        <f>COUNTIF(Berekening!AF$79:AF$80,'Overzicht pronostieken'!$E139)</f>
        <v>0</v>
      </c>
      <c r="AI139" s="168">
        <f>COUNTIF(Berekening!AG$79:AG$80,'Overzicht pronostieken'!$E139)</f>
        <v>0</v>
      </c>
      <c r="AJ139" s="168">
        <f>COUNTIF(Berekening!AH$79:AH$80,'Overzicht pronostieken'!$E139)</f>
        <v>0</v>
      </c>
      <c r="AK139" s="168">
        <f>COUNTIF(Berekening!AI$79:AI$80,'Overzicht pronostieken'!$E139)</f>
        <v>0</v>
      </c>
      <c r="AL139" s="168">
        <f>COUNTIF(Berekening!AJ$79:AJ$80,'Overzicht pronostieken'!$E139)</f>
        <v>0</v>
      </c>
      <c r="AM139" s="168">
        <f>COUNTIF(Berekening!AK$79:AK$80,'Overzicht pronostieken'!$E139)</f>
        <v>0</v>
      </c>
      <c r="AN139" s="168">
        <f>COUNTIF(Berekening!AL$79:AL$80,'Overzicht pronostieken'!$E139)</f>
        <v>0</v>
      </c>
      <c r="AO139" s="168">
        <f>COUNTIF(Berekening!AM$79:AM$80,'Overzicht pronostieken'!$E139)</f>
        <v>0</v>
      </c>
      <c r="AP139" s="168">
        <f>COUNTIF(Berekening!AN$79:AN$80,'Overzicht pronostieken'!$E139)</f>
        <v>0</v>
      </c>
      <c r="AQ139" s="168">
        <f>COUNTIF(Berekening!AO$79:AO$80,'Overzicht pronostieken'!$E139)</f>
        <v>0</v>
      </c>
      <c r="AR139" s="168">
        <f>COUNTIF(Berekening!AP$79:AP$80,'Overzicht pronostieken'!$E139)</f>
        <v>0</v>
      </c>
      <c r="AS139" s="168">
        <f>COUNTIF(Berekening!AQ$79:AQ$80,'Overzicht pronostieken'!$E139)</f>
        <v>0</v>
      </c>
      <c r="AT139" s="168">
        <f>COUNTIF(Berekening!AR$79:AR$80,'Overzicht pronostieken'!$E139)</f>
        <v>0</v>
      </c>
      <c r="AU139" s="168">
        <f>COUNTIF(Berekening!AS$79:AS$80,'Overzicht pronostieken'!$E139)</f>
        <v>0</v>
      </c>
      <c r="AV139" s="168">
        <f>COUNTIF(Berekening!AT$79:AT$80,'Overzicht pronostieken'!$E139)</f>
        <v>0</v>
      </c>
    </row>
    <row r="140" spans="5:48">
      <c r="E140" s="161" t="s">
        <v>1755</v>
      </c>
      <c r="F140" s="161">
        <f t="shared" si="7"/>
        <v>0</v>
      </c>
      <c r="G140" s="168">
        <f>COUNTIF(Berekening!E$79:E$80,'Overzicht pronostieken'!$E140)</f>
        <v>0</v>
      </c>
      <c r="H140" s="168">
        <f>COUNTIF(Berekening!F$79:F$80,'Overzicht pronostieken'!$E140)</f>
        <v>0</v>
      </c>
      <c r="I140" s="168">
        <f>COUNTIF(Berekening!G$79:G$80,'Overzicht pronostieken'!$E140)</f>
        <v>0</v>
      </c>
      <c r="J140" s="168">
        <f>COUNTIF(Berekening!H$79:H$80,'Overzicht pronostieken'!$E140)</f>
        <v>0</v>
      </c>
      <c r="K140" s="168">
        <f>COUNTIF(Berekening!I$79:I$80,'Overzicht pronostieken'!$E140)</f>
        <v>0</v>
      </c>
      <c r="L140" s="168">
        <f>COUNTIF(Berekening!J$79:J$80,'Overzicht pronostieken'!$E140)</f>
        <v>0</v>
      </c>
      <c r="M140" s="168">
        <f>COUNTIF(Berekening!K$79:K$80,'Overzicht pronostieken'!$E140)</f>
        <v>0</v>
      </c>
      <c r="N140" s="168">
        <f>COUNTIF(Berekening!L$79:L$80,'Overzicht pronostieken'!$E140)</f>
        <v>0</v>
      </c>
      <c r="O140" s="168">
        <f>COUNTIF(Berekening!M$79:M$80,'Overzicht pronostieken'!$E140)</f>
        <v>0</v>
      </c>
      <c r="P140" s="168">
        <f>COUNTIF(Berekening!N$79:N$80,'Overzicht pronostieken'!$E140)</f>
        <v>0</v>
      </c>
      <c r="Q140" s="168">
        <f>COUNTIF(Berekening!O$79:O$80,'Overzicht pronostieken'!$E140)</f>
        <v>0</v>
      </c>
      <c r="R140" s="168">
        <f>COUNTIF(Berekening!P$79:P$80,'Overzicht pronostieken'!$E140)</f>
        <v>0</v>
      </c>
      <c r="S140" s="168">
        <f>COUNTIF(Berekening!Q$79:Q$80,'Overzicht pronostieken'!$E140)</f>
        <v>0</v>
      </c>
      <c r="T140" s="168">
        <f>COUNTIF(Berekening!R$79:R$80,'Overzicht pronostieken'!$E140)</f>
        <v>0</v>
      </c>
      <c r="U140" s="168">
        <f>COUNTIF(Berekening!S$79:S$80,'Overzicht pronostieken'!$E140)</f>
        <v>0</v>
      </c>
      <c r="V140" s="168">
        <f>COUNTIF(Berekening!T$79:T$80,'Overzicht pronostieken'!$E140)</f>
        <v>0</v>
      </c>
      <c r="W140" s="168">
        <f>COUNTIF(Berekening!U$79:U$80,'Overzicht pronostieken'!$E140)</f>
        <v>0</v>
      </c>
      <c r="X140" s="168">
        <f>COUNTIF(Berekening!V$79:V$80,'Overzicht pronostieken'!$E140)</f>
        <v>0</v>
      </c>
      <c r="Y140" s="168">
        <f>COUNTIF(Berekening!W$79:W$80,'Overzicht pronostieken'!$E140)</f>
        <v>0</v>
      </c>
      <c r="Z140" s="168">
        <f>COUNTIF(Berekening!X$79:X$80,'Overzicht pronostieken'!$E140)</f>
        <v>0</v>
      </c>
      <c r="AA140" s="168">
        <f>COUNTIF(Berekening!Y$79:Y$80,'Overzicht pronostieken'!$E140)</f>
        <v>0</v>
      </c>
      <c r="AB140" s="168">
        <f>COUNTIF(Berekening!Z$79:Z$80,'Overzicht pronostieken'!$E140)</f>
        <v>0</v>
      </c>
      <c r="AC140" s="168">
        <f>COUNTIF(Berekening!AA$79:AA$80,'Overzicht pronostieken'!$E140)</f>
        <v>0</v>
      </c>
      <c r="AD140" s="168">
        <f>COUNTIF(Berekening!AB$79:AB$80,'Overzicht pronostieken'!$E140)</f>
        <v>0</v>
      </c>
      <c r="AE140" s="168">
        <f>COUNTIF(Berekening!AC$79:AC$80,'Overzicht pronostieken'!$E140)</f>
        <v>0</v>
      </c>
      <c r="AF140" s="168">
        <f>COUNTIF(Berekening!AD$79:AD$80,'Overzicht pronostieken'!$E140)</f>
        <v>0</v>
      </c>
      <c r="AG140" s="168">
        <f>COUNTIF(Berekening!AE$79:AE$80,'Overzicht pronostieken'!$E140)</f>
        <v>0</v>
      </c>
      <c r="AH140" s="168">
        <f>COUNTIF(Berekening!AF$79:AF$80,'Overzicht pronostieken'!$E140)</f>
        <v>0</v>
      </c>
      <c r="AI140" s="168">
        <f>COUNTIF(Berekening!AG$79:AG$80,'Overzicht pronostieken'!$E140)</f>
        <v>0</v>
      </c>
      <c r="AJ140" s="168">
        <f>COUNTIF(Berekening!AH$79:AH$80,'Overzicht pronostieken'!$E140)</f>
        <v>0</v>
      </c>
      <c r="AK140" s="168">
        <f>COUNTIF(Berekening!AI$79:AI$80,'Overzicht pronostieken'!$E140)</f>
        <v>0</v>
      </c>
      <c r="AL140" s="168">
        <f>COUNTIF(Berekening!AJ$79:AJ$80,'Overzicht pronostieken'!$E140)</f>
        <v>0</v>
      </c>
      <c r="AM140" s="168">
        <f>COUNTIF(Berekening!AK$79:AK$80,'Overzicht pronostieken'!$E140)</f>
        <v>0</v>
      </c>
      <c r="AN140" s="168">
        <f>COUNTIF(Berekening!AL$79:AL$80,'Overzicht pronostieken'!$E140)</f>
        <v>0</v>
      </c>
      <c r="AO140" s="168">
        <f>COUNTIF(Berekening!AM$79:AM$80,'Overzicht pronostieken'!$E140)</f>
        <v>0</v>
      </c>
      <c r="AP140" s="168">
        <f>COUNTIF(Berekening!AN$79:AN$80,'Overzicht pronostieken'!$E140)</f>
        <v>0</v>
      </c>
      <c r="AQ140" s="168">
        <f>COUNTIF(Berekening!AO$79:AO$80,'Overzicht pronostieken'!$E140)</f>
        <v>0</v>
      </c>
      <c r="AR140" s="168">
        <f>COUNTIF(Berekening!AP$79:AP$80,'Overzicht pronostieken'!$E140)</f>
        <v>0</v>
      </c>
      <c r="AS140" s="168">
        <f>COUNTIF(Berekening!AQ$79:AQ$80,'Overzicht pronostieken'!$E140)</f>
        <v>0</v>
      </c>
      <c r="AT140" s="168">
        <f>COUNTIF(Berekening!AR$79:AR$80,'Overzicht pronostieken'!$E140)</f>
        <v>0</v>
      </c>
      <c r="AU140" s="168">
        <f>COUNTIF(Berekening!AS$79:AS$80,'Overzicht pronostieken'!$E140)</f>
        <v>0</v>
      </c>
      <c r="AV140" s="168">
        <f>COUNTIF(Berekening!AT$79:AT$80,'Overzicht pronostieken'!$E140)</f>
        <v>0</v>
      </c>
    </row>
    <row r="141" spans="5:48">
      <c r="E141" s="161" t="s">
        <v>1889</v>
      </c>
      <c r="F141" s="161">
        <f t="shared" si="7"/>
        <v>2</v>
      </c>
      <c r="G141" s="168">
        <f>COUNTIF(Berekening!E$79:E$80,'Overzicht pronostieken'!$E141)</f>
        <v>0</v>
      </c>
      <c r="H141" s="168">
        <f>COUNTIF(Berekening!F$79:F$80,'Overzicht pronostieken'!$E141)</f>
        <v>0</v>
      </c>
      <c r="I141" s="168">
        <f>COUNTIF(Berekening!G$79:G$80,'Overzicht pronostieken'!$E141)</f>
        <v>0</v>
      </c>
      <c r="J141" s="168">
        <f>COUNTIF(Berekening!H$79:H$80,'Overzicht pronostieken'!$E141)</f>
        <v>0</v>
      </c>
      <c r="K141" s="168">
        <f>COUNTIF(Berekening!I$79:I$80,'Overzicht pronostieken'!$E141)</f>
        <v>0</v>
      </c>
      <c r="L141" s="168">
        <f>COUNTIF(Berekening!J$79:J$80,'Overzicht pronostieken'!$E141)</f>
        <v>0</v>
      </c>
      <c r="M141" s="168">
        <f>COUNTIF(Berekening!K$79:K$80,'Overzicht pronostieken'!$E141)</f>
        <v>0</v>
      </c>
      <c r="N141" s="168">
        <f>COUNTIF(Berekening!L$79:L$80,'Overzicht pronostieken'!$E141)</f>
        <v>0</v>
      </c>
      <c r="O141" s="168">
        <f>COUNTIF(Berekening!M$79:M$80,'Overzicht pronostieken'!$E141)</f>
        <v>0</v>
      </c>
      <c r="P141" s="168">
        <f>COUNTIF(Berekening!N$79:N$80,'Overzicht pronostieken'!$E141)</f>
        <v>0</v>
      </c>
      <c r="Q141" s="168">
        <f>COUNTIF(Berekening!O$79:O$80,'Overzicht pronostieken'!$E141)</f>
        <v>1</v>
      </c>
      <c r="R141" s="168">
        <f>COUNTIF(Berekening!P$79:P$80,'Overzicht pronostieken'!$E141)</f>
        <v>0</v>
      </c>
      <c r="S141" s="168">
        <f>COUNTIF(Berekening!Q$79:Q$80,'Overzicht pronostieken'!$E141)</f>
        <v>0</v>
      </c>
      <c r="T141" s="168">
        <f>COUNTIF(Berekening!R$79:R$80,'Overzicht pronostieken'!$E141)</f>
        <v>1</v>
      </c>
      <c r="U141" s="168">
        <f>COUNTIF(Berekening!S$79:S$80,'Overzicht pronostieken'!$E141)</f>
        <v>0</v>
      </c>
      <c r="V141" s="168">
        <f>COUNTIF(Berekening!T$79:T$80,'Overzicht pronostieken'!$E141)</f>
        <v>0</v>
      </c>
      <c r="W141" s="168">
        <f>COUNTIF(Berekening!U$79:U$80,'Overzicht pronostieken'!$E141)</f>
        <v>0</v>
      </c>
      <c r="X141" s="168">
        <f>COUNTIF(Berekening!V$79:V$80,'Overzicht pronostieken'!$E141)</f>
        <v>0</v>
      </c>
      <c r="Y141" s="168">
        <f>COUNTIF(Berekening!W$79:W$80,'Overzicht pronostieken'!$E141)</f>
        <v>0</v>
      </c>
      <c r="Z141" s="168">
        <f>COUNTIF(Berekening!X$79:X$80,'Overzicht pronostieken'!$E141)</f>
        <v>0</v>
      </c>
      <c r="AA141" s="168">
        <f>COUNTIF(Berekening!Y$79:Y$80,'Overzicht pronostieken'!$E141)</f>
        <v>0</v>
      </c>
      <c r="AB141" s="168">
        <f>COUNTIF(Berekening!Z$79:Z$80,'Overzicht pronostieken'!$E141)</f>
        <v>0</v>
      </c>
      <c r="AC141" s="168">
        <f>COUNTIF(Berekening!AA$79:AA$80,'Overzicht pronostieken'!$E141)</f>
        <v>0</v>
      </c>
      <c r="AD141" s="168">
        <f>COUNTIF(Berekening!AB$79:AB$80,'Overzicht pronostieken'!$E141)</f>
        <v>0</v>
      </c>
      <c r="AE141" s="168">
        <f>COUNTIF(Berekening!AC$79:AC$80,'Overzicht pronostieken'!$E141)</f>
        <v>0</v>
      </c>
      <c r="AF141" s="168">
        <f>COUNTIF(Berekening!AD$79:AD$80,'Overzicht pronostieken'!$E141)</f>
        <v>0</v>
      </c>
      <c r="AG141" s="168">
        <f>COUNTIF(Berekening!AE$79:AE$80,'Overzicht pronostieken'!$E141)</f>
        <v>0</v>
      </c>
      <c r="AH141" s="168">
        <f>COUNTIF(Berekening!AF$79:AF$80,'Overzicht pronostieken'!$E141)</f>
        <v>0</v>
      </c>
      <c r="AI141" s="168">
        <f>COUNTIF(Berekening!AG$79:AG$80,'Overzicht pronostieken'!$E141)</f>
        <v>0</v>
      </c>
      <c r="AJ141" s="168">
        <f>COUNTIF(Berekening!AH$79:AH$80,'Overzicht pronostieken'!$E141)</f>
        <v>0</v>
      </c>
      <c r="AK141" s="168">
        <f>COUNTIF(Berekening!AI$79:AI$80,'Overzicht pronostieken'!$E141)</f>
        <v>0</v>
      </c>
      <c r="AL141" s="168">
        <f>COUNTIF(Berekening!AJ$79:AJ$80,'Overzicht pronostieken'!$E141)</f>
        <v>0</v>
      </c>
      <c r="AM141" s="168">
        <f>COUNTIF(Berekening!AK$79:AK$80,'Overzicht pronostieken'!$E141)</f>
        <v>0</v>
      </c>
      <c r="AN141" s="168">
        <f>COUNTIF(Berekening!AL$79:AL$80,'Overzicht pronostieken'!$E141)</f>
        <v>0</v>
      </c>
      <c r="AO141" s="168">
        <f>COUNTIF(Berekening!AM$79:AM$80,'Overzicht pronostieken'!$E141)</f>
        <v>0</v>
      </c>
      <c r="AP141" s="168">
        <f>COUNTIF(Berekening!AN$79:AN$80,'Overzicht pronostieken'!$E141)</f>
        <v>0</v>
      </c>
      <c r="AQ141" s="168">
        <f>COUNTIF(Berekening!AO$79:AO$80,'Overzicht pronostieken'!$E141)</f>
        <v>0</v>
      </c>
      <c r="AR141" s="168">
        <f>COUNTIF(Berekening!AP$79:AP$80,'Overzicht pronostieken'!$E141)</f>
        <v>0</v>
      </c>
      <c r="AS141" s="168">
        <f>COUNTIF(Berekening!AQ$79:AQ$80,'Overzicht pronostieken'!$E141)</f>
        <v>0</v>
      </c>
      <c r="AT141" s="168">
        <f>COUNTIF(Berekening!AR$79:AR$80,'Overzicht pronostieken'!$E141)</f>
        <v>0</v>
      </c>
      <c r="AU141" s="168">
        <f>COUNTIF(Berekening!AS$79:AS$80,'Overzicht pronostieken'!$E141)</f>
        <v>0</v>
      </c>
      <c r="AV141" s="168">
        <f>COUNTIF(Berekening!AT$79:AT$80,'Overzicht pronostieken'!$E141)</f>
        <v>0</v>
      </c>
    </row>
    <row r="142" spans="5:48">
      <c r="E142" s="161" t="s">
        <v>1235</v>
      </c>
      <c r="F142" s="161">
        <f t="shared" si="7"/>
        <v>0</v>
      </c>
      <c r="G142" s="168">
        <f>COUNTIF(Berekening!E$79:E$80,'Overzicht pronostieken'!$E142)</f>
        <v>0</v>
      </c>
      <c r="H142" s="168">
        <f>COUNTIF(Berekening!F$79:F$80,'Overzicht pronostieken'!$E142)</f>
        <v>0</v>
      </c>
      <c r="I142" s="168">
        <f>COUNTIF(Berekening!G$79:G$80,'Overzicht pronostieken'!$E142)</f>
        <v>0</v>
      </c>
      <c r="J142" s="168">
        <f>COUNTIF(Berekening!H$79:H$80,'Overzicht pronostieken'!$E142)</f>
        <v>0</v>
      </c>
      <c r="K142" s="168">
        <f>COUNTIF(Berekening!I$79:I$80,'Overzicht pronostieken'!$E142)</f>
        <v>0</v>
      </c>
      <c r="L142" s="168">
        <f>COUNTIF(Berekening!J$79:J$80,'Overzicht pronostieken'!$E142)</f>
        <v>0</v>
      </c>
      <c r="M142" s="168">
        <f>COUNTIF(Berekening!K$79:K$80,'Overzicht pronostieken'!$E142)</f>
        <v>0</v>
      </c>
      <c r="N142" s="168">
        <f>COUNTIF(Berekening!L$79:L$80,'Overzicht pronostieken'!$E142)</f>
        <v>0</v>
      </c>
      <c r="O142" s="168">
        <f>COUNTIF(Berekening!M$79:M$80,'Overzicht pronostieken'!$E142)</f>
        <v>0</v>
      </c>
      <c r="P142" s="168">
        <f>COUNTIF(Berekening!N$79:N$80,'Overzicht pronostieken'!$E142)</f>
        <v>0</v>
      </c>
      <c r="Q142" s="168">
        <f>COUNTIF(Berekening!O$79:O$80,'Overzicht pronostieken'!$E142)</f>
        <v>0</v>
      </c>
      <c r="R142" s="168">
        <f>COUNTIF(Berekening!P$79:P$80,'Overzicht pronostieken'!$E142)</f>
        <v>0</v>
      </c>
      <c r="S142" s="168">
        <f>COUNTIF(Berekening!Q$79:Q$80,'Overzicht pronostieken'!$E142)</f>
        <v>0</v>
      </c>
      <c r="T142" s="168">
        <f>COUNTIF(Berekening!R$79:R$80,'Overzicht pronostieken'!$E142)</f>
        <v>0</v>
      </c>
      <c r="U142" s="168">
        <f>COUNTIF(Berekening!S$79:S$80,'Overzicht pronostieken'!$E142)</f>
        <v>0</v>
      </c>
      <c r="V142" s="168">
        <f>COUNTIF(Berekening!T$79:T$80,'Overzicht pronostieken'!$E142)</f>
        <v>0</v>
      </c>
      <c r="W142" s="168">
        <f>COUNTIF(Berekening!U$79:U$80,'Overzicht pronostieken'!$E142)</f>
        <v>0</v>
      </c>
      <c r="X142" s="168">
        <f>COUNTIF(Berekening!V$79:V$80,'Overzicht pronostieken'!$E142)</f>
        <v>0</v>
      </c>
      <c r="Y142" s="168">
        <f>COUNTIF(Berekening!W$79:W$80,'Overzicht pronostieken'!$E142)</f>
        <v>0</v>
      </c>
      <c r="Z142" s="168">
        <f>COUNTIF(Berekening!X$79:X$80,'Overzicht pronostieken'!$E142)</f>
        <v>0</v>
      </c>
      <c r="AA142" s="168">
        <f>COUNTIF(Berekening!Y$79:Y$80,'Overzicht pronostieken'!$E142)</f>
        <v>0</v>
      </c>
      <c r="AB142" s="168">
        <f>COUNTIF(Berekening!Z$79:Z$80,'Overzicht pronostieken'!$E142)</f>
        <v>0</v>
      </c>
      <c r="AC142" s="168">
        <f>COUNTIF(Berekening!AA$79:AA$80,'Overzicht pronostieken'!$E142)</f>
        <v>0</v>
      </c>
      <c r="AD142" s="168">
        <f>COUNTIF(Berekening!AB$79:AB$80,'Overzicht pronostieken'!$E142)</f>
        <v>0</v>
      </c>
      <c r="AE142" s="168">
        <f>COUNTIF(Berekening!AC$79:AC$80,'Overzicht pronostieken'!$E142)</f>
        <v>0</v>
      </c>
      <c r="AF142" s="168">
        <f>COUNTIF(Berekening!AD$79:AD$80,'Overzicht pronostieken'!$E142)</f>
        <v>0</v>
      </c>
      <c r="AG142" s="168">
        <f>COUNTIF(Berekening!AE$79:AE$80,'Overzicht pronostieken'!$E142)</f>
        <v>0</v>
      </c>
      <c r="AH142" s="168">
        <f>COUNTIF(Berekening!AF$79:AF$80,'Overzicht pronostieken'!$E142)</f>
        <v>0</v>
      </c>
      <c r="AI142" s="168">
        <f>COUNTIF(Berekening!AG$79:AG$80,'Overzicht pronostieken'!$E142)</f>
        <v>0</v>
      </c>
      <c r="AJ142" s="168">
        <f>COUNTIF(Berekening!AH$79:AH$80,'Overzicht pronostieken'!$E142)</f>
        <v>0</v>
      </c>
      <c r="AK142" s="168">
        <f>COUNTIF(Berekening!AI$79:AI$80,'Overzicht pronostieken'!$E142)</f>
        <v>0</v>
      </c>
      <c r="AL142" s="168">
        <f>COUNTIF(Berekening!AJ$79:AJ$80,'Overzicht pronostieken'!$E142)</f>
        <v>0</v>
      </c>
      <c r="AM142" s="168">
        <f>COUNTIF(Berekening!AK$79:AK$80,'Overzicht pronostieken'!$E142)</f>
        <v>0</v>
      </c>
      <c r="AN142" s="168">
        <f>COUNTIF(Berekening!AL$79:AL$80,'Overzicht pronostieken'!$E142)</f>
        <v>0</v>
      </c>
      <c r="AO142" s="168">
        <f>COUNTIF(Berekening!AM$79:AM$80,'Overzicht pronostieken'!$E142)</f>
        <v>0</v>
      </c>
      <c r="AP142" s="168">
        <f>COUNTIF(Berekening!AN$79:AN$80,'Overzicht pronostieken'!$E142)</f>
        <v>0</v>
      </c>
      <c r="AQ142" s="168">
        <f>COUNTIF(Berekening!AO$79:AO$80,'Overzicht pronostieken'!$E142)</f>
        <v>0</v>
      </c>
      <c r="AR142" s="168">
        <f>COUNTIF(Berekening!AP$79:AP$80,'Overzicht pronostieken'!$E142)</f>
        <v>0</v>
      </c>
      <c r="AS142" s="168">
        <f>COUNTIF(Berekening!AQ$79:AQ$80,'Overzicht pronostieken'!$E142)</f>
        <v>0</v>
      </c>
      <c r="AT142" s="168">
        <f>COUNTIF(Berekening!AR$79:AR$80,'Overzicht pronostieken'!$E142)</f>
        <v>0</v>
      </c>
      <c r="AU142" s="168">
        <f>COUNTIF(Berekening!AS$79:AS$80,'Overzicht pronostieken'!$E142)</f>
        <v>0</v>
      </c>
      <c r="AV142" s="168">
        <f>COUNTIF(Berekening!AT$79:AT$80,'Overzicht pronostieken'!$E142)</f>
        <v>0</v>
      </c>
    </row>
    <row r="143" spans="5:48">
      <c r="E143" s="161" t="s">
        <v>1043</v>
      </c>
      <c r="F143" s="161">
        <f t="shared" si="7"/>
        <v>0</v>
      </c>
      <c r="G143" s="168">
        <f>COUNTIF(Berekening!E$79:E$80,'Overzicht pronostieken'!$E143)</f>
        <v>0</v>
      </c>
      <c r="H143" s="168">
        <f>COUNTIF(Berekening!F$79:F$80,'Overzicht pronostieken'!$E143)</f>
        <v>0</v>
      </c>
      <c r="I143" s="168">
        <f>COUNTIF(Berekening!G$79:G$80,'Overzicht pronostieken'!$E143)</f>
        <v>0</v>
      </c>
      <c r="J143" s="168">
        <f>COUNTIF(Berekening!H$79:H$80,'Overzicht pronostieken'!$E143)</f>
        <v>0</v>
      </c>
      <c r="K143" s="168">
        <f>COUNTIF(Berekening!I$79:I$80,'Overzicht pronostieken'!$E143)</f>
        <v>0</v>
      </c>
      <c r="L143" s="168">
        <f>COUNTIF(Berekening!J$79:J$80,'Overzicht pronostieken'!$E143)</f>
        <v>0</v>
      </c>
      <c r="M143" s="168">
        <f>COUNTIF(Berekening!K$79:K$80,'Overzicht pronostieken'!$E143)</f>
        <v>0</v>
      </c>
      <c r="N143" s="168">
        <f>COUNTIF(Berekening!L$79:L$80,'Overzicht pronostieken'!$E143)</f>
        <v>0</v>
      </c>
      <c r="O143" s="168">
        <f>COUNTIF(Berekening!M$79:M$80,'Overzicht pronostieken'!$E143)</f>
        <v>0</v>
      </c>
      <c r="P143" s="168">
        <f>COUNTIF(Berekening!N$79:N$80,'Overzicht pronostieken'!$E143)</f>
        <v>0</v>
      </c>
      <c r="Q143" s="168">
        <f>COUNTIF(Berekening!O$79:O$80,'Overzicht pronostieken'!$E143)</f>
        <v>0</v>
      </c>
      <c r="R143" s="168">
        <f>COUNTIF(Berekening!P$79:P$80,'Overzicht pronostieken'!$E143)</f>
        <v>0</v>
      </c>
      <c r="S143" s="168">
        <f>COUNTIF(Berekening!Q$79:Q$80,'Overzicht pronostieken'!$E143)</f>
        <v>0</v>
      </c>
      <c r="T143" s="168">
        <f>COUNTIF(Berekening!R$79:R$80,'Overzicht pronostieken'!$E143)</f>
        <v>0</v>
      </c>
      <c r="U143" s="168">
        <f>COUNTIF(Berekening!S$79:S$80,'Overzicht pronostieken'!$E143)</f>
        <v>0</v>
      </c>
      <c r="V143" s="168">
        <f>COUNTIF(Berekening!T$79:T$80,'Overzicht pronostieken'!$E143)</f>
        <v>0</v>
      </c>
      <c r="W143" s="168">
        <f>COUNTIF(Berekening!U$79:U$80,'Overzicht pronostieken'!$E143)</f>
        <v>0</v>
      </c>
      <c r="X143" s="168">
        <f>COUNTIF(Berekening!V$79:V$80,'Overzicht pronostieken'!$E143)</f>
        <v>0</v>
      </c>
      <c r="Y143" s="168">
        <f>COUNTIF(Berekening!W$79:W$80,'Overzicht pronostieken'!$E143)</f>
        <v>0</v>
      </c>
      <c r="Z143" s="168">
        <f>COUNTIF(Berekening!X$79:X$80,'Overzicht pronostieken'!$E143)</f>
        <v>0</v>
      </c>
      <c r="AA143" s="168">
        <f>COUNTIF(Berekening!Y$79:Y$80,'Overzicht pronostieken'!$E143)</f>
        <v>0</v>
      </c>
      <c r="AB143" s="168">
        <f>COUNTIF(Berekening!Z$79:Z$80,'Overzicht pronostieken'!$E143)</f>
        <v>0</v>
      </c>
      <c r="AC143" s="168">
        <f>COUNTIF(Berekening!AA$79:AA$80,'Overzicht pronostieken'!$E143)</f>
        <v>0</v>
      </c>
      <c r="AD143" s="168">
        <f>COUNTIF(Berekening!AB$79:AB$80,'Overzicht pronostieken'!$E143)</f>
        <v>0</v>
      </c>
      <c r="AE143" s="168">
        <f>COUNTIF(Berekening!AC$79:AC$80,'Overzicht pronostieken'!$E143)</f>
        <v>0</v>
      </c>
      <c r="AF143" s="168">
        <f>COUNTIF(Berekening!AD$79:AD$80,'Overzicht pronostieken'!$E143)</f>
        <v>0</v>
      </c>
      <c r="AG143" s="168">
        <f>COUNTIF(Berekening!AE$79:AE$80,'Overzicht pronostieken'!$E143)</f>
        <v>0</v>
      </c>
      <c r="AH143" s="168">
        <f>COUNTIF(Berekening!AF$79:AF$80,'Overzicht pronostieken'!$E143)</f>
        <v>0</v>
      </c>
      <c r="AI143" s="168">
        <f>COUNTIF(Berekening!AG$79:AG$80,'Overzicht pronostieken'!$E143)</f>
        <v>0</v>
      </c>
      <c r="AJ143" s="168">
        <f>COUNTIF(Berekening!AH$79:AH$80,'Overzicht pronostieken'!$E143)</f>
        <v>0</v>
      </c>
      <c r="AK143" s="168">
        <f>COUNTIF(Berekening!AI$79:AI$80,'Overzicht pronostieken'!$E143)</f>
        <v>0</v>
      </c>
      <c r="AL143" s="168">
        <f>COUNTIF(Berekening!AJ$79:AJ$80,'Overzicht pronostieken'!$E143)</f>
        <v>0</v>
      </c>
      <c r="AM143" s="168">
        <f>COUNTIF(Berekening!AK$79:AK$80,'Overzicht pronostieken'!$E143)</f>
        <v>0</v>
      </c>
      <c r="AN143" s="168">
        <f>COUNTIF(Berekening!AL$79:AL$80,'Overzicht pronostieken'!$E143)</f>
        <v>0</v>
      </c>
      <c r="AO143" s="168">
        <f>COUNTIF(Berekening!AM$79:AM$80,'Overzicht pronostieken'!$E143)</f>
        <v>0</v>
      </c>
      <c r="AP143" s="168">
        <f>COUNTIF(Berekening!AN$79:AN$80,'Overzicht pronostieken'!$E143)</f>
        <v>0</v>
      </c>
      <c r="AQ143" s="168">
        <f>COUNTIF(Berekening!AO$79:AO$80,'Overzicht pronostieken'!$E143)</f>
        <v>0</v>
      </c>
      <c r="AR143" s="168">
        <f>COUNTIF(Berekening!AP$79:AP$80,'Overzicht pronostieken'!$E143)</f>
        <v>0</v>
      </c>
      <c r="AS143" s="168">
        <f>COUNTIF(Berekening!AQ$79:AQ$80,'Overzicht pronostieken'!$E143)</f>
        <v>0</v>
      </c>
      <c r="AT143" s="168">
        <f>COUNTIF(Berekening!AR$79:AR$80,'Overzicht pronostieken'!$E143)</f>
        <v>0</v>
      </c>
      <c r="AU143" s="168">
        <f>COUNTIF(Berekening!AS$79:AS$80,'Overzicht pronostieken'!$E143)</f>
        <v>0</v>
      </c>
      <c r="AV143" s="168">
        <f>COUNTIF(Berekening!AT$79:AT$80,'Overzicht pronostieken'!$E143)</f>
        <v>0</v>
      </c>
    </row>
    <row r="144" spans="5:48">
      <c r="E144" s="161" t="s">
        <v>1433</v>
      </c>
      <c r="F144" s="161">
        <f t="shared" si="7"/>
        <v>0</v>
      </c>
      <c r="G144" s="168">
        <f>COUNTIF(Berekening!E$79:E$80,'Overzicht pronostieken'!$E144)</f>
        <v>0</v>
      </c>
      <c r="H144" s="168">
        <f>COUNTIF(Berekening!F$79:F$80,'Overzicht pronostieken'!$E144)</f>
        <v>0</v>
      </c>
      <c r="I144" s="168">
        <f>COUNTIF(Berekening!G$79:G$80,'Overzicht pronostieken'!$E144)</f>
        <v>0</v>
      </c>
      <c r="J144" s="168">
        <f>COUNTIF(Berekening!H$79:H$80,'Overzicht pronostieken'!$E144)</f>
        <v>0</v>
      </c>
      <c r="K144" s="168">
        <f>COUNTIF(Berekening!I$79:I$80,'Overzicht pronostieken'!$E144)</f>
        <v>0</v>
      </c>
      <c r="L144" s="168">
        <f>COUNTIF(Berekening!J$79:J$80,'Overzicht pronostieken'!$E144)</f>
        <v>0</v>
      </c>
      <c r="M144" s="168">
        <f>COUNTIF(Berekening!K$79:K$80,'Overzicht pronostieken'!$E144)</f>
        <v>0</v>
      </c>
      <c r="N144" s="168">
        <f>COUNTIF(Berekening!L$79:L$80,'Overzicht pronostieken'!$E144)</f>
        <v>0</v>
      </c>
      <c r="O144" s="168">
        <f>COUNTIF(Berekening!M$79:M$80,'Overzicht pronostieken'!$E144)</f>
        <v>0</v>
      </c>
      <c r="P144" s="168">
        <f>COUNTIF(Berekening!N$79:N$80,'Overzicht pronostieken'!$E144)</f>
        <v>0</v>
      </c>
      <c r="Q144" s="168">
        <f>COUNTIF(Berekening!O$79:O$80,'Overzicht pronostieken'!$E144)</f>
        <v>0</v>
      </c>
      <c r="R144" s="168">
        <f>COUNTIF(Berekening!P$79:P$80,'Overzicht pronostieken'!$E144)</f>
        <v>0</v>
      </c>
      <c r="S144" s="168">
        <f>COUNTIF(Berekening!Q$79:Q$80,'Overzicht pronostieken'!$E144)</f>
        <v>0</v>
      </c>
      <c r="T144" s="168">
        <f>COUNTIF(Berekening!R$79:R$80,'Overzicht pronostieken'!$E144)</f>
        <v>0</v>
      </c>
      <c r="U144" s="168">
        <f>COUNTIF(Berekening!S$79:S$80,'Overzicht pronostieken'!$E144)</f>
        <v>0</v>
      </c>
      <c r="V144" s="168">
        <f>COUNTIF(Berekening!T$79:T$80,'Overzicht pronostieken'!$E144)</f>
        <v>0</v>
      </c>
      <c r="W144" s="168">
        <f>COUNTIF(Berekening!U$79:U$80,'Overzicht pronostieken'!$E144)</f>
        <v>0</v>
      </c>
      <c r="X144" s="168">
        <f>COUNTIF(Berekening!V$79:V$80,'Overzicht pronostieken'!$E144)</f>
        <v>0</v>
      </c>
      <c r="Y144" s="168">
        <f>COUNTIF(Berekening!W$79:W$80,'Overzicht pronostieken'!$E144)</f>
        <v>0</v>
      </c>
      <c r="Z144" s="168">
        <f>COUNTIF(Berekening!X$79:X$80,'Overzicht pronostieken'!$E144)</f>
        <v>0</v>
      </c>
      <c r="AA144" s="168">
        <f>COUNTIF(Berekening!Y$79:Y$80,'Overzicht pronostieken'!$E144)</f>
        <v>0</v>
      </c>
      <c r="AB144" s="168">
        <f>COUNTIF(Berekening!Z$79:Z$80,'Overzicht pronostieken'!$E144)</f>
        <v>0</v>
      </c>
      <c r="AC144" s="168">
        <f>COUNTIF(Berekening!AA$79:AA$80,'Overzicht pronostieken'!$E144)</f>
        <v>0</v>
      </c>
      <c r="AD144" s="168">
        <f>COUNTIF(Berekening!AB$79:AB$80,'Overzicht pronostieken'!$E144)</f>
        <v>0</v>
      </c>
      <c r="AE144" s="168">
        <f>COUNTIF(Berekening!AC$79:AC$80,'Overzicht pronostieken'!$E144)</f>
        <v>0</v>
      </c>
      <c r="AF144" s="168">
        <f>COUNTIF(Berekening!AD$79:AD$80,'Overzicht pronostieken'!$E144)</f>
        <v>0</v>
      </c>
      <c r="AG144" s="168">
        <f>COUNTIF(Berekening!AE$79:AE$80,'Overzicht pronostieken'!$E144)</f>
        <v>0</v>
      </c>
      <c r="AH144" s="168">
        <f>COUNTIF(Berekening!AF$79:AF$80,'Overzicht pronostieken'!$E144)</f>
        <v>0</v>
      </c>
      <c r="AI144" s="168">
        <f>COUNTIF(Berekening!AG$79:AG$80,'Overzicht pronostieken'!$E144)</f>
        <v>0</v>
      </c>
      <c r="AJ144" s="168">
        <f>COUNTIF(Berekening!AH$79:AH$80,'Overzicht pronostieken'!$E144)</f>
        <v>0</v>
      </c>
      <c r="AK144" s="168">
        <f>COUNTIF(Berekening!AI$79:AI$80,'Overzicht pronostieken'!$E144)</f>
        <v>0</v>
      </c>
      <c r="AL144" s="168">
        <f>COUNTIF(Berekening!AJ$79:AJ$80,'Overzicht pronostieken'!$E144)</f>
        <v>0</v>
      </c>
      <c r="AM144" s="168">
        <f>COUNTIF(Berekening!AK$79:AK$80,'Overzicht pronostieken'!$E144)</f>
        <v>0</v>
      </c>
      <c r="AN144" s="168">
        <f>COUNTIF(Berekening!AL$79:AL$80,'Overzicht pronostieken'!$E144)</f>
        <v>0</v>
      </c>
      <c r="AO144" s="168">
        <f>COUNTIF(Berekening!AM$79:AM$80,'Overzicht pronostieken'!$E144)</f>
        <v>0</v>
      </c>
      <c r="AP144" s="168">
        <f>COUNTIF(Berekening!AN$79:AN$80,'Overzicht pronostieken'!$E144)</f>
        <v>0</v>
      </c>
      <c r="AQ144" s="168">
        <f>COUNTIF(Berekening!AO$79:AO$80,'Overzicht pronostieken'!$E144)</f>
        <v>0</v>
      </c>
      <c r="AR144" s="168">
        <f>COUNTIF(Berekening!AP$79:AP$80,'Overzicht pronostieken'!$E144)</f>
        <v>0</v>
      </c>
      <c r="AS144" s="168">
        <f>COUNTIF(Berekening!AQ$79:AQ$80,'Overzicht pronostieken'!$E144)</f>
        <v>0</v>
      </c>
      <c r="AT144" s="168">
        <f>COUNTIF(Berekening!AR$79:AR$80,'Overzicht pronostieken'!$E144)</f>
        <v>0</v>
      </c>
      <c r="AU144" s="168">
        <f>COUNTIF(Berekening!AS$79:AS$80,'Overzicht pronostieken'!$E144)</f>
        <v>0</v>
      </c>
      <c r="AV144" s="168">
        <f>COUNTIF(Berekening!AT$79:AT$80,'Overzicht pronostieken'!$E144)</f>
        <v>0</v>
      </c>
    </row>
    <row r="145" spans="3:48">
      <c r="E145" s="161" t="s">
        <v>1132</v>
      </c>
      <c r="F145" s="161">
        <f t="shared" si="7"/>
        <v>7</v>
      </c>
      <c r="G145" s="168">
        <f>COUNTIF(Berekening!E$79:E$80,'Overzicht pronostieken'!$E145)</f>
        <v>1</v>
      </c>
      <c r="H145" s="168">
        <f>COUNTIF(Berekening!F$79:F$80,'Overzicht pronostieken'!$E145)</f>
        <v>1</v>
      </c>
      <c r="I145" s="168">
        <f>COUNTIF(Berekening!G$79:G$80,'Overzicht pronostieken'!$E145)</f>
        <v>0</v>
      </c>
      <c r="J145" s="168">
        <f>COUNTIF(Berekening!H$79:H$80,'Overzicht pronostieken'!$E145)</f>
        <v>0</v>
      </c>
      <c r="K145" s="168">
        <f>COUNTIF(Berekening!I$79:I$80,'Overzicht pronostieken'!$E145)</f>
        <v>0</v>
      </c>
      <c r="L145" s="168">
        <f>COUNTIF(Berekening!J$79:J$80,'Overzicht pronostieken'!$E145)</f>
        <v>1</v>
      </c>
      <c r="M145" s="168">
        <f>COUNTIF(Berekening!K$79:K$80,'Overzicht pronostieken'!$E145)</f>
        <v>1</v>
      </c>
      <c r="N145" s="168">
        <f>COUNTIF(Berekening!L$79:L$80,'Overzicht pronostieken'!$E145)</f>
        <v>1</v>
      </c>
      <c r="O145" s="168">
        <f>COUNTIF(Berekening!M$79:M$80,'Overzicht pronostieken'!$E145)</f>
        <v>0</v>
      </c>
      <c r="P145" s="168">
        <f>COUNTIF(Berekening!N$79:N$80,'Overzicht pronostieken'!$E145)</f>
        <v>1</v>
      </c>
      <c r="Q145" s="168">
        <f>COUNTIF(Berekening!O$79:O$80,'Overzicht pronostieken'!$E145)</f>
        <v>0</v>
      </c>
      <c r="R145" s="168">
        <f>COUNTIF(Berekening!P$79:P$80,'Overzicht pronostieken'!$E145)</f>
        <v>0</v>
      </c>
      <c r="S145" s="168">
        <f>COUNTIF(Berekening!Q$79:Q$80,'Overzicht pronostieken'!$E145)</f>
        <v>1</v>
      </c>
      <c r="T145" s="168">
        <f>COUNTIF(Berekening!R$79:R$80,'Overzicht pronostieken'!$E145)</f>
        <v>0</v>
      </c>
      <c r="U145" s="168">
        <f>COUNTIF(Berekening!S$79:S$80,'Overzicht pronostieken'!$E145)</f>
        <v>0</v>
      </c>
      <c r="V145" s="168">
        <f>COUNTIF(Berekening!T$79:T$80,'Overzicht pronostieken'!$E145)</f>
        <v>0</v>
      </c>
      <c r="W145" s="168">
        <f>COUNTIF(Berekening!U$79:U$80,'Overzicht pronostieken'!$E145)</f>
        <v>0</v>
      </c>
      <c r="X145" s="168">
        <f>COUNTIF(Berekening!V$79:V$80,'Overzicht pronostieken'!$E145)</f>
        <v>0</v>
      </c>
      <c r="Y145" s="168">
        <f>COUNTIF(Berekening!W$79:W$80,'Overzicht pronostieken'!$E145)</f>
        <v>0</v>
      </c>
      <c r="Z145" s="168">
        <f>COUNTIF(Berekening!X$79:X$80,'Overzicht pronostieken'!$E145)</f>
        <v>0</v>
      </c>
      <c r="AA145" s="168">
        <f>COUNTIF(Berekening!Y$79:Y$80,'Overzicht pronostieken'!$E145)</f>
        <v>0</v>
      </c>
      <c r="AB145" s="168">
        <f>COUNTIF(Berekening!Z$79:Z$80,'Overzicht pronostieken'!$E145)</f>
        <v>0</v>
      </c>
      <c r="AC145" s="168">
        <f>COUNTIF(Berekening!AA$79:AA$80,'Overzicht pronostieken'!$E145)</f>
        <v>0</v>
      </c>
      <c r="AD145" s="168">
        <f>COUNTIF(Berekening!AB$79:AB$80,'Overzicht pronostieken'!$E145)</f>
        <v>0</v>
      </c>
      <c r="AE145" s="168">
        <f>COUNTIF(Berekening!AC$79:AC$80,'Overzicht pronostieken'!$E145)</f>
        <v>0</v>
      </c>
      <c r="AF145" s="168">
        <f>COUNTIF(Berekening!AD$79:AD$80,'Overzicht pronostieken'!$E145)</f>
        <v>0</v>
      </c>
      <c r="AG145" s="168">
        <f>COUNTIF(Berekening!AE$79:AE$80,'Overzicht pronostieken'!$E145)</f>
        <v>0</v>
      </c>
      <c r="AH145" s="168">
        <f>COUNTIF(Berekening!AF$79:AF$80,'Overzicht pronostieken'!$E145)</f>
        <v>0</v>
      </c>
      <c r="AI145" s="168">
        <f>COUNTIF(Berekening!AG$79:AG$80,'Overzicht pronostieken'!$E145)</f>
        <v>0</v>
      </c>
      <c r="AJ145" s="168">
        <f>COUNTIF(Berekening!AH$79:AH$80,'Overzicht pronostieken'!$E145)</f>
        <v>0</v>
      </c>
      <c r="AK145" s="168">
        <f>COUNTIF(Berekening!AI$79:AI$80,'Overzicht pronostieken'!$E145)</f>
        <v>0</v>
      </c>
      <c r="AL145" s="168">
        <f>COUNTIF(Berekening!AJ$79:AJ$80,'Overzicht pronostieken'!$E145)</f>
        <v>0</v>
      </c>
      <c r="AM145" s="168">
        <f>COUNTIF(Berekening!AK$79:AK$80,'Overzicht pronostieken'!$E145)</f>
        <v>0</v>
      </c>
      <c r="AN145" s="168">
        <f>COUNTIF(Berekening!AL$79:AL$80,'Overzicht pronostieken'!$E145)</f>
        <v>0</v>
      </c>
      <c r="AO145" s="168">
        <f>COUNTIF(Berekening!AM$79:AM$80,'Overzicht pronostieken'!$E145)</f>
        <v>0</v>
      </c>
      <c r="AP145" s="168">
        <f>COUNTIF(Berekening!AN$79:AN$80,'Overzicht pronostieken'!$E145)</f>
        <v>0</v>
      </c>
      <c r="AQ145" s="168">
        <f>COUNTIF(Berekening!AO$79:AO$80,'Overzicht pronostieken'!$E145)</f>
        <v>0</v>
      </c>
      <c r="AR145" s="168">
        <f>COUNTIF(Berekening!AP$79:AP$80,'Overzicht pronostieken'!$E145)</f>
        <v>0</v>
      </c>
      <c r="AS145" s="168">
        <f>COUNTIF(Berekening!AQ$79:AQ$80,'Overzicht pronostieken'!$E145)</f>
        <v>0</v>
      </c>
      <c r="AT145" s="168">
        <f>COUNTIF(Berekening!AR$79:AR$80,'Overzicht pronostieken'!$E145)</f>
        <v>0</v>
      </c>
      <c r="AU145" s="168">
        <f>COUNTIF(Berekening!AS$79:AS$80,'Overzicht pronostieken'!$E145)</f>
        <v>0</v>
      </c>
      <c r="AV145" s="168">
        <f>COUNTIF(Berekening!AT$79:AT$80,'Overzicht pronostieken'!$E145)</f>
        <v>0</v>
      </c>
    </row>
    <row r="146" spans="3:48">
      <c r="E146" s="161" t="s">
        <v>2689</v>
      </c>
      <c r="F146" s="161">
        <f t="shared" si="7"/>
        <v>0</v>
      </c>
      <c r="G146" s="168">
        <f>COUNTIF(Berekening!E$79:E$80,'Overzicht pronostieken'!$E146)</f>
        <v>0</v>
      </c>
      <c r="H146" s="168">
        <f>COUNTIF(Berekening!F$79:F$80,'Overzicht pronostieken'!$E146)</f>
        <v>0</v>
      </c>
      <c r="I146" s="168">
        <f>COUNTIF(Berekening!G$79:G$80,'Overzicht pronostieken'!$E146)</f>
        <v>0</v>
      </c>
      <c r="J146" s="168">
        <f>COUNTIF(Berekening!H$79:H$80,'Overzicht pronostieken'!$E146)</f>
        <v>0</v>
      </c>
      <c r="K146" s="168">
        <f>COUNTIF(Berekening!I$79:I$80,'Overzicht pronostieken'!$E146)</f>
        <v>0</v>
      </c>
      <c r="L146" s="168">
        <f>COUNTIF(Berekening!J$79:J$80,'Overzicht pronostieken'!$E146)</f>
        <v>0</v>
      </c>
      <c r="M146" s="168">
        <f>COUNTIF(Berekening!K$79:K$80,'Overzicht pronostieken'!$E146)</f>
        <v>0</v>
      </c>
      <c r="N146" s="168">
        <f>COUNTIF(Berekening!L$79:L$80,'Overzicht pronostieken'!$E146)</f>
        <v>0</v>
      </c>
      <c r="O146" s="168">
        <f>COUNTIF(Berekening!M$79:M$80,'Overzicht pronostieken'!$E146)</f>
        <v>0</v>
      </c>
      <c r="P146" s="168">
        <f>COUNTIF(Berekening!N$79:N$80,'Overzicht pronostieken'!$E146)</f>
        <v>0</v>
      </c>
      <c r="Q146" s="168">
        <f>COUNTIF(Berekening!O$79:O$80,'Overzicht pronostieken'!$E146)</f>
        <v>0</v>
      </c>
      <c r="R146" s="168">
        <f>COUNTIF(Berekening!P$79:P$80,'Overzicht pronostieken'!$E146)</f>
        <v>0</v>
      </c>
      <c r="S146" s="168">
        <f>COUNTIF(Berekening!Q$79:Q$80,'Overzicht pronostieken'!$E146)</f>
        <v>0</v>
      </c>
      <c r="T146" s="168">
        <f>COUNTIF(Berekening!R$79:R$80,'Overzicht pronostieken'!$E146)</f>
        <v>0</v>
      </c>
      <c r="U146" s="168">
        <f>COUNTIF(Berekening!S$79:S$80,'Overzicht pronostieken'!$E146)</f>
        <v>0</v>
      </c>
      <c r="V146" s="168">
        <f>COUNTIF(Berekening!T$79:T$80,'Overzicht pronostieken'!$E146)</f>
        <v>0</v>
      </c>
      <c r="W146" s="168">
        <f>COUNTIF(Berekening!U$79:U$80,'Overzicht pronostieken'!$E146)</f>
        <v>0</v>
      </c>
      <c r="X146" s="168">
        <f>COUNTIF(Berekening!V$79:V$80,'Overzicht pronostieken'!$E146)</f>
        <v>0</v>
      </c>
      <c r="Y146" s="168">
        <f>COUNTIF(Berekening!W$79:W$80,'Overzicht pronostieken'!$E146)</f>
        <v>0</v>
      </c>
      <c r="Z146" s="168">
        <f>COUNTIF(Berekening!X$79:X$80,'Overzicht pronostieken'!$E146)</f>
        <v>0</v>
      </c>
      <c r="AA146" s="168">
        <f>COUNTIF(Berekening!Y$79:Y$80,'Overzicht pronostieken'!$E146)</f>
        <v>0</v>
      </c>
      <c r="AB146" s="168">
        <f>COUNTIF(Berekening!Z$79:Z$80,'Overzicht pronostieken'!$E146)</f>
        <v>0</v>
      </c>
      <c r="AC146" s="168">
        <f>COUNTIF(Berekening!AA$79:AA$80,'Overzicht pronostieken'!$E146)</f>
        <v>0</v>
      </c>
      <c r="AD146" s="168">
        <f>COUNTIF(Berekening!AB$79:AB$80,'Overzicht pronostieken'!$E146)</f>
        <v>0</v>
      </c>
      <c r="AE146" s="168">
        <f>COUNTIF(Berekening!AC$79:AC$80,'Overzicht pronostieken'!$E146)</f>
        <v>0</v>
      </c>
      <c r="AF146" s="168">
        <f>COUNTIF(Berekening!AD$79:AD$80,'Overzicht pronostieken'!$E146)</f>
        <v>0</v>
      </c>
      <c r="AG146" s="168">
        <f>COUNTIF(Berekening!AE$79:AE$80,'Overzicht pronostieken'!$E146)</f>
        <v>0</v>
      </c>
      <c r="AH146" s="168">
        <f>COUNTIF(Berekening!AF$79:AF$80,'Overzicht pronostieken'!$E146)</f>
        <v>0</v>
      </c>
      <c r="AI146" s="168">
        <f>COUNTIF(Berekening!AG$79:AG$80,'Overzicht pronostieken'!$E146)</f>
        <v>0</v>
      </c>
      <c r="AJ146" s="168">
        <f>COUNTIF(Berekening!AH$79:AH$80,'Overzicht pronostieken'!$E146)</f>
        <v>0</v>
      </c>
      <c r="AK146" s="168">
        <f>COUNTIF(Berekening!AI$79:AI$80,'Overzicht pronostieken'!$E146)</f>
        <v>0</v>
      </c>
      <c r="AL146" s="168">
        <f>COUNTIF(Berekening!AJ$79:AJ$80,'Overzicht pronostieken'!$E146)</f>
        <v>0</v>
      </c>
      <c r="AM146" s="168">
        <f>COUNTIF(Berekening!AK$79:AK$80,'Overzicht pronostieken'!$E146)</f>
        <v>0</v>
      </c>
      <c r="AN146" s="168">
        <f>COUNTIF(Berekening!AL$79:AL$80,'Overzicht pronostieken'!$E146)</f>
        <v>0</v>
      </c>
      <c r="AO146" s="168">
        <f>COUNTIF(Berekening!AM$79:AM$80,'Overzicht pronostieken'!$E146)</f>
        <v>0</v>
      </c>
      <c r="AP146" s="168">
        <f>COUNTIF(Berekening!AN$79:AN$80,'Overzicht pronostieken'!$E146)</f>
        <v>0</v>
      </c>
      <c r="AQ146" s="168">
        <f>COUNTIF(Berekening!AO$79:AO$80,'Overzicht pronostieken'!$E146)</f>
        <v>0</v>
      </c>
      <c r="AR146" s="168">
        <f>COUNTIF(Berekening!AP$79:AP$80,'Overzicht pronostieken'!$E146)</f>
        <v>0</v>
      </c>
      <c r="AS146" s="168">
        <f>COUNTIF(Berekening!AQ$79:AQ$80,'Overzicht pronostieken'!$E146)</f>
        <v>0</v>
      </c>
      <c r="AT146" s="168">
        <f>COUNTIF(Berekening!AR$79:AR$80,'Overzicht pronostieken'!$E146)</f>
        <v>0</v>
      </c>
      <c r="AU146" s="168">
        <f>COUNTIF(Berekening!AS$79:AS$80,'Overzicht pronostieken'!$E146)</f>
        <v>0</v>
      </c>
      <c r="AV146" s="168">
        <f>COUNTIF(Berekening!AT$79:AT$80,'Overzicht pronostieken'!$E146)</f>
        <v>0</v>
      </c>
    </row>
    <row r="147" spans="3:48">
      <c r="E147" s="161" t="s">
        <v>1647</v>
      </c>
      <c r="F147" s="161">
        <f t="shared" si="7"/>
        <v>0</v>
      </c>
      <c r="G147" s="168">
        <f>COUNTIF(Berekening!E$79:E$80,'Overzicht pronostieken'!$E147)</f>
        <v>0</v>
      </c>
      <c r="H147" s="168">
        <f>COUNTIF(Berekening!F$79:F$80,'Overzicht pronostieken'!$E147)</f>
        <v>0</v>
      </c>
      <c r="I147" s="168">
        <f>COUNTIF(Berekening!G$79:G$80,'Overzicht pronostieken'!$E147)</f>
        <v>0</v>
      </c>
      <c r="J147" s="168">
        <f>COUNTIF(Berekening!H$79:H$80,'Overzicht pronostieken'!$E147)</f>
        <v>0</v>
      </c>
      <c r="K147" s="168">
        <f>COUNTIF(Berekening!I$79:I$80,'Overzicht pronostieken'!$E147)</f>
        <v>0</v>
      </c>
      <c r="L147" s="168">
        <f>COUNTIF(Berekening!J$79:J$80,'Overzicht pronostieken'!$E147)</f>
        <v>0</v>
      </c>
      <c r="M147" s="168">
        <f>COUNTIF(Berekening!K$79:K$80,'Overzicht pronostieken'!$E147)</f>
        <v>0</v>
      </c>
      <c r="N147" s="168">
        <f>COUNTIF(Berekening!L$79:L$80,'Overzicht pronostieken'!$E147)</f>
        <v>0</v>
      </c>
      <c r="O147" s="168">
        <f>COUNTIF(Berekening!M$79:M$80,'Overzicht pronostieken'!$E147)</f>
        <v>0</v>
      </c>
      <c r="P147" s="168">
        <f>COUNTIF(Berekening!N$79:N$80,'Overzicht pronostieken'!$E147)</f>
        <v>0</v>
      </c>
      <c r="Q147" s="168">
        <f>COUNTIF(Berekening!O$79:O$80,'Overzicht pronostieken'!$E147)</f>
        <v>0</v>
      </c>
      <c r="R147" s="168">
        <f>COUNTIF(Berekening!P$79:P$80,'Overzicht pronostieken'!$E147)</f>
        <v>0</v>
      </c>
      <c r="S147" s="168">
        <f>COUNTIF(Berekening!Q$79:Q$80,'Overzicht pronostieken'!$E147)</f>
        <v>0</v>
      </c>
      <c r="T147" s="168">
        <f>COUNTIF(Berekening!R$79:R$80,'Overzicht pronostieken'!$E147)</f>
        <v>0</v>
      </c>
      <c r="U147" s="168">
        <f>COUNTIF(Berekening!S$79:S$80,'Overzicht pronostieken'!$E147)</f>
        <v>0</v>
      </c>
      <c r="V147" s="168">
        <f>COUNTIF(Berekening!T$79:T$80,'Overzicht pronostieken'!$E147)</f>
        <v>0</v>
      </c>
      <c r="W147" s="168">
        <f>COUNTIF(Berekening!U$79:U$80,'Overzicht pronostieken'!$E147)</f>
        <v>0</v>
      </c>
      <c r="X147" s="168">
        <f>COUNTIF(Berekening!V$79:V$80,'Overzicht pronostieken'!$E147)</f>
        <v>0</v>
      </c>
      <c r="Y147" s="168">
        <f>COUNTIF(Berekening!W$79:W$80,'Overzicht pronostieken'!$E147)</f>
        <v>0</v>
      </c>
      <c r="Z147" s="168">
        <f>COUNTIF(Berekening!X$79:X$80,'Overzicht pronostieken'!$E147)</f>
        <v>0</v>
      </c>
      <c r="AA147" s="168">
        <f>COUNTIF(Berekening!Y$79:Y$80,'Overzicht pronostieken'!$E147)</f>
        <v>0</v>
      </c>
      <c r="AB147" s="168">
        <f>COUNTIF(Berekening!Z$79:Z$80,'Overzicht pronostieken'!$E147)</f>
        <v>0</v>
      </c>
      <c r="AC147" s="168">
        <f>COUNTIF(Berekening!AA$79:AA$80,'Overzicht pronostieken'!$E147)</f>
        <v>0</v>
      </c>
      <c r="AD147" s="168">
        <f>COUNTIF(Berekening!AB$79:AB$80,'Overzicht pronostieken'!$E147)</f>
        <v>0</v>
      </c>
      <c r="AE147" s="168">
        <f>COUNTIF(Berekening!AC$79:AC$80,'Overzicht pronostieken'!$E147)</f>
        <v>0</v>
      </c>
      <c r="AF147" s="168">
        <f>COUNTIF(Berekening!AD$79:AD$80,'Overzicht pronostieken'!$E147)</f>
        <v>0</v>
      </c>
      <c r="AG147" s="168">
        <f>COUNTIF(Berekening!AE$79:AE$80,'Overzicht pronostieken'!$E147)</f>
        <v>0</v>
      </c>
      <c r="AH147" s="168">
        <f>COUNTIF(Berekening!AF$79:AF$80,'Overzicht pronostieken'!$E147)</f>
        <v>0</v>
      </c>
      <c r="AI147" s="168">
        <f>COUNTIF(Berekening!AG$79:AG$80,'Overzicht pronostieken'!$E147)</f>
        <v>0</v>
      </c>
      <c r="AJ147" s="168">
        <f>COUNTIF(Berekening!AH$79:AH$80,'Overzicht pronostieken'!$E147)</f>
        <v>0</v>
      </c>
      <c r="AK147" s="168">
        <f>COUNTIF(Berekening!AI$79:AI$80,'Overzicht pronostieken'!$E147)</f>
        <v>0</v>
      </c>
      <c r="AL147" s="168">
        <f>COUNTIF(Berekening!AJ$79:AJ$80,'Overzicht pronostieken'!$E147)</f>
        <v>0</v>
      </c>
      <c r="AM147" s="168">
        <f>COUNTIF(Berekening!AK$79:AK$80,'Overzicht pronostieken'!$E147)</f>
        <v>0</v>
      </c>
      <c r="AN147" s="168">
        <f>COUNTIF(Berekening!AL$79:AL$80,'Overzicht pronostieken'!$E147)</f>
        <v>0</v>
      </c>
      <c r="AO147" s="168">
        <f>COUNTIF(Berekening!AM$79:AM$80,'Overzicht pronostieken'!$E147)</f>
        <v>0</v>
      </c>
      <c r="AP147" s="168">
        <f>COUNTIF(Berekening!AN$79:AN$80,'Overzicht pronostieken'!$E147)</f>
        <v>0</v>
      </c>
      <c r="AQ147" s="168">
        <f>COUNTIF(Berekening!AO$79:AO$80,'Overzicht pronostieken'!$E147)</f>
        <v>0</v>
      </c>
      <c r="AR147" s="168">
        <f>COUNTIF(Berekening!AP$79:AP$80,'Overzicht pronostieken'!$E147)</f>
        <v>0</v>
      </c>
      <c r="AS147" s="168">
        <f>COUNTIF(Berekening!AQ$79:AQ$80,'Overzicht pronostieken'!$E147)</f>
        <v>0</v>
      </c>
      <c r="AT147" s="168">
        <f>COUNTIF(Berekening!AR$79:AR$80,'Overzicht pronostieken'!$E147)</f>
        <v>0</v>
      </c>
      <c r="AU147" s="168">
        <f>COUNTIF(Berekening!AS$79:AS$80,'Overzicht pronostieken'!$E147)</f>
        <v>0</v>
      </c>
      <c r="AV147" s="168">
        <f>COUNTIF(Berekening!AT$79:AT$80,'Overzicht pronostieken'!$E147)</f>
        <v>0</v>
      </c>
    </row>
    <row r="148" spans="3:48">
      <c r="E148" s="161" t="s">
        <v>1262</v>
      </c>
      <c r="F148" s="161">
        <f t="shared" si="7"/>
        <v>0</v>
      </c>
      <c r="G148" s="168">
        <f>COUNTIF(Berekening!E$79:E$80,'Overzicht pronostieken'!$E148)</f>
        <v>0</v>
      </c>
      <c r="H148" s="168">
        <f>COUNTIF(Berekening!F$79:F$80,'Overzicht pronostieken'!$E148)</f>
        <v>0</v>
      </c>
      <c r="I148" s="168">
        <f>COUNTIF(Berekening!G$79:G$80,'Overzicht pronostieken'!$E148)</f>
        <v>0</v>
      </c>
      <c r="J148" s="168">
        <f>COUNTIF(Berekening!H$79:H$80,'Overzicht pronostieken'!$E148)</f>
        <v>0</v>
      </c>
      <c r="K148" s="168">
        <f>COUNTIF(Berekening!I$79:I$80,'Overzicht pronostieken'!$E148)</f>
        <v>0</v>
      </c>
      <c r="L148" s="168">
        <f>COUNTIF(Berekening!J$79:J$80,'Overzicht pronostieken'!$E148)</f>
        <v>0</v>
      </c>
      <c r="M148" s="168">
        <f>COUNTIF(Berekening!K$79:K$80,'Overzicht pronostieken'!$E148)</f>
        <v>0</v>
      </c>
      <c r="N148" s="168">
        <f>COUNTIF(Berekening!L$79:L$80,'Overzicht pronostieken'!$E148)</f>
        <v>0</v>
      </c>
      <c r="O148" s="168">
        <f>COUNTIF(Berekening!M$79:M$80,'Overzicht pronostieken'!$E148)</f>
        <v>0</v>
      </c>
      <c r="P148" s="168">
        <f>COUNTIF(Berekening!N$79:N$80,'Overzicht pronostieken'!$E148)</f>
        <v>0</v>
      </c>
      <c r="Q148" s="168">
        <f>COUNTIF(Berekening!O$79:O$80,'Overzicht pronostieken'!$E148)</f>
        <v>0</v>
      </c>
      <c r="R148" s="168">
        <f>COUNTIF(Berekening!P$79:P$80,'Overzicht pronostieken'!$E148)</f>
        <v>0</v>
      </c>
      <c r="S148" s="168">
        <f>COUNTIF(Berekening!Q$79:Q$80,'Overzicht pronostieken'!$E148)</f>
        <v>0</v>
      </c>
      <c r="T148" s="168">
        <f>COUNTIF(Berekening!R$79:R$80,'Overzicht pronostieken'!$E148)</f>
        <v>0</v>
      </c>
      <c r="U148" s="168">
        <f>COUNTIF(Berekening!S$79:S$80,'Overzicht pronostieken'!$E148)</f>
        <v>0</v>
      </c>
      <c r="V148" s="168">
        <f>COUNTIF(Berekening!T$79:T$80,'Overzicht pronostieken'!$E148)</f>
        <v>0</v>
      </c>
      <c r="W148" s="168">
        <f>COUNTIF(Berekening!U$79:U$80,'Overzicht pronostieken'!$E148)</f>
        <v>0</v>
      </c>
      <c r="X148" s="168">
        <f>COUNTIF(Berekening!V$79:V$80,'Overzicht pronostieken'!$E148)</f>
        <v>0</v>
      </c>
      <c r="Y148" s="168">
        <f>COUNTIF(Berekening!W$79:W$80,'Overzicht pronostieken'!$E148)</f>
        <v>0</v>
      </c>
      <c r="Z148" s="168">
        <f>COUNTIF(Berekening!X$79:X$80,'Overzicht pronostieken'!$E148)</f>
        <v>0</v>
      </c>
      <c r="AA148" s="168">
        <f>COUNTIF(Berekening!Y$79:Y$80,'Overzicht pronostieken'!$E148)</f>
        <v>0</v>
      </c>
      <c r="AB148" s="168">
        <f>COUNTIF(Berekening!Z$79:Z$80,'Overzicht pronostieken'!$E148)</f>
        <v>0</v>
      </c>
      <c r="AC148" s="168">
        <f>COUNTIF(Berekening!AA$79:AA$80,'Overzicht pronostieken'!$E148)</f>
        <v>0</v>
      </c>
      <c r="AD148" s="168">
        <f>COUNTIF(Berekening!AB$79:AB$80,'Overzicht pronostieken'!$E148)</f>
        <v>0</v>
      </c>
      <c r="AE148" s="168">
        <f>COUNTIF(Berekening!AC$79:AC$80,'Overzicht pronostieken'!$E148)</f>
        <v>0</v>
      </c>
      <c r="AF148" s="168">
        <f>COUNTIF(Berekening!AD$79:AD$80,'Overzicht pronostieken'!$E148)</f>
        <v>0</v>
      </c>
      <c r="AG148" s="168">
        <f>COUNTIF(Berekening!AE$79:AE$80,'Overzicht pronostieken'!$E148)</f>
        <v>0</v>
      </c>
      <c r="AH148" s="168">
        <f>COUNTIF(Berekening!AF$79:AF$80,'Overzicht pronostieken'!$E148)</f>
        <v>0</v>
      </c>
      <c r="AI148" s="168">
        <f>COUNTIF(Berekening!AG$79:AG$80,'Overzicht pronostieken'!$E148)</f>
        <v>0</v>
      </c>
      <c r="AJ148" s="168">
        <f>COUNTIF(Berekening!AH$79:AH$80,'Overzicht pronostieken'!$E148)</f>
        <v>0</v>
      </c>
      <c r="AK148" s="168">
        <f>COUNTIF(Berekening!AI$79:AI$80,'Overzicht pronostieken'!$E148)</f>
        <v>0</v>
      </c>
      <c r="AL148" s="168">
        <f>COUNTIF(Berekening!AJ$79:AJ$80,'Overzicht pronostieken'!$E148)</f>
        <v>0</v>
      </c>
      <c r="AM148" s="168">
        <f>COUNTIF(Berekening!AK$79:AK$80,'Overzicht pronostieken'!$E148)</f>
        <v>0</v>
      </c>
      <c r="AN148" s="168">
        <f>COUNTIF(Berekening!AL$79:AL$80,'Overzicht pronostieken'!$E148)</f>
        <v>0</v>
      </c>
      <c r="AO148" s="168">
        <f>COUNTIF(Berekening!AM$79:AM$80,'Overzicht pronostieken'!$E148)</f>
        <v>0</v>
      </c>
      <c r="AP148" s="168">
        <f>COUNTIF(Berekening!AN$79:AN$80,'Overzicht pronostieken'!$E148)</f>
        <v>0</v>
      </c>
      <c r="AQ148" s="168">
        <f>COUNTIF(Berekening!AO$79:AO$80,'Overzicht pronostieken'!$E148)</f>
        <v>0</v>
      </c>
      <c r="AR148" s="168">
        <f>COUNTIF(Berekening!AP$79:AP$80,'Overzicht pronostieken'!$E148)</f>
        <v>0</v>
      </c>
      <c r="AS148" s="168">
        <f>COUNTIF(Berekening!AQ$79:AQ$80,'Overzicht pronostieken'!$E148)</f>
        <v>0</v>
      </c>
      <c r="AT148" s="168">
        <f>COUNTIF(Berekening!AR$79:AR$80,'Overzicht pronostieken'!$E148)</f>
        <v>0</v>
      </c>
      <c r="AU148" s="168">
        <f>COUNTIF(Berekening!AS$79:AS$80,'Overzicht pronostieken'!$E148)</f>
        <v>0</v>
      </c>
      <c r="AV148" s="168">
        <f>COUNTIF(Berekening!AT$79:AT$80,'Overzicht pronostieken'!$E148)</f>
        <v>0</v>
      </c>
    </row>
    <row r="151" spans="3:48" ht="32">
      <c r="C151" s="167" t="s">
        <v>2934</v>
      </c>
      <c r="G151" s="162" t="str">
        <f>G2</f>
        <v>Sam</v>
      </c>
      <c r="H151" s="162" t="str">
        <f t="shared" ref="H151:AV151" si="8">H2</f>
        <v>Matthias</v>
      </c>
      <c r="I151" s="162" t="str">
        <f t="shared" si="8"/>
        <v>Billy</v>
      </c>
      <c r="J151" s="162" t="str">
        <f t="shared" si="8"/>
        <v>Timon</v>
      </c>
      <c r="K151" s="162" t="str">
        <f t="shared" si="8"/>
        <v>Bavo</v>
      </c>
      <c r="L151" s="162" t="str">
        <f t="shared" si="8"/>
        <v>Lowie</v>
      </c>
      <c r="M151" s="162" t="str">
        <f t="shared" si="8"/>
        <v>Stijn</v>
      </c>
      <c r="N151" s="162" t="str">
        <f t="shared" si="8"/>
        <v>Tom</v>
      </c>
      <c r="O151" s="162" t="str">
        <f t="shared" si="8"/>
        <v>Cas</v>
      </c>
      <c r="P151" s="162" t="str">
        <f t="shared" si="8"/>
        <v>Dean</v>
      </c>
      <c r="Q151" s="162" t="str">
        <f t="shared" si="8"/>
        <v>Jannes</v>
      </c>
      <c r="R151" s="162" t="str">
        <f t="shared" si="8"/>
        <v>Jens</v>
      </c>
      <c r="S151" s="162" t="str">
        <f t="shared" si="8"/>
        <v>Louis</v>
      </c>
      <c r="T151" s="162" t="str">
        <f t="shared" si="8"/>
        <v>Ruben</v>
      </c>
      <c r="U151" s="162" t="str">
        <f t="shared" si="8"/>
        <v>Karl</v>
      </c>
      <c r="V151" s="162" t="str">
        <f t="shared" si="8"/>
        <v>Seppe</v>
      </c>
      <c r="W151" s="162" t="str">
        <f t="shared" si="8"/>
        <v>deelnemer 17</v>
      </c>
      <c r="X151" s="162" t="str">
        <f t="shared" si="8"/>
        <v>deelnemer 18</v>
      </c>
      <c r="Y151" s="162" t="str">
        <f t="shared" si="8"/>
        <v>deelnemer 19</v>
      </c>
      <c r="Z151" s="162" t="str">
        <f t="shared" si="8"/>
        <v>deelnemer 20</v>
      </c>
      <c r="AA151" s="162" t="str">
        <f t="shared" si="8"/>
        <v>deelnemer 21</v>
      </c>
      <c r="AB151" s="162" t="str">
        <f t="shared" si="8"/>
        <v>deelnemer 22</v>
      </c>
      <c r="AC151" s="162" t="str">
        <f t="shared" si="8"/>
        <v>deelnemer 23</v>
      </c>
      <c r="AD151" s="162" t="str">
        <f t="shared" si="8"/>
        <v>deelnemer 24</v>
      </c>
      <c r="AE151" s="162" t="str">
        <f t="shared" si="8"/>
        <v>deelnemer 25</v>
      </c>
      <c r="AF151" s="162" t="str">
        <f t="shared" si="8"/>
        <v>deelnemer 26</v>
      </c>
      <c r="AG151" s="162" t="str">
        <f t="shared" si="8"/>
        <v>deelnemer 27</v>
      </c>
      <c r="AH151" s="162" t="str">
        <f t="shared" si="8"/>
        <v>deelnemer 28</v>
      </c>
      <c r="AI151" s="162" t="str">
        <f t="shared" si="8"/>
        <v>deelnemer 29</v>
      </c>
      <c r="AJ151" s="162" t="str">
        <f t="shared" si="8"/>
        <v>deelnemer 30</v>
      </c>
      <c r="AK151" s="162" t="str">
        <f t="shared" si="8"/>
        <v>deelnemer 31</v>
      </c>
      <c r="AL151" s="162" t="str">
        <f t="shared" si="8"/>
        <v>deelnemer 32</v>
      </c>
      <c r="AM151" s="162" t="str">
        <f t="shared" si="8"/>
        <v>deelnemer 33</v>
      </c>
      <c r="AN151" s="162" t="str">
        <f t="shared" si="8"/>
        <v>deelnemer 34</v>
      </c>
      <c r="AO151" s="162" t="str">
        <f t="shared" si="8"/>
        <v>deelnemer 35</v>
      </c>
      <c r="AP151" s="162" t="str">
        <f t="shared" si="8"/>
        <v>deelnemer 36</v>
      </c>
      <c r="AQ151" s="162" t="str">
        <f t="shared" si="8"/>
        <v>deelnemer 37</v>
      </c>
      <c r="AR151" s="162" t="str">
        <f t="shared" si="8"/>
        <v>deelnemer 38</v>
      </c>
      <c r="AS151" s="162" t="str">
        <f t="shared" si="8"/>
        <v>deelnemer 39</v>
      </c>
      <c r="AT151" s="162" t="str">
        <f t="shared" si="8"/>
        <v>deelnemer 40</v>
      </c>
      <c r="AU151" s="162" t="str">
        <f t="shared" si="8"/>
        <v>deelnemer 41</v>
      </c>
      <c r="AV151" s="162" t="str">
        <f t="shared" si="8"/>
        <v>deelnemer 42</v>
      </c>
    </row>
    <row r="152" spans="3:48">
      <c r="E152" s="161" t="s">
        <v>1608</v>
      </c>
      <c r="F152" s="161">
        <f>SUM(G152:AV152)</f>
        <v>0</v>
      </c>
      <c r="G152" s="168">
        <f>COUNTIF(Berekening!E$81,'Overzicht pronostieken'!$E152)</f>
        <v>0</v>
      </c>
      <c r="H152" s="168">
        <f>COUNTIF(Berekening!F$81,'Overzicht pronostieken'!$E152)</f>
        <v>0</v>
      </c>
      <c r="I152" s="168">
        <f>COUNTIF(Berekening!G$81,'Overzicht pronostieken'!$E152)</f>
        <v>0</v>
      </c>
      <c r="J152" s="168">
        <f>COUNTIF(Berekening!H$81,'Overzicht pronostieken'!$E152)</f>
        <v>0</v>
      </c>
      <c r="K152" s="168">
        <f>COUNTIF(Berekening!I$81,'Overzicht pronostieken'!$E152)</f>
        <v>0</v>
      </c>
      <c r="L152" s="168">
        <f>COUNTIF(Berekening!J$81,'Overzicht pronostieken'!$E152)</f>
        <v>0</v>
      </c>
      <c r="M152" s="168">
        <f>COUNTIF(Berekening!K$81,'Overzicht pronostieken'!$E152)</f>
        <v>0</v>
      </c>
      <c r="N152" s="168">
        <f>COUNTIF(Berekening!L$81,'Overzicht pronostieken'!$E152)</f>
        <v>0</v>
      </c>
      <c r="O152" s="168">
        <f>COUNTIF(Berekening!M$81,'Overzicht pronostieken'!$E152)</f>
        <v>0</v>
      </c>
      <c r="P152" s="168">
        <f>COUNTIF(Berekening!N$81,'Overzicht pronostieken'!$E152)</f>
        <v>0</v>
      </c>
      <c r="Q152" s="168">
        <f>COUNTIF(Berekening!O$81,'Overzicht pronostieken'!$E152)</f>
        <v>0</v>
      </c>
      <c r="R152" s="168">
        <f>COUNTIF(Berekening!P$81,'Overzicht pronostieken'!$E152)</f>
        <v>0</v>
      </c>
      <c r="S152" s="168">
        <f>COUNTIF(Berekening!Q$81,'Overzicht pronostieken'!$E152)</f>
        <v>0</v>
      </c>
      <c r="T152" s="168">
        <f>COUNTIF(Berekening!R$81,'Overzicht pronostieken'!$E152)</f>
        <v>0</v>
      </c>
      <c r="U152" s="168">
        <f>COUNTIF(Berekening!S$81,'Overzicht pronostieken'!$E152)</f>
        <v>0</v>
      </c>
      <c r="V152" s="168">
        <f>COUNTIF(Berekening!T$81,'Overzicht pronostieken'!$E152)</f>
        <v>0</v>
      </c>
      <c r="W152" s="168">
        <f>COUNTIF(Berekening!U$81,'Overzicht pronostieken'!$E152)</f>
        <v>0</v>
      </c>
      <c r="X152" s="168">
        <f>COUNTIF(Berekening!V$81,'Overzicht pronostieken'!$E152)</f>
        <v>0</v>
      </c>
      <c r="Y152" s="168">
        <f>COUNTIF(Berekening!W$81,'Overzicht pronostieken'!$E152)</f>
        <v>0</v>
      </c>
      <c r="Z152" s="168">
        <f>COUNTIF(Berekening!X$81,'Overzicht pronostieken'!$E152)</f>
        <v>0</v>
      </c>
      <c r="AA152" s="168">
        <f>COUNTIF(Berekening!Y$81,'Overzicht pronostieken'!$E152)</f>
        <v>0</v>
      </c>
      <c r="AB152" s="168">
        <f>COUNTIF(Berekening!Z$81,'Overzicht pronostieken'!$E152)</f>
        <v>0</v>
      </c>
      <c r="AC152" s="168">
        <f>COUNTIF(Berekening!AA$81,'Overzicht pronostieken'!$E152)</f>
        <v>0</v>
      </c>
      <c r="AD152" s="168">
        <f>COUNTIF(Berekening!AB$81,'Overzicht pronostieken'!$E152)</f>
        <v>0</v>
      </c>
      <c r="AE152" s="168">
        <f>COUNTIF(Berekening!AC$81,'Overzicht pronostieken'!$E152)</f>
        <v>0</v>
      </c>
      <c r="AF152" s="168">
        <f>COUNTIF(Berekening!AD$81,'Overzicht pronostieken'!$E152)</f>
        <v>0</v>
      </c>
      <c r="AG152" s="168">
        <f>COUNTIF(Berekening!AE$81,'Overzicht pronostieken'!$E152)</f>
        <v>0</v>
      </c>
      <c r="AH152" s="168">
        <f>COUNTIF(Berekening!AF$81,'Overzicht pronostieken'!$E152)</f>
        <v>0</v>
      </c>
      <c r="AI152" s="168">
        <f>COUNTIF(Berekening!AG$81,'Overzicht pronostieken'!$E152)</f>
        <v>0</v>
      </c>
      <c r="AJ152" s="168">
        <f>COUNTIF(Berekening!AH$81,'Overzicht pronostieken'!$E152)</f>
        <v>0</v>
      </c>
      <c r="AK152" s="168">
        <f>COUNTIF(Berekening!AI$81,'Overzicht pronostieken'!$E152)</f>
        <v>0</v>
      </c>
      <c r="AL152" s="168">
        <f>COUNTIF(Berekening!AJ$81,'Overzicht pronostieken'!$E152)</f>
        <v>0</v>
      </c>
      <c r="AM152" s="168">
        <f>COUNTIF(Berekening!AK$81,'Overzicht pronostieken'!$E152)</f>
        <v>0</v>
      </c>
      <c r="AN152" s="168">
        <f>COUNTIF(Berekening!AL$81,'Overzicht pronostieken'!$E152)</f>
        <v>0</v>
      </c>
      <c r="AO152" s="168">
        <f>COUNTIF(Berekening!AM$81,'Overzicht pronostieken'!$E152)</f>
        <v>0</v>
      </c>
      <c r="AP152" s="168">
        <f>COUNTIF(Berekening!AN$81,'Overzicht pronostieken'!$E152)</f>
        <v>0</v>
      </c>
      <c r="AQ152" s="168">
        <f>COUNTIF(Berekening!AO$81,'Overzicht pronostieken'!$E152)</f>
        <v>0</v>
      </c>
      <c r="AR152" s="168">
        <f>COUNTIF(Berekening!AP$81,'Overzicht pronostieken'!$E152)</f>
        <v>0</v>
      </c>
      <c r="AS152" s="168">
        <f>COUNTIF(Berekening!AQ$81,'Overzicht pronostieken'!$E152)</f>
        <v>0</v>
      </c>
      <c r="AT152" s="168">
        <f>COUNTIF(Berekening!AR$81,'Overzicht pronostieken'!$E152)</f>
        <v>0</v>
      </c>
      <c r="AU152" s="168">
        <f>COUNTIF(Berekening!AS$81,'Overzicht pronostieken'!$E152)</f>
        <v>0</v>
      </c>
      <c r="AV152" s="168">
        <f>COUNTIF(Berekening!AT$81,'Overzicht pronostieken'!$E152)</f>
        <v>0</v>
      </c>
    </row>
    <row r="153" spans="3:48">
      <c r="E153" s="161" t="s">
        <v>1168</v>
      </c>
      <c r="F153" s="161">
        <f t="shared" ref="F153:F175" si="9">SUM(G153:AV153)</f>
        <v>0</v>
      </c>
      <c r="G153" s="168">
        <f>COUNTIF(Berekening!E$81,'Overzicht pronostieken'!$E153)</f>
        <v>0</v>
      </c>
      <c r="H153" s="168">
        <f>COUNTIF(Berekening!F$81,'Overzicht pronostieken'!$E153)</f>
        <v>0</v>
      </c>
      <c r="I153" s="168">
        <f>COUNTIF(Berekening!G$81,'Overzicht pronostieken'!$E153)</f>
        <v>0</v>
      </c>
      <c r="J153" s="168">
        <f>COUNTIF(Berekening!H$81,'Overzicht pronostieken'!$E153)</f>
        <v>0</v>
      </c>
      <c r="K153" s="168">
        <f>COUNTIF(Berekening!I$81,'Overzicht pronostieken'!$E153)</f>
        <v>0</v>
      </c>
      <c r="L153" s="168">
        <f>COUNTIF(Berekening!J$81,'Overzicht pronostieken'!$E153)</f>
        <v>0</v>
      </c>
      <c r="M153" s="168">
        <f>COUNTIF(Berekening!K$81,'Overzicht pronostieken'!$E153)</f>
        <v>0</v>
      </c>
      <c r="N153" s="168">
        <f>COUNTIF(Berekening!L$81,'Overzicht pronostieken'!$E153)</f>
        <v>0</v>
      </c>
      <c r="O153" s="168">
        <f>COUNTIF(Berekening!M$81,'Overzicht pronostieken'!$E153)</f>
        <v>0</v>
      </c>
      <c r="P153" s="168">
        <f>COUNTIF(Berekening!N$81,'Overzicht pronostieken'!$E153)</f>
        <v>0</v>
      </c>
      <c r="Q153" s="168">
        <f>COUNTIF(Berekening!O$81,'Overzicht pronostieken'!$E153)</f>
        <v>0</v>
      </c>
      <c r="R153" s="168">
        <f>COUNTIF(Berekening!P$81,'Overzicht pronostieken'!$E153)</f>
        <v>0</v>
      </c>
      <c r="S153" s="168">
        <f>COUNTIF(Berekening!Q$81,'Overzicht pronostieken'!$E153)</f>
        <v>0</v>
      </c>
      <c r="T153" s="168">
        <f>COUNTIF(Berekening!R$81,'Overzicht pronostieken'!$E153)</f>
        <v>0</v>
      </c>
      <c r="U153" s="168">
        <f>COUNTIF(Berekening!S$81,'Overzicht pronostieken'!$E153)</f>
        <v>0</v>
      </c>
      <c r="V153" s="168">
        <f>COUNTIF(Berekening!T$81,'Overzicht pronostieken'!$E153)</f>
        <v>0</v>
      </c>
      <c r="W153" s="168">
        <f>COUNTIF(Berekening!U$81,'Overzicht pronostieken'!$E153)</f>
        <v>0</v>
      </c>
      <c r="X153" s="168">
        <f>COUNTIF(Berekening!V$81,'Overzicht pronostieken'!$E153)</f>
        <v>0</v>
      </c>
      <c r="Y153" s="168">
        <f>COUNTIF(Berekening!W$81,'Overzicht pronostieken'!$E153)</f>
        <v>0</v>
      </c>
      <c r="Z153" s="168">
        <f>COUNTIF(Berekening!X$81,'Overzicht pronostieken'!$E153)</f>
        <v>0</v>
      </c>
      <c r="AA153" s="168">
        <f>COUNTIF(Berekening!Y$81,'Overzicht pronostieken'!$E153)</f>
        <v>0</v>
      </c>
      <c r="AB153" s="168">
        <f>COUNTIF(Berekening!Z$81,'Overzicht pronostieken'!$E153)</f>
        <v>0</v>
      </c>
      <c r="AC153" s="168">
        <f>COUNTIF(Berekening!AA$81,'Overzicht pronostieken'!$E153)</f>
        <v>0</v>
      </c>
      <c r="AD153" s="168">
        <f>COUNTIF(Berekening!AB$81,'Overzicht pronostieken'!$E153)</f>
        <v>0</v>
      </c>
      <c r="AE153" s="168">
        <f>COUNTIF(Berekening!AC$81,'Overzicht pronostieken'!$E153)</f>
        <v>0</v>
      </c>
      <c r="AF153" s="168">
        <f>COUNTIF(Berekening!AD$81,'Overzicht pronostieken'!$E153)</f>
        <v>0</v>
      </c>
      <c r="AG153" s="168">
        <f>COUNTIF(Berekening!AE$81,'Overzicht pronostieken'!$E153)</f>
        <v>0</v>
      </c>
      <c r="AH153" s="168">
        <f>COUNTIF(Berekening!AF$81,'Overzicht pronostieken'!$E153)</f>
        <v>0</v>
      </c>
      <c r="AI153" s="168">
        <f>COUNTIF(Berekening!AG$81,'Overzicht pronostieken'!$E153)</f>
        <v>0</v>
      </c>
      <c r="AJ153" s="168">
        <f>COUNTIF(Berekening!AH$81,'Overzicht pronostieken'!$E153)</f>
        <v>0</v>
      </c>
      <c r="AK153" s="168">
        <f>COUNTIF(Berekening!AI$81,'Overzicht pronostieken'!$E153)</f>
        <v>0</v>
      </c>
      <c r="AL153" s="168">
        <f>COUNTIF(Berekening!AJ$81,'Overzicht pronostieken'!$E153)</f>
        <v>0</v>
      </c>
      <c r="AM153" s="168">
        <f>COUNTIF(Berekening!AK$81,'Overzicht pronostieken'!$E153)</f>
        <v>0</v>
      </c>
      <c r="AN153" s="168">
        <f>COUNTIF(Berekening!AL$81,'Overzicht pronostieken'!$E153)</f>
        <v>0</v>
      </c>
      <c r="AO153" s="168">
        <f>COUNTIF(Berekening!AM$81,'Overzicht pronostieken'!$E153)</f>
        <v>0</v>
      </c>
      <c r="AP153" s="168">
        <f>COUNTIF(Berekening!AN$81,'Overzicht pronostieken'!$E153)</f>
        <v>0</v>
      </c>
      <c r="AQ153" s="168">
        <f>COUNTIF(Berekening!AO$81,'Overzicht pronostieken'!$E153)</f>
        <v>0</v>
      </c>
      <c r="AR153" s="168">
        <f>COUNTIF(Berekening!AP$81,'Overzicht pronostieken'!$E153)</f>
        <v>0</v>
      </c>
      <c r="AS153" s="168">
        <f>COUNTIF(Berekening!AQ$81,'Overzicht pronostieken'!$E153)</f>
        <v>0</v>
      </c>
      <c r="AT153" s="168">
        <f>COUNTIF(Berekening!AR$81,'Overzicht pronostieken'!$E153)</f>
        <v>0</v>
      </c>
      <c r="AU153" s="168">
        <f>COUNTIF(Berekening!AS$81,'Overzicht pronostieken'!$E153)</f>
        <v>0</v>
      </c>
      <c r="AV153" s="168">
        <f>COUNTIF(Berekening!AT$81,'Overzicht pronostieken'!$E153)</f>
        <v>0</v>
      </c>
    </row>
    <row r="154" spans="3:48">
      <c r="E154" s="161" t="s">
        <v>1399</v>
      </c>
      <c r="F154" s="161">
        <f t="shared" si="9"/>
        <v>0</v>
      </c>
      <c r="G154" s="168">
        <f>COUNTIF(Berekening!E$81,'Overzicht pronostieken'!$E154)</f>
        <v>0</v>
      </c>
      <c r="H154" s="168">
        <f>COUNTIF(Berekening!F$81,'Overzicht pronostieken'!$E154)</f>
        <v>0</v>
      </c>
      <c r="I154" s="168">
        <f>COUNTIF(Berekening!G$81,'Overzicht pronostieken'!$E154)</f>
        <v>0</v>
      </c>
      <c r="J154" s="168">
        <f>COUNTIF(Berekening!H$81,'Overzicht pronostieken'!$E154)</f>
        <v>0</v>
      </c>
      <c r="K154" s="168">
        <f>COUNTIF(Berekening!I$81,'Overzicht pronostieken'!$E154)</f>
        <v>0</v>
      </c>
      <c r="L154" s="168">
        <f>COUNTIF(Berekening!J$81,'Overzicht pronostieken'!$E154)</f>
        <v>0</v>
      </c>
      <c r="M154" s="168">
        <f>COUNTIF(Berekening!K$81,'Overzicht pronostieken'!$E154)</f>
        <v>0</v>
      </c>
      <c r="N154" s="168">
        <f>COUNTIF(Berekening!L$81,'Overzicht pronostieken'!$E154)</f>
        <v>0</v>
      </c>
      <c r="O154" s="168">
        <f>COUNTIF(Berekening!M$81,'Overzicht pronostieken'!$E154)</f>
        <v>0</v>
      </c>
      <c r="P154" s="168">
        <f>COUNTIF(Berekening!N$81,'Overzicht pronostieken'!$E154)</f>
        <v>0</v>
      </c>
      <c r="Q154" s="168">
        <f>COUNTIF(Berekening!O$81,'Overzicht pronostieken'!$E154)</f>
        <v>0</v>
      </c>
      <c r="R154" s="168">
        <f>COUNTIF(Berekening!P$81,'Overzicht pronostieken'!$E154)</f>
        <v>0</v>
      </c>
      <c r="S154" s="168">
        <f>COUNTIF(Berekening!Q$81,'Overzicht pronostieken'!$E154)</f>
        <v>0</v>
      </c>
      <c r="T154" s="168">
        <f>COUNTIF(Berekening!R$81,'Overzicht pronostieken'!$E154)</f>
        <v>0</v>
      </c>
      <c r="U154" s="168">
        <f>COUNTIF(Berekening!S$81,'Overzicht pronostieken'!$E154)</f>
        <v>0</v>
      </c>
      <c r="V154" s="168">
        <f>COUNTIF(Berekening!T$81,'Overzicht pronostieken'!$E154)</f>
        <v>0</v>
      </c>
      <c r="W154" s="168">
        <f>COUNTIF(Berekening!U$81,'Overzicht pronostieken'!$E154)</f>
        <v>0</v>
      </c>
      <c r="X154" s="168">
        <f>COUNTIF(Berekening!V$81,'Overzicht pronostieken'!$E154)</f>
        <v>0</v>
      </c>
      <c r="Y154" s="168">
        <f>COUNTIF(Berekening!W$81,'Overzicht pronostieken'!$E154)</f>
        <v>0</v>
      </c>
      <c r="Z154" s="168">
        <f>COUNTIF(Berekening!X$81,'Overzicht pronostieken'!$E154)</f>
        <v>0</v>
      </c>
      <c r="AA154" s="168">
        <f>COUNTIF(Berekening!Y$81,'Overzicht pronostieken'!$E154)</f>
        <v>0</v>
      </c>
      <c r="AB154" s="168">
        <f>COUNTIF(Berekening!Z$81,'Overzicht pronostieken'!$E154)</f>
        <v>0</v>
      </c>
      <c r="AC154" s="168">
        <f>COUNTIF(Berekening!AA$81,'Overzicht pronostieken'!$E154)</f>
        <v>0</v>
      </c>
      <c r="AD154" s="168">
        <f>COUNTIF(Berekening!AB$81,'Overzicht pronostieken'!$E154)</f>
        <v>0</v>
      </c>
      <c r="AE154" s="168">
        <f>COUNTIF(Berekening!AC$81,'Overzicht pronostieken'!$E154)</f>
        <v>0</v>
      </c>
      <c r="AF154" s="168">
        <f>COUNTIF(Berekening!AD$81,'Overzicht pronostieken'!$E154)</f>
        <v>0</v>
      </c>
      <c r="AG154" s="168">
        <f>COUNTIF(Berekening!AE$81,'Overzicht pronostieken'!$E154)</f>
        <v>0</v>
      </c>
      <c r="AH154" s="168">
        <f>COUNTIF(Berekening!AF$81,'Overzicht pronostieken'!$E154)</f>
        <v>0</v>
      </c>
      <c r="AI154" s="168">
        <f>COUNTIF(Berekening!AG$81,'Overzicht pronostieken'!$E154)</f>
        <v>0</v>
      </c>
      <c r="AJ154" s="168">
        <f>COUNTIF(Berekening!AH$81,'Overzicht pronostieken'!$E154)</f>
        <v>0</v>
      </c>
      <c r="AK154" s="168">
        <f>COUNTIF(Berekening!AI$81,'Overzicht pronostieken'!$E154)</f>
        <v>0</v>
      </c>
      <c r="AL154" s="168">
        <f>COUNTIF(Berekening!AJ$81,'Overzicht pronostieken'!$E154)</f>
        <v>0</v>
      </c>
      <c r="AM154" s="168">
        <f>COUNTIF(Berekening!AK$81,'Overzicht pronostieken'!$E154)</f>
        <v>0</v>
      </c>
      <c r="AN154" s="168">
        <f>COUNTIF(Berekening!AL$81,'Overzicht pronostieken'!$E154)</f>
        <v>0</v>
      </c>
      <c r="AO154" s="168">
        <f>COUNTIF(Berekening!AM$81,'Overzicht pronostieken'!$E154)</f>
        <v>0</v>
      </c>
      <c r="AP154" s="168">
        <f>COUNTIF(Berekening!AN$81,'Overzicht pronostieken'!$E154)</f>
        <v>0</v>
      </c>
      <c r="AQ154" s="168">
        <f>COUNTIF(Berekening!AO$81,'Overzicht pronostieken'!$E154)</f>
        <v>0</v>
      </c>
      <c r="AR154" s="168">
        <f>COUNTIF(Berekening!AP$81,'Overzicht pronostieken'!$E154)</f>
        <v>0</v>
      </c>
      <c r="AS154" s="168">
        <f>COUNTIF(Berekening!AQ$81,'Overzicht pronostieken'!$E154)</f>
        <v>0</v>
      </c>
      <c r="AT154" s="168">
        <f>COUNTIF(Berekening!AR$81,'Overzicht pronostieken'!$E154)</f>
        <v>0</v>
      </c>
      <c r="AU154" s="168">
        <f>COUNTIF(Berekening!AS$81,'Overzicht pronostieken'!$E154)</f>
        <v>0</v>
      </c>
      <c r="AV154" s="168">
        <f>COUNTIF(Berekening!AT$81,'Overzicht pronostieken'!$E154)</f>
        <v>0</v>
      </c>
    </row>
    <row r="155" spans="3:48">
      <c r="E155" s="161" t="s">
        <v>1468</v>
      </c>
      <c r="F155" s="161">
        <f t="shared" si="9"/>
        <v>2</v>
      </c>
      <c r="G155" s="168">
        <f>COUNTIF(Berekening!E$81,'Overzicht pronostieken'!$E155)</f>
        <v>0</v>
      </c>
      <c r="H155" s="168">
        <f>COUNTIF(Berekening!F$81,'Overzicht pronostieken'!$E155)</f>
        <v>0</v>
      </c>
      <c r="I155" s="168">
        <f>COUNTIF(Berekening!G$81,'Overzicht pronostieken'!$E155)</f>
        <v>0</v>
      </c>
      <c r="J155" s="168">
        <f>COUNTIF(Berekening!H$81,'Overzicht pronostieken'!$E155)</f>
        <v>0</v>
      </c>
      <c r="K155" s="168">
        <f>COUNTIF(Berekening!I$81,'Overzicht pronostieken'!$E155)</f>
        <v>0</v>
      </c>
      <c r="L155" s="168">
        <f>COUNTIF(Berekening!J$81,'Overzicht pronostieken'!$E155)</f>
        <v>0</v>
      </c>
      <c r="M155" s="168">
        <f>COUNTIF(Berekening!K$81,'Overzicht pronostieken'!$E155)</f>
        <v>0</v>
      </c>
      <c r="N155" s="168">
        <f>COUNTIF(Berekening!L$81,'Overzicht pronostieken'!$E155)</f>
        <v>0</v>
      </c>
      <c r="O155" s="168">
        <f>COUNTIF(Berekening!M$81,'Overzicht pronostieken'!$E155)</f>
        <v>0</v>
      </c>
      <c r="P155" s="168">
        <f>COUNTIF(Berekening!N$81,'Overzicht pronostieken'!$E155)</f>
        <v>0</v>
      </c>
      <c r="Q155" s="168">
        <f>COUNTIF(Berekening!O$81,'Overzicht pronostieken'!$E155)</f>
        <v>0</v>
      </c>
      <c r="R155" s="168">
        <f>COUNTIF(Berekening!P$81,'Overzicht pronostieken'!$E155)</f>
        <v>1</v>
      </c>
      <c r="S155" s="168">
        <f>COUNTIF(Berekening!Q$81,'Overzicht pronostieken'!$E155)</f>
        <v>0</v>
      </c>
      <c r="T155" s="168">
        <f>COUNTIF(Berekening!R$81,'Overzicht pronostieken'!$E155)</f>
        <v>1</v>
      </c>
      <c r="U155" s="168">
        <f>COUNTIF(Berekening!S$81,'Overzicht pronostieken'!$E155)</f>
        <v>0</v>
      </c>
      <c r="V155" s="168">
        <f>COUNTIF(Berekening!T$81,'Overzicht pronostieken'!$E155)</f>
        <v>0</v>
      </c>
      <c r="W155" s="168">
        <f>COUNTIF(Berekening!U$81,'Overzicht pronostieken'!$E155)</f>
        <v>0</v>
      </c>
      <c r="X155" s="168">
        <f>COUNTIF(Berekening!V$81,'Overzicht pronostieken'!$E155)</f>
        <v>0</v>
      </c>
      <c r="Y155" s="168">
        <f>COUNTIF(Berekening!W$81,'Overzicht pronostieken'!$E155)</f>
        <v>0</v>
      </c>
      <c r="Z155" s="168">
        <f>COUNTIF(Berekening!X$81,'Overzicht pronostieken'!$E155)</f>
        <v>0</v>
      </c>
      <c r="AA155" s="168">
        <f>COUNTIF(Berekening!Y$81,'Overzicht pronostieken'!$E155)</f>
        <v>0</v>
      </c>
      <c r="AB155" s="168">
        <f>COUNTIF(Berekening!Z$81,'Overzicht pronostieken'!$E155)</f>
        <v>0</v>
      </c>
      <c r="AC155" s="168">
        <f>COUNTIF(Berekening!AA$81,'Overzicht pronostieken'!$E155)</f>
        <v>0</v>
      </c>
      <c r="AD155" s="168">
        <f>COUNTIF(Berekening!AB$81,'Overzicht pronostieken'!$E155)</f>
        <v>0</v>
      </c>
      <c r="AE155" s="168">
        <f>COUNTIF(Berekening!AC$81,'Overzicht pronostieken'!$E155)</f>
        <v>0</v>
      </c>
      <c r="AF155" s="168">
        <f>COUNTIF(Berekening!AD$81,'Overzicht pronostieken'!$E155)</f>
        <v>0</v>
      </c>
      <c r="AG155" s="168">
        <f>COUNTIF(Berekening!AE$81,'Overzicht pronostieken'!$E155)</f>
        <v>0</v>
      </c>
      <c r="AH155" s="168">
        <f>COUNTIF(Berekening!AF$81,'Overzicht pronostieken'!$E155)</f>
        <v>0</v>
      </c>
      <c r="AI155" s="168">
        <f>COUNTIF(Berekening!AG$81,'Overzicht pronostieken'!$E155)</f>
        <v>0</v>
      </c>
      <c r="AJ155" s="168">
        <f>COUNTIF(Berekening!AH$81,'Overzicht pronostieken'!$E155)</f>
        <v>0</v>
      </c>
      <c r="AK155" s="168">
        <f>COUNTIF(Berekening!AI$81,'Overzicht pronostieken'!$E155)</f>
        <v>0</v>
      </c>
      <c r="AL155" s="168">
        <f>COUNTIF(Berekening!AJ$81,'Overzicht pronostieken'!$E155)</f>
        <v>0</v>
      </c>
      <c r="AM155" s="168">
        <f>COUNTIF(Berekening!AK$81,'Overzicht pronostieken'!$E155)</f>
        <v>0</v>
      </c>
      <c r="AN155" s="168">
        <f>COUNTIF(Berekening!AL$81,'Overzicht pronostieken'!$E155)</f>
        <v>0</v>
      </c>
      <c r="AO155" s="168">
        <f>COUNTIF(Berekening!AM$81,'Overzicht pronostieken'!$E155)</f>
        <v>0</v>
      </c>
      <c r="AP155" s="168">
        <f>COUNTIF(Berekening!AN$81,'Overzicht pronostieken'!$E155)</f>
        <v>0</v>
      </c>
      <c r="AQ155" s="168">
        <f>COUNTIF(Berekening!AO$81,'Overzicht pronostieken'!$E155)</f>
        <v>0</v>
      </c>
      <c r="AR155" s="168">
        <f>COUNTIF(Berekening!AP$81,'Overzicht pronostieken'!$E155)</f>
        <v>0</v>
      </c>
      <c r="AS155" s="168">
        <f>COUNTIF(Berekening!AQ$81,'Overzicht pronostieken'!$E155)</f>
        <v>0</v>
      </c>
      <c r="AT155" s="168">
        <f>COUNTIF(Berekening!AR$81,'Overzicht pronostieken'!$E155)</f>
        <v>0</v>
      </c>
      <c r="AU155" s="168">
        <f>COUNTIF(Berekening!AS$81,'Overzicht pronostieken'!$E155)</f>
        <v>0</v>
      </c>
      <c r="AV155" s="168">
        <f>COUNTIF(Berekening!AT$81,'Overzicht pronostieken'!$E155)</f>
        <v>0</v>
      </c>
    </row>
    <row r="156" spans="3:48">
      <c r="E156" s="161" t="s">
        <v>1113</v>
      </c>
      <c r="F156" s="161">
        <f t="shared" si="9"/>
        <v>0</v>
      </c>
      <c r="G156" s="168">
        <f>COUNTIF(Berekening!E$81,'Overzicht pronostieken'!$E156)</f>
        <v>0</v>
      </c>
      <c r="H156" s="168">
        <f>COUNTIF(Berekening!F$81,'Overzicht pronostieken'!$E156)</f>
        <v>0</v>
      </c>
      <c r="I156" s="168">
        <f>COUNTIF(Berekening!G$81,'Overzicht pronostieken'!$E156)</f>
        <v>0</v>
      </c>
      <c r="J156" s="168">
        <f>COUNTIF(Berekening!H$81,'Overzicht pronostieken'!$E156)</f>
        <v>0</v>
      </c>
      <c r="K156" s="168">
        <f>COUNTIF(Berekening!I$81,'Overzicht pronostieken'!$E156)</f>
        <v>0</v>
      </c>
      <c r="L156" s="168">
        <f>COUNTIF(Berekening!J$81,'Overzicht pronostieken'!$E156)</f>
        <v>0</v>
      </c>
      <c r="M156" s="168">
        <f>COUNTIF(Berekening!K$81,'Overzicht pronostieken'!$E156)</f>
        <v>0</v>
      </c>
      <c r="N156" s="168">
        <f>COUNTIF(Berekening!L$81,'Overzicht pronostieken'!$E156)</f>
        <v>0</v>
      </c>
      <c r="O156" s="168">
        <f>COUNTIF(Berekening!M$81,'Overzicht pronostieken'!$E156)</f>
        <v>0</v>
      </c>
      <c r="P156" s="168">
        <f>COUNTIF(Berekening!N$81,'Overzicht pronostieken'!$E156)</f>
        <v>0</v>
      </c>
      <c r="Q156" s="168">
        <f>COUNTIF(Berekening!O$81,'Overzicht pronostieken'!$E156)</f>
        <v>0</v>
      </c>
      <c r="R156" s="168">
        <f>COUNTIF(Berekening!P$81,'Overzicht pronostieken'!$E156)</f>
        <v>0</v>
      </c>
      <c r="S156" s="168">
        <f>COUNTIF(Berekening!Q$81,'Overzicht pronostieken'!$E156)</f>
        <v>0</v>
      </c>
      <c r="T156" s="168">
        <f>COUNTIF(Berekening!R$81,'Overzicht pronostieken'!$E156)</f>
        <v>0</v>
      </c>
      <c r="U156" s="168">
        <f>COUNTIF(Berekening!S$81,'Overzicht pronostieken'!$E156)</f>
        <v>0</v>
      </c>
      <c r="V156" s="168">
        <f>COUNTIF(Berekening!T$81,'Overzicht pronostieken'!$E156)</f>
        <v>0</v>
      </c>
      <c r="W156" s="168">
        <f>COUNTIF(Berekening!U$81,'Overzicht pronostieken'!$E156)</f>
        <v>0</v>
      </c>
      <c r="X156" s="168">
        <f>COUNTIF(Berekening!V$81,'Overzicht pronostieken'!$E156)</f>
        <v>0</v>
      </c>
      <c r="Y156" s="168">
        <f>COUNTIF(Berekening!W$81,'Overzicht pronostieken'!$E156)</f>
        <v>0</v>
      </c>
      <c r="Z156" s="168">
        <f>COUNTIF(Berekening!X$81,'Overzicht pronostieken'!$E156)</f>
        <v>0</v>
      </c>
      <c r="AA156" s="168">
        <f>COUNTIF(Berekening!Y$81,'Overzicht pronostieken'!$E156)</f>
        <v>0</v>
      </c>
      <c r="AB156" s="168">
        <f>COUNTIF(Berekening!Z$81,'Overzicht pronostieken'!$E156)</f>
        <v>0</v>
      </c>
      <c r="AC156" s="168">
        <f>COUNTIF(Berekening!AA$81,'Overzicht pronostieken'!$E156)</f>
        <v>0</v>
      </c>
      <c r="AD156" s="168">
        <f>COUNTIF(Berekening!AB$81,'Overzicht pronostieken'!$E156)</f>
        <v>0</v>
      </c>
      <c r="AE156" s="168">
        <f>COUNTIF(Berekening!AC$81,'Overzicht pronostieken'!$E156)</f>
        <v>0</v>
      </c>
      <c r="AF156" s="168">
        <f>COUNTIF(Berekening!AD$81,'Overzicht pronostieken'!$E156)</f>
        <v>0</v>
      </c>
      <c r="AG156" s="168">
        <f>COUNTIF(Berekening!AE$81,'Overzicht pronostieken'!$E156)</f>
        <v>0</v>
      </c>
      <c r="AH156" s="168">
        <f>COUNTIF(Berekening!AF$81,'Overzicht pronostieken'!$E156)</f>
        <v>0</v>
      </c>
      <c r="AI156" s="168">
        <f>COUNTIF(Berekening!AG$81,'Overzicht pronostieken'!$E156)</f>
        <v>0</v>
      </c>
      <c r="AJ156" s="168">
        <f>COUNTIF(Berekening!AH$81,'Overzicht pronostieken'!$E156)</f>
        <v>0</v>
      </c>
      <c r="AK156" s="168">
        <f>COUNTIF(Berekening!AI$81,'Overzicht pronostieken'!$E156)</f>
        <v>0</v>
      </c>
      <c r="AL156" s="168">
        <f>COUNTIF(Berekening!AJ$81,'Overzicht pronostieken'!$E156)</f>
        <v>0</v>
      </c>
      <c r="AM156" s="168">
        <f>COUNTIF(Berekening!AK$81,'Overzicht pronostieken'!$E156)</f>
        <v>0</v>
      </c>
      <c r="AN156" s="168">
        <f>COUNTIF(Berekening!AL$81,'Overzicht pronostieken'!$E156)</f>
        <v>0</v>
      </c>
      <c r="AO156" s="168">
        <f>COUNTIF(Berekening!AM$81,'Overzicht pronostieken'!$E156)</f>
        <v>0</v>
      </c>
      <c r="AP156" s="168">
        <f>COUNTIF(Berekening!AN$81,'Overzicht pronostieken'!$E156)</f>
        <v>0</v>
      </c>
      <c r="AQ156" s="168">
        <f>COUNTIF(Berekening!AO$81,'Overzicht pronostieken'!$E156)</f>
        <v>0</v>
      </c>
      <c r="AR156" s="168">
        <f>COUNTIF(Berekening!AP$81,'Overzicht pronostieken'!$E156)</f>
        <v>0</v>
      </c>
      <c r="AS156" s="168">
        <f>COUNTIF(Berekening!AQ$81,'Overzicht pronostieken'!$E156)</f>
        <v>0</v>
      </c>
      <c r="AT156" s="168">
        <f>COUNTIF(Berekening!AR$81,'Overzicht pronostieken'!$E156)</f>
        <v>0</v>
      </c>
      <c r="AU156" s="168">
        <f>COUNTIF(Berekening!AS$81,'Overzicht pronostieken'!$E156)</f>
        <v>0</v>
      </c>
      <c r="AV156" s="168">
        <f>COUNTIF(Berekening!AT$81,'Overzicht pronostieken'!$E156)</f>
        <v>0</v>
      </c>
    </row>
    <row r="157" spans="3:48">
      <c r="E157" s="161" t="s">
        <v>1077</v>
      </c>
      <c r="F157" s="161">
        <f t="shared" si="9"/>
        <v>3</v>
      </c>
      <c r="G157" s="168">
        <f>COUNTIF(Berekening!E$81,'Overzicht pronostieken'!$E157)</f>
        <v>0</v>
      </c>
      <c r="H157" s="168">
        <f>COUNTIF(Berekening!F$81,'Overzicht pronostieken'!$E157)</f>
        <v>0</v>
      </c>
      <c r="I157" s="168">
        <f>COUNTIF(Berekening!G$81,'Overzicht pronostieken'!$E157)</f>
        <v>1</v>
      </c>
      <c r="J157" s="168">
        <f>COUNTIF(Berekening!H$81,'Overzicht pronostieken'!$E157)</f>
        <v>0</v>
      </c>
      <c r="K157" s="168">
        <f>COUNTIF(Berekening!I$81,'Overzicht pronostieken'!$E157)</f>
        <v>0</v>
      </c>
      <c r="L157" s="168">
        <f>COUNTIF(Berekening!J$81,'Overzicht pronostieken'!$E157)</f>
        <v>0</v>
      </c>
      <c r="M157" s="168">
        <f>COUNTIF(Berekening!K$81,'Overzicht pronostieken'!$E157)</f>
        <v>0</v>
      </c>
      <c r="N157" s="168">
        <f>COUNTIF(Berekening!L$81,'Overzicht pronostieken'!$E157)</f>
        <v>0</v>
      </c>
      <c r="O157" s="168">
        <f>COUNTIF(Berekening!M$81,'Overzicht pronostieken'!$E157)</f>
        <v>1</v>
      </c>
      <c r="P157" s="168">
        <f>COUNTIF(Berekening!N$81,'Overzicht pronostieken'!$E157)</f>
        <v>0</v>
      </c>
      <c r="Q157" s="168">
        <f>COUNTIF(Berekening!O$81,'Overzicht pronostieken'!$E157)</f>
        <v>0</v>
      </c>
      <c r="R157" s="168">
        <f>COUNTIF(Berekening!P$81,'Overzicht pronostieken'!$E157)</f>
        <v>0</v>
      </c>
      <c r="S157" s="168">
        <f>COUNTIF(Berekening!Q$81,'Overzicht pronostieken'!$E157)</f>
        <v>0</v>
      </c>
      <c r="T157" s="168">
        <f>COUNTIF(Berekening!R$81,'Overzicht pronostieken'!$E157)</f>
        <v>0</v>
      </c>
      <c r="U157" s="168">
        <f>COUNTIF(Berekening!S$81,'Overzicht pronostieken'!$E157)</f>
        <v>0</v>
      </c>
      <c r="V157" s="168">
        <f>COUNTIF(Berekening!T$81,'Overzicht pronostieken'!$E157)</f>
        <v>1</v>
      </c>
      <c r="W157" s="168">
        <f>COUNTIF(Berekening!U$81,'Overzicht pronostieken'!$E157)</f>
        <v>0</v>
      </c>
      <c r="X157" s="168">
        <f>COUNTIF(Berekening!V$81,'Overzicht pronostieken'!$E157)</f>
        <v>0</v>
      </c>
      <c r="Y157" s="168">
        <f>COUNTIF(Berekening!W$81,'Overzicht pronostieken'!$E157)</f>
        <v>0</v>
      </c>
      <c r="Z157" s="168">
        <f>COUNTIF(Berekening!X$81,'Overzicht pronostieken'!$E157)</f>
        <v>0</v>
      </c>
      <c r="AA157" s="168">
        <f>COUNTIF(Berekening!Y$81,'Overzicht pronostieken'!$E157)</f>
        <v>0</v>
      </c>
      <c r="AB157" s="168">
        <f>COUNTIF(Berekening!Z$81,'Overzicht pronostieken'!$E157)</f>
        <v>0</v>
      </c>
      <c r="AC157" s="168">
        <f>COUNTIF(Berekening!AA$81,'Overzicht pronostieken'!$E157)</f>
        <v>0</v>
      </c>
      <c r="AD157" s="168">
        <f>COUNTIF(Berekening!AB$81,'Overzicht pronostieken'!$E157)</f>
        <v>0</v>
      </c>
      <c r="AE157" s="168">
        <f>COUNTIF(Berekening!AC$81,'Overzicht pronostieken'!$E157)</f>
        <v>0</v>
      </c>
      <c r="AF157" s="168">
        <f>COUNTIF(Berekening!AD$81,'Overzicht pronostieken'!$E157)</f>
        <v>0</v>
      </c>
      <c r="AG157" s="168">
        <f>COUNTIF(Berekening!AE$81,'Overzicht pronostieken'!$E157)</f>
        <v>0</v>
      </c>
      <c r="AH157" s="168">
        <f>COUNTIF(Berekening!AF$81,'Overzicht pronostieken'!$E157)</f>
        <v>0</v>
      </c>
      <c r="AI157" s="168">
        <f>COUNTIF(Berekening!AG$81,'Overzicht pronostieken'!$E157)</f>
        <v>0</v>
      </c>
      <c r="AJ157" s="168">
        <f>COUNTIF(Berekening!AH$81,'Overzicht pronostieken'!$E157)</f>
        <v>0</v>
      </c>
      <c r="AK157" s="168">
        <f>COUNTIF(Berekening!AI$81,'Overzicht pronostieken'!$E157)</f>
        <v>0</v>
      </c>
      <c r="AL157" s="168">
        <f>COUNTIF(Berekening!AJ$81,'Overzicht pronostieken'!$E157)</f>
        <v>0</v>
      </c>
      <c r="AM157" s="168">
        <f>COUNTIF(Berekening!AK$81,'Overzicht pronostieken'!$E157)</f>
        <v>0</v>
      </c>
      <c r="AN157" s="168">
        <f>COUNTIF(Berekening!AL$81,'Overzicht pronostieken'!$E157)</f>
        <v>0</v>
      </c>
      <c r="AO157" s="168">
        <f>COUNTIF(Berekening!AM$81,'Overzicht pronostieken'!$E157)</f>
        <v>0</v>
      </c>
      <c r="AP157" s="168">
        <f>COUNTIF(Berekening!AN$81,'Overzicht pronostieken'!$E157)</f>
        <v>0</v>
      </c>
      <c r="AQ157" s="168">
        <f>COUNTIF(Berekening!AO$81,'Overzicht pronostieken'!$E157)</f>
        <v>0</v>
      </c>
      <c r="AR157" s="168">
        <f>COUNTIF(Berekening!AP$81,'Overzicht pronostieken'!$E157)</f>
        <v>0</v>
      </c>
      <c r="AS157" s="168">
        <f>COUNTIF(Berekening!AQ$81,'Overzicht pronostieken'!$E157)</f>
        <v>0</v>
      </c>
      <c r="AT157" s="168">
        <f>COUNTIF(Berekening!AR$81,'Overzicht pronostieken'!$E157)</f>
        <v>0</v>
      </c>
      <c r="AU157" s="168">
        <f>COUNTIF(Berekening!AS$81,'Overzicht pronostieken'!$E157)</f>
        <v>0</v>
      </c>
      <c r="AV157" s="168">
        <f>COUNTIF(Berekening!AT$81,'Overzicht pronostieken'!$E157)</f>
        <v>0</v>
      </c>
    </row>
    <row r="158" spans="3:48">
      <c r="E158" s="161" t="s">
        <v>1016</v>
      </c>
      <c r="F158" s="161">
        <f t="shared" si="9"/>
        <v>0</v>
      </c>
      <c r="G158" s="168">
        <f>COUNTIF(Berekening!E$81,'Overzicht pronostieken'!$E158)</f>
        <v>0</v>
      </c>
      <c r="H158" s="168">
        <f>COUNTIF(Berekening!F$81,'Overzicht pronostieken'!$E158)</f>
        <v>0</v>
      </c>
      <c r="I158" s="168">
        <f>COUNTIF(Berekening!G$81,'Overzicht pronostieken'!$E158)</f>
        <v>0</v>
      </c>
      <c r="J158" s="168">
        <f>COUNTIF(Berekening!H$81,'Overzicht pronostieken'!$E158)</f>
        <v>0</v>
      </c>
      <c r="K158" s="168">
        <f>COUNTIF(Berekening!I$81,'Overzicht pronostieken'!$E158)</f>
        <v>0</v>
      </c>
      <c r="L158" s="168">
        <f>COUNTIF(Berekening!J$81,'Overzicht pronostieken'!$E158)</f>
        <v>0</v>
      </c>
      <c r="M158" s="168">
        <f>COUNTIF(Berekening!K$81,'Overzicht pronostieken'!$E158)</f>
        <v>0</v>
      </c>
      <c r="N158" s="168">
        <f>COUNTIF(Berekening!L$81,'Overzicht pronostieken'!$E158)</f>
        <v>0</v>
      </c>
      <c r="O158" s="168">
        <f>COUNTIF(Berekening!M$81,'Overzicht pronostieken'!$E158)</f>
        <v>0</v>
      </c>
      <c r="P158" s="168">
        <f>COUNTIF(Berekening!N$81,'Overzicht pronostieken'!$E158)</f>
        <v>0</v>
      </c>
      <c r="Q158" s="168">
        <f>COUNTIF(Berekening!O$81,'Overzicht pronostieken'!$E158)</f>
        <v>0</v>
      </c>
      <c r="R158" s="168">
        <f>COUNTIF(Berekening!P$81,'Overzicht pronostieken'!$E158)</f>
        <v>0</v>
      </c>
      <c r="S158" s="168">
        <f>COUNTIF(Berekening!Q$81,'Overzicht pronostieken'!$E158)</f>
        <v>0</v>
      </c>
      <c r="T158" s="168">
        <f>COUNTIF(Berekening!R$81,'Overzicht pronostieken'!$E158)</f>
        <v>0</v>
      </c>
      <c r="U158" s="168">
        <f>COUNTIF(Berekening!S$81,'Overzicht pronostieken'!$E158)</f>
        <v>0</v>
      </c>
      <c r="V158" s="168">
        <f>COUNTIF(Berekening!T$81,'Overzicht pronostieken'!$E158)</f>
        <v>0</v>
      </c>
      <c r="W158" s="168">
        <f>COUNTIF(Berekening!U$81,'Overzicht pronostieken'!$E158)</f>
        <v>0</v>
      </c>
      <c r="X158" s="168">
        <f>COUNTIF(Berekening!V$81,'Overzicht pronostieken'!$E158)</f>
        <v>0</v>
      </c>
      <c r="Y158" s="168">
        <f>COUNTIF(Berekening!W$81,'Overzicht pronostieken'!$E158)</f>
        <v>0</v>
      </c>
      <c r="Z158" s="168">
        <f>COUNTIF(Berekening!X$81,'Overzicht pronostieken'!$E158)</f>
        <v>0</v>
      </c>
      <c r="AA158" s="168">
        <f>COUNTIF(Berekening!Y$81,'Overzicht pronostieken'!$E158)</f>
        <v>0</v>
      </c>
      <c r="AB158" s="168">
        <f>COUNTIF(Berekening!Z$81,'Overzicht pronostieken'!$E158)</f>
        <v>0</v>
      </c>
      <c r="AC158" s="168">
        <f>COUNTIF(Berekening!AA$81,'Overzicht pronostieken'!$E158)</f>
        <v>0</v>
      </c>
      <c r="AD158" s="168">
        <f>COUNTIF(Berekening!AB$81,'Overzicht pronostieken'!$E158)</f>
        <v>0</v>
      </c>
      <c r="AE158" s="168">
        <f>COUNTIF(Berekening!AC$81,'Overzicht pronostieken'!$E158)</f>
        <v>0</v>
      </c>
      <c r="AF158" s="168">
        <f>COUNTIF(Berekening!AD$81,'Overzicht pronostieken'!$E158)</f>
        <v>0</v>
      </c>
      <c r="AG158" s="168">
        <f>COUNTIF(Berekening!AE$81,'Overzicht pronostieken'!$E158)</f>
        <v>0</v>
      </c>
      <c r="AH158" s="168">
        <f>COUNTIF(Berekening!AF$81,'Overzicht pronostieken'!$E158)</f>
        <v>0</v>
      </c>
      <c r="AI158" s="168">
        <f>COUNTIF(Berekening!AG$81,'Overzicht pronostieken'!$E158)</f>
        <v>0</v>
      </c>
      <c r="AJ158" s="168">
        <f>COUNTIF(Berekening!AH$81,'Overzicht pronostieken'!$E158)</f>
        <v>0</v>
      </c>
      <c r="AK158" s="168">
        <f>COUNTIF(Berekening!AI$81,'Overzicht pronostieken'!$E158)</f>
        <v>0</v>
      </c>
      <c r="AL158" s="168">
        <f>COUNTIF(Berekening!AJ$81,'Overzicht pronostieken'!$E158)</f>
        <v>0</v>
      </c>
      <c r="AM158" s="168">
        <f>COUNTIF(Berekening!AK$81,'Overzicht pronostieken'!$E158)</f>
        <v>0</v>
      </c>
      <c r="AN158" s="168">
        <f>COUNTIF(Berekening!AL$81,'Overzicht pronostieken'!$E158)</f>
        <v>0</v>
      </c>
      <c r="AO158" s="168">
        <f>COUNTIF(Berekening!AM$81,'Overzicht pronostieken'!$E158)</f>
        <v>0</v>
      </c>
      <c r="AP158" s="168">
        <f>COUNTIF(Berekening!AN$81,'Overzicht pronostieken'!$E158)</f>
        <v>0</v>
      </c>
      <c r="AQ158" s="168">
        <f>COUNTIF(Berekening!AO$81,'Overzicht pronostieken'!$E158)</f>
        <v>0</v>
      </c>
      <c r="AR158" s="168">
        <f>COUNTIF(Berekening!AP$81,'Overzicht pronostieken'!$E158)</f>
        <v>0</v>
      </c>
      <c r="AS158" s="168">
        <f>COUNTIF(Berekening!AQ$81,'Overzicht pronostieken'!$E158)</f>
        <v>0</v>
      </c>
      <c r="AT158" s="168">
        <f>COUNTIF(Berekening!AR$81,'Overzicht pronostieken'!$E158)</f>
        <v>0</v>
      </c>
      <c r="AU158" s="168">
        <f>COUNTIF(Berekening!AS$81,'Overzicht pronostieken'!$E158)</f>
        <v>0</v>
      </c>
      <c r="AV158" s="168">
        <f>COUNTIF(Berekening!AT$81,'Overzicht pronostieken'!$E158)</f>
        <v>0</v>
      </c>
    </row>
    <row r="159" spans="3:48">
      <c r="E159" s="161" t="s">
        <v>1533</v>
      </c>
      <c r="F159" s="161">
        <f t="shared" si="9"/>
        <v>0</v>
      </c>
      <c r="G159" s="168">
        <f>COUNTIF(Berekening!E$81,'Overzicht pronostieken'!$E159)</f>
        <v>0</v>
      </c>
      <c r="H159" s="168">
        <f>COUNTIF(Berekening!F$81,'Overzicht pronostieken'!$E159)</f>
        <v>0</v>
      </c>
      <c r="I159" s="168">
        <f>COUNTIF(Berekening!G$81,'Overzicht pronostieken'!$E159)</f>
        <v>0</v>
      </c>
      <c r="J159" s="168">
        <f>COUNTIF(Berekening!H$81,'Overzicht pronostieken'!$E159)</f>
        <v>0</v>
      </c>
      <c r="K159" s="168">
        <f>COUNTIF(Berekening!I$81,'Overzicht pronostieken'!$E159)</f>
        <v>0</v>
      </c>
      <c r="L159" s="168">
        <f>COUNTIF(Berekening!J$81,'Overzicht pronostieken'!$E159)</f>
        <v>0</v>
      </c>
      <c r="M159" s="168">
        <f>COUNTIF(Berekening!K$81,'Overzicht pronostieken'!$E159)</f>
        <v>0</v>
      </c>
      <c r="N159" s="168">
        <f>COUNTIF(Berekening!L$81,'Overzicht pronostieken'!$E159)</f>
        <v>0</v>
      </c>
      <c r="O159" s="168">
        <f>COUNTIF(Berekening!M$81,'Overzicht pronostieken'!$E159)</f>
        <v>0</v>
      </c>
      <c r="P159" s="168">
        <f>COUNTIF(Berekening!N$81,'Overzicht pronostieken'!$E159)</f>
        <v>0</v>
      </c>
      <c r="Q159" s="168">
        <f>COUNTIF(Berekening!O$81,'Overzicht pronostieken'!$E159)</f>
        <v>0</v>
      </c>
      <c r="R159" s="168">
        <f>COUNTIF(Berekening!P$81,'Overzicht pronostieken'!$E159)</f>
        <v>0</v>
      </c>
      <c r="S159" s="168">
        <f>COUNTIF(Berekening!Q$81,'Overzicht pronostieken'!$E159)</f>
        <v>0</v>
      </c>
      <c r="T159" s="168">
        <f>COUNTIF(Berekening!R$81,'Overzicht pronostieken'!$E159)</f>
        <v>0</v>
      </c>
      <c r="U159" s="168">
        <f>COUNTIF(Berekening!S$81,'Overzicht pronostieken'!$E159)</f>
        <v>0</v>
      </c>
      <c r="V159" s="168">
        <f>COUNTIF(Berekening!T$81,'Overzicht pronostieken'!$E159)</f>
        <v>0</v>
      </c>
      <c r="W159" s="168">
        <f>COUNTIF(Berekening!U$81,'Overzicht pronostieken'!$E159)</f>
        <v>0</v>
      </c>
      <c r="X159" s="168">
        <f>COUNTIF(Berekening!V$81,'Overzicht pronostieken'!$E159)</f>
        <v>0</v>
      </c>
      <c r="Y159" s="168">
        <f>COUNTIF(Berekening!W$81,'Overzicht pronostieken'!$E159)</f>
        <v>0</v>
      </c>
      <c r="Z159" s="168">
        <f>COUNTIF(Berekening!X$81,'Overzicht pronostieken'!$E159)</f>
        <v>0</v>
      </c>
      <c r="AA159" s="168">
        <f>COUNTIF(Berekening!Y$81,'Overzicht pronostieken'!$E159)</f>
        <v>0</v>
      </c>
      <c r="AB159" s="168">
        <f>COUNTIF(Berekening!Z$81,'Overzicht pronostieken'!$E159)</f>
        <v>0</v>
      </c>
      <c r="AC159" s="168">
        <f>COUNTIF(Berekening!AA$81,'Overzicht pronostieken'!$E159)</f>
        <v>0</v>
      </c>
      <c r="AD159" s="168">
        <f>COUNTIF(Berekening!AB$81,'Overzicht pronostieken'!$E159)</f>
        <v>0</v>
      </c>
      <c r="AE159" s="168">
        <f>COUNTIF(Berekening!AC$81,'Overzicht pronostieken'!$E159)</f>
        <v>0</v>
      </c>
      <c r="AF159" s="168">
        <f>COUNTIF(Berekening!AD$81,'Overzicht pronostieken'!$E159)</f>
        <v>0</v>
      </c>
      <c r="AG159" s="168">
        <f>COUNTIF(Berekening!AE$81,'Overzicht pronostieken'!$E159)</f>
        <v>0</v>
      </c>
      <c r="AH159" s="168">
        <f>COUNTIF(Berekening!AF$81,'Overzicht pronostieken'!$E159)</f>
        <v>0</v>
      </c>
      <c r="AI159" s="168">
        <f>COUNTIF(Berekening!AG$81,'Overzicht pronostieken'!$E159)</f>
        <v>0</v>
      </c>
      <c r="AJ159" s="168">
        <f>COUNTIF(Berekening!AH$81,'Overzicht pronostieken'!$E159)</f>
        <v>0</v>
      </c>
      <c r="AK159" s="168">
        <f>COUNTIF(Berekening!AI$81,'Overzicht pronostieken'!$E159)</f>
        <v>0</v>
      </c>
      <c r="AL159" s="168">
        <f>COUNTIF(Berekening!AJ$81,'Overzicht pronostieken'!$E159)</f>
        <v>0</v>
      </c>
      <c r="AM159" s="168">
        <f>COUNTIF(Berekening!AK$81,'Overzicht pronostieken'!$E159)</f>
        <v>0</v>
      </c>
      <c r="AN159" s="168">
        <f>COUNTIF(Berekening!AL$81,'Overzicht pronostieken'!$E159)</f>
        <v>0</v>
      </c>
      <c r="AO159" s="168">
        <f>COUNTIF(Berekening!AM$81,'Overzicht pronostieken'!$E159)</f>
        <v>0</v>
      </c>
      <c r="AP159" s="168">
        <f>COUNTIF(Berekening!AN$81,'Overzicht pronostieken'!$E159)</f>
        <v>0</v>
      </c>
      <c r="AQ159" s="168">
        <f>COUNTIF(Berekening!AO$81,'Overzicht pronostieken'!$E159)</f>
        <v>0</v>
      </c>
      <c r="AR159" s="168">
        <f>COUNTIF(Berekening!AP$81,'Overzicht pronostieken'!$E159)</f>
        <v>0</v>
      </c>
      <c r="AS159" s="168">
        <f>COUNTIF(Berekening!AQ$81,'Overzicht pronostieken'!$E159)</f>
        <v>0</v>
      </c>
      <c r="AT159" s="168">
        <f>COUNTIF(Berekening!AR$81,'Overzicht pronostieken'!$E159)</f>
        <v>0</v>
      </c>
      <c r="AU159" s="168">
        <f>COUNTIF(Berekening!AS$81,'Overzicht pronostieken'!$E159)</f>
        <v>0</v>
      </c>
      <c r="AV159" s="168">
        <f>COUNTIF(Berekening!AT$81,'Overzicht pronostieken'!$E159)</f>
        <v>0</v>
      </c>
    </row>
    <row r="160" spans="3:48">
      <c r="E160" s="161" t="s">
        <v>2630</v>
      </c>
      <c r="F160" s="161">
        <f t="shared" si="9"/>
        <v>0</v>
      </c>
      <c r="G160" s="168">
        <f>COUNTIF(Berekening!E$81,'Overzicht pronostieken'!$E160)</f>
        <v>0</v>
      </c>
      <c r="H160" s="168">
        <f>COUNTIF(Berekening!F$81,'Overzicht pronostieken'!$E160)</f>
        <v>0</v>
      </c>
      <c r="I160" s="168">
        <f>COUNTIF(Berekening!G$81,'Overzicht pronostieken'!$E160)</f>
        <v>0</v>
      </c>
      <c r="J160" s="168">
        <f>COUNTIF(Berekening!H$81,'Overzicht pronostieken'!$E160)</f>
        <v>0</v>
      </c>
      <c r="K160" s="168">
        <f>COUNTIF(Berekening!I$81,'Overzicht pronostieken'!$E160)</f>
        <v>0</v>
      </c>
      <c r="L160" s="168">
        <f>COUNTIF(Berekening!J$81,'Overzicht pronostieken'!$E160)</f>
        <v>0</v>
      </c>
      <c r="M160" s="168">
        <f>COUNTIF(Berekening!K$81,'Overzicht pronostieken'!$E160)</f>
        <v>0</v>
      </c>
      <c r="N160" s="168">
        <f>COUNTIF(Berekening!L$81,'Overzicht pronostieken'!$E160)</f>
        <v>0</v>
      </c>
      <c r="O160" s="168">
        <f>COUNTIF(Berekening!M$81,'Overzicht pronostieken'!$E160)</f>
        <v>0</v>
      </c>
      <c r="P160" s="168">
        <f>COUNTIF(Berekening!N$81,'Overzicht pronostieken'!$E160)</f>
        <v>0</v>
      </c>
      <c r="Q160" s="168">
        <f>COUNTIF(Berekening!O$81,'Overzicht pronostieken'!$E160)</f>
        <v>0</v>
      </c>
      <c r="R160" s="168">
        <f>COUNTIF(Berekening!P$81,'Overzicht pronostieken'!$E160)</f>
        <v>0</v>
      </c>
      <c r="S160" s="168">
        <f>COUNTIF(Berekening!Q$81,'Overzicht pronostieken'!$E160)</f>
        <v>0</v>
      </c>
      <c r="T160" s="168">
        <f>COUNTIF(Berekening!R$81,'Overzicht pronostieken'!$E160)</f>
        <v>0</v>
      </c>
      <c r="U160" s="168">
        <f>COUNTIF(Berekening!S$81,'Overzicht pronostieken'!$E160)</f>
        <v>0</v>
      </c>
      <c r="V160" s="168">
        <f>COUNTIF(Berekening!T$81,'Overzicht pronostieken'!$E160)</f>
        <v>0</v>
      </c>
      <c r="W160" s="168">
        <f>COUNTIF(Berekening!U$81,'Overzicht pronostieken'!$E160)</f>
        <v>0</v>
      </c>
      <c r="X160" s="168">
        <f>COUNTIF(Berekening!V$81,'Overzicht pronostieken'!$E160)</f>
        <v>0</v>
      </c>
      <c r="Y160" s="168">
        <f>COUNTIF(Berekening!W$81,'Overzicht pronostieken'!$E160)</f>
        <v>0</v>
      </c>
      <c r="Z160" s="168">
        <f>COUNTIF(Berekening!X$81,'Overzicht pronostieken'!$E160)</f>
        <v>0</v>
      </c>
      <c r="AA160" s="168">
        <f>COUNTIF(Berekening!Y$81,'Overzicht pronostieken'!$E160)</f>
        <v>0</v>
      </c>
      <c r="AB160" s="168">
        <f>COUNTIF(Berekening!Z$81,'Overzicht pronostieken'!$E160)</f>
        <v>0</v>
      </c>
      <c r="AC160" s="168">
        <f>COUNTIF(Berekening!AA$81,'Overzicht pronostieken'!$E160)</f>
        <v>0</v>
      </c>
      <c r="AD160" s="168">
        <f>COUNTIF(Berekening!AB$81,'Overzicht pronostieken'!$E160)</f>
        <v>0</v>
      </c>
      <c r="AE160" s="168">
        <f>COUNTIF(Berekening!AC$81,'Overzicht pronostieken'!$E160)</f>
        <v>0</v>
      </c>
      <c r="AF160" s="168">
        <f>COUNTIF(Berekening!AD$81,'Overzicht pronostieken'!$E160)</f>
        <v>0</v>
      </c>
      <c r="AG160" s="168">
        <f>COUNTIF(Berekening!AE$81,'Overzicht pronostieken'!$E160)</f>
        <v>0</v>
      </c>
      <c r="AH160" s="168">
        <f>COUNTIF(Berekening!AF$81,'Overzicht pronostieken'!$E160)</f>
        <v>0</v>
      </c>
      <c r="AI160" s="168">
        <f>COUNTIF(Berekening!AG$81,'Overzicht pronostieken'!$E160)</f>
        <v>0</v>
      </c>
      <c r="AJ160" s="168">
        <f>COUNTIF(Berekening!AH$81,'Overzicht pronostieken'!$E160)</f>
        <v>0</v>
      </c>
      <c r="AK160" s="168">
        <f>COUNTIF(Berekening!AI$81,'Overzicht pronostieken'!$E160)</f>
        <v>0</v>
      </c>
      <c r="AL160" s="168">
        <f>COUNTIF(Berekening!AJ$81,'Overzicht pronostieken'!$E160)</f>
        <v>0</v>
      </c>
      <c r="AM160" s="168">
        <f>COUNTIF(Berekening!AK$81,'Overzicht pronostieken'!$E160)</f>
        <v>0</v>
      </c>
      <c r="AN160" s="168">
        <f>COUNTIF(Berekening!AL$81,'Overzicht pronostieken'!$E160)</f>
        <v>0</v>
      </c>
      <c r="AO160" s="168">
        <f>COUNTIF(Berekening!AM$81,'Overzicht pronostieken'!$E160)</f>
        <v>0</v>
      </c>
      <c r="AP160" s="168">
        <f>COUNTIF(Berekening!AN$81,'Overzicht pronostieken'!$E160)</f>
        <v>0</v>
      </c>
      <c r="AQ160" s="168">
        <f>COUNTIF(Berekening!AO$81,'Overzicht pronostieken'!$E160)</f>
        <v>0</v>
      </c>
      <c r="AR160" s="168">
        <f>COUNTIF(Berekening!AP$81,'Overzicht pronostieken'!$E160)</f>
        <v>0</v>
      </c>
      <c r="AS160" s="168">
        <f>COUNTIF(Berekening!AQ$81,'Overzicht pronostieken'!$E160)</f>
        <v>0</v>
      </c>
      <c r="AT160" s="168">
        <f>COUNTIF(Berekening!AR$81,'Overzicht pronostieken'!$E160)</f>
        <v>0</v>
      </c>
      <c r="AU160" s="168">
        <f>COUNTIF(Berekening!AS$81,'Overzicht pronostieken'!$E160)</f>
        <v>0</v>
      </c>
      <c r="AV160" s="168">
        <f>COUNTIF(Berekening!AT$81,'Overzicht pronostieken'!$E160)</f>
        <v>0</v>
      </c>
    </row>
    <row r="161" spans="5:48">
      <c r="E161" s="161" t="s">
        <v>1206</v>
      </c>
      <c r="F161" s="161">
        <f t="shared" si="9"/>
        <v>0</v>
      </c>
      <c r="G161" s="168">
        <f>COUNTIF(Berekening!E$81,'Overzicht pronostieken'!$E161)</f>
        <v>0</v>
      </c>
      <c r="H161" s="168">
        <f>COUNTIF(Berekening!F$81,'Overzicht pronostieken'!$E161)</f>
        <v>0</v>
      </c>
      <c r="I161" s="168">
        <f>COUNTIF(Berekening!G$81,'Overzicht pronostieken'!$E161)</f>
        <v>0</v>
      </c>
      <c r="J161" s="168">
        <f>COUNTIF(Berekening!H$81,'Overzicht pronostieken'!$E161)</f>
        <v>0</v>
      </c>
      <c r="K161" s="168">
        <f>COUNTIF(Berekening!I$81,'Overzicht pronostieken'!$E161)</f>
        <v>0</v>
      </c>
      <c r="L161" s="168">
        <f>COUNTIF(Berekening!J$81,'Overzicht pronostieken'!$E161)</f>
        <v>0</v>
      </c>
      <c r="M161" s="168">
        <f>COUNTIF(Berekening!K$81,'Overzicht pronostieken'!$E161)</f>
        <v>0</v>
      </c>
      <c r="N161" s="168">
        <f>COUNTIF(Berekening!L$81,'Overzicht pronostieken'!$E161)</f>
        <v>0</v>
      </c>
      <c r="O161" s="168">
        <f>COUNTIF(Berekening!M$81,'Overzicht pronostieken'!$E161)</f>
        <v>0</v>
      </c>
      <c r="P161" s="168">
        <f>COUNTIF(Berekening!N$81,'Overzicht pronostieken'!$E161)</f>
        <v>0</v>
      </c>
      <c r="Q161" s="168">
        <f>COUNTIF(Berekening!O$81,'Overzicht pronostieken'!$E161)</f>
        <v>0</v>
      </c>
      <c r="R161" s="168">
        <f>COUNTIF(Berekening!P$81,'Overzicht pronostieken'!$E161)</f>
        <v>0</v>
      </c>
      <c r="S161" s="168">
        <f>COUNTIF(Berekening!Q$81,'Overzicht pronostieken'!$E161)</f>
        <v>0</v>
      </c>
      <c r="T161" s="168">
        <f>COUNTIF(Berekening!R$81,'Overzicht pronostieken'!$E161)</f>
        <v>0</v>
      </c>
      <c r="U161" s="168">
        <f>COUNTIF(Berekening!S$81,'Overzicht pronostieken'!$E161)</f>
        <v>0</v>
      </c>
      <c r="V161" s="168">
        <f>COUNTIF(Berekening!T$81,'Overzicht pronostieken'!$E161)</f>
        <v>0</v>
      </c>
      <c r="W161" s="168">
        <f>COUNTIF(Berekening!U$81,'Overzicht pronostieken'!$E161)</f>
        <v>0</v>
      </c>
      <c r="X161" s="168">
        <f>COUNTIF(Berekening!V$81,'Overzicht pronostieken'!$E161)</f>
        <v>0</v>
      </c>
      <c r="Y161" s="168">
        <f>COUNTIF(Berekening!W$81,'Overzicht pronostieken'!$E161)</f>
        <v>0</v>
      </c>
      <c r="Z161" s="168">
        <f>COUNTIF(Berekening!X$81,'Overzicht pronostieken'!$E161)</f>
        <v>0</v>
      </c>
      <c r="AA161" s="168">
        <f>COUNTIF(Berekening!Y$81,'Overzicht pronostieken'!$E161)</f>
        <v>0</v>
      </c>
      <c r="AB161" s="168">
        <f>COUNTIF(Berekening!Z$81,'Overzicht pronostieken'!$E161)</f>
        <v>0</v>
      </c>
      <c r="AC161" s="168">
        <f>COUNTIF(Berekening!AA$81,'Overzicht pronostieken'!$E161)</f>
        <v>0</v>
      </c>
      <c r="AD161" s="168">
        <f>COUNTIF(Berekening!AB$81,'Overzicht pronostieken'!$E161)</f>
        <v>0</v>
      </c>
      <c r="AE161" s="168">
        <f>COUNTIF(Berekening!AC$81,'Overzicht pronostieken'!$E161)</f>
        <v>0</v>
      </c>
      <c r="AF161" s="168">
        <f>COUNTIF(Berekening!AD$81,'Overzicht pronostieken'!$E161)</f>
        <v>0</v>
      </c>
      <c r="AG161" s="168">
        <f>COUNTIF(Berekening!AE$81,'Overzicht pronostieken'!$E161)</f>
        <v>0</v>
      </c>
      <c r="AH161" s="168">
        <f>COUNTIF(Berekening!AF$81,'Overzicht pronostieken'!$E161)</f>
        <v>0</v>
      </c>
      <c r="AI161" s="168">
        <f>COUNTIF(Berekening!AG$81,'Overzicht pronostieken'!$E161)</f>
        <v>0</v>
      </c>
      <c r="AJ161" s="168">
        <f>COUNTIF(Berekening!AH$81,'Overzicht pronostieken'!$E161)</f>
        <v>0</v>
      </c>
      <c r="AK161" s="168">
        <f>COUNTIF(Berekening!AI$81,'Overzicht pronostieken'!$E161)</f>
        <v>0</v>
      </c>
      <c r="AL161" s="168">
        <f>COUNTIF(Berekening!AJ$81,'Overzicht pronostieken'!$E161)</f>
        <v>0</v>
      </c>
      <c r="AM161" s="168">
        <f>COUNTIF(Berekening!AK$81,'Overzicht pronostieken'!$E161)</f>
        <v>0</v>
      </c>
      <c r="AN161" s="168">
        <f>COUNTIF(Berekening!AL$81,'Overzicht pronostieken'!$E161)</f>
        <v>0</v>
      </c>
      <c r="AO161" s="168">
        <f>COUNTIF(Berekening!AM$81,'Overzicht pronostieken'!$E161)</f>
        <v>0</v>
      </c>
      <c r="AP161" s="168">
        <f>COUNTIF(Berekening!AN$81,'Overzicht pronostieken'!$E161)</f>
        <v>0</v>
      </c>
      <c r="AQ161" s="168">
        <f>COUNTIF(Berekening!AO$81,'Overzicht pronostieken'!$E161)</f>
        <v>0</v>
      </c>
      <c r="AR161" s="168">
        <f>COUNTIF(Berekening!AP$81,'Overzicht pronostieken'!$E161)</f>
        <v>0</v>
      </c>
      <c r="AS161" s="168">
        <f>COUNTIF(Berekening!AQ$81,'Overzicht pronostieken'!$E161)</f>
        <v>0</v>
      </c>
      <c r="AT161" s="168">
        <f>COUNTIF(Berekening!AR$81,'Overzicht pronostieken'!$E161)</f>
        <v>0</v>
      </c>
      <c r="AU161" s="168">
        <f>COUNTIF(Berekening!AS$81,'Overzicht pronostieken'!$E161)</f>
        <v>0</v>
      </c>
      <c r="AV161" s="168">
        <f>COUNTIF(Berekening!AT$81,'Overzicht pronostieken'!$E161)</f>
        <v>0</v>
      </c>
    </row>
    <row r="162" spans="5:48">
      <c r="E162" s="161" t="s">
        <v>1856</v>
      </c>
      <c r="F162" s="161">
        <f t="shared" si="9"/>
        <v>4</v>
      </c>
      <c r="G162" s="168">
        <f>COUNTIF(Berekening!E$81,'Overzicht pronostieken'!$E162)</f>
        <v>1</v>
      </c>
      <c r="H162" s="168">
        <f>COUNTIF(Berekening!F$81,'Overzicht pronostieken'!$E162)</f>
        <v>0</v>
      </c>
      <c r="I162" s="168">
        <f>COUNTIF(Berekening!G$81,'Overzicht pronostieken'!$E162)</f>
        <v>0</v>
      </c>
      <c r="J162" s="168">
        <f>COUNTIF(Berekening!H$81,'Overzicht pronostieken'!$E162)</f>
        <v>0</v>
      </c>
      <c r="K162" s="168">
        <f>COUNTIF(Berekening!I$81,'Overzicht pronostieken'!$E162)</f>
        <v>0</v>
      </c>
      <c r="L162" s="168">
        <f>COUNTIF(Berekening!J$81,'Overzicht pronostieken'!$E162)</f>
        <v>0</v>
      </c>
      <c r="M162" s="168">
        <f>COUNTIF(Berekening!K$81,'Overzicht pronostieken'!$E162)</f>
        <v>0</v>
      </c>
      <c r="N162" s="168">
        <f>COUNTIF(Berekening!L$81,'Overzicht pronostieken'!$E162)</f>
        <v>1</v>
      </c>
      <c r="O162" s="168">
        <f>COUNTIF(Berekening!M$81,'Overzicht pronostieken'!$E162)</f>
        <v>0</v>
      </c>
      <c r="P162" s="168">
        <f>COUNTIF(Berekening!N$81,'Overzicht pronostieken'!$E162)</f>
        <v>1</v>
      </c>
      <c r="Q162" s="168">
        <f>COUNTIF(Berekening!O$81,'Overzicht pronostieken'!$E162)</f>
        <v>0</v>
      </c>
      <c r="R162" s="168">
        <f>COUNTIF(Berekening!P$81,'Overzicht pronostieken'!$E162)</f>
        <v>0</v>
      </c>
      <c r="S162" s="168">
        <f>COUNTIF(Berekening!Q$81,'Overzicht pronostieken'!$E162)</f>
        <v>0</v>
      </c>
      <c r="T162" s="168">
        <f>COUNTIF(Berekening!R$81,'Overzicht pronostieken'!$E162)</f>
        <v>0</v>
      </c>
      <c r="U162" s="168">
        <f>COUNTIF(Berekening!S$81,'Overzicht pronostieken'!$E162)</f>
        <v>1</v>
      </c>
      <c r="V162" s="168">
        <f>COUNTIF(Berekening!T$81,'Overzicht pronostieken'!$E162)</f>
        <v>0</v>
      </c>
      <c r="W162" s="168">
        <f>COUNTIF(Berekening!U$81,'Overzicht pronostieken'!$E162)</f>
        <v>0</v>
      </c>
      <c r="X162" s="168">
        <f>COUNTIF(Berekening!V$81,'Overzicht pronostieken'!$E162)</f>
        <v>0</v>
      </c>
      <c r="Y162" s="168">
        <f>COUNTIF(Berekening!W$81,'Overzicht pronostieken'!$E162)</f>
        <v>0</v>
      </c>
      <c r="Z162" s="168">
        <f>COUNTIF(Berekening!X$81,'Overzicht pronostieken'!$E162)</f>
        <v>0</v>
      </c>
      <c r="AA162" s="168">
        <f>COUNTIF(Berekening!Y$81,'Overzicht pronostieken'!$E162)</f>
        <v>0</v>
      </c>
      <c r="AB162" s="168">
        <f>COUNTIF(Berekening!Z$81,'Overzicht pronostieken'!$E162)</f>
        <v>0</v>
      </c>
      <c r="AC162" s="168">
        <f>COUNTIF(Berekening!AA$81,'Overzicht pronostieken'!$E162)</f>
        <v>0</v>
      </c>
      <c r="AD162" s="168">
        <f>COUNTIF(Berekening!AB$81,'Overzicht pronostieken'!$E162)</f>
        <v>0</v>
      </c>
      <c r="AE162" s="168">
        <f>COUNTIF(Berekening!AC$81,'Overzicht pronostieken'!$E162)</f>
        <v>0</v>
      </c>
      <c r="AF162" s="168">
        <f>COUNTIF(Berekening!AD$81,'Overzicht pronostieken'!$E162)</f>
        <v>0</v>
      </c>
      <c r="AG162" s="168">
        <f>COUNTIF(Berekening!AE$81,'Overzicht pronostieken'!$E162)</f>
        <v>0</v>
      </c>
      <c r="AH162" s="168">
        <f>COUNTIF(Berekening!AF$81,'Overzicht pronostieken'!$E162)</f>
        <v>0</v>
      </c>
      <c r="AI162" s="168">
        <f>COUNTIF(Berekening!AG$81,'Overzicht pronostieken'!$E162)</f>
        <v>0</v>
      </c>
      <c r="AJ162" s="168">
        <f>COUNTIF(Berekening!AH$81,'Overzicht pronostieken'!$E162)</f>
        <v>0</v>
      </c>
      <c r="AK162" s="168">
        <f>COUNTIF(Berekening!AI$81,'Overzicht pronostieken'!$E162)</f>
        <v>0</v>
      </c>
      <c r="AL162" s="168">
        <f>COUNTIF(Berekening!AJ$81,'Overzicht pronostieken'!$E162)</f>
        <v>0</v>
      </c>
      <c r="AM162" s="168">
        <f>COUNTIF(Berekening!AK$81,'Overzicht pronostieken'!$E162)</f>
        <v>0</v>
      </c>
      <c r="AN162" s="168">
        <f>COUNTIF(Berekening!AL$81,'Overzicht pronostieken'!$E162)</f>
        <v>0</v>
      </c>
      <c r="AO162" s="168">
        <f>COUNTIF(Berekening!AM$81,'Overzicht pronostieken'!$E162)</f>
        <v>0</v>
      </c>
      <c r="AP162" s="168">
        <f>COUNTIF(Berekening!AN$81,'Overzicht pronostieken'!$E162)</f>
        <v>0</v>
      </c>
      <c r="AQ162" s="168">
        <f>COUNTIF(Berekening!AO$81,'Overzicht pronostieken'!$E162)</f>
        <v>0</v>
      </c>
      <c r="AR162" s="168">
        <f>COUNTIF(Berekening!AP$81,'Overzicht pronostieken'!$E162)</f>
        <v>0</v>
      </c>
      <c r="AS162" s="168">
        <f>COUNTIF(Berekening!AQ$81,'Overzicht pronostieken'!$E162)</f>
        <v>0</v>
      </c>
      <c r="AT162" s="168">
        <f>COUNTIF(Berekening!AR$81,'Overzicht pronostieken'!$E162)</f>
        <v>0</v>
      </c>
      <c r="AU162" s="168">
        <f>COUNTIF(Berekening!AS$81,'Overzicht pronostieken'!$E162)</f>
        <v>0</v>
      </c>
      <c r="AV162" s="168">
        <f>COUNTIF(Berekening!AT$81,'Overzicht pronostieken'!$E162)</f>
        <v>0</v>
      </c>
    </row>
    <row r="163" spans="5:48">
      <c r="E163" s="161" t="s">
        <v>2661</v>
      </c>
      <c r="F163" s="161">
        <f t="shared" si="9"/>
        <v>0</v>
      </c>
      <c r="G163" s="168">
        <f>COUNTIF(Berekening!E$81,'Overzicht pronostieken'!$E163)</f>
        <v>0</v>
      </c>
      <c r="H163" s="168">
        <f>COUNTIF(Berekening!F$81,'Overzicht pronostieken'!$E163)</f>
        <v>0</v>
      </c>
      <c r="I163" s="168">
        <f>COUNTIF(Berekening!G$81,'Overzicht pronostieken'!$E163)</f>
        <v>0</v>
      </c>
      <c r="J163" s="168">
        <f>COUNTIF(Berekening!H$81,'Overzicht pronostieken'!$E163)</f>
        <v>0</v>
      </c>
      <c r="K163" s="168">
        <f>COUNTIF(Berekening!I$81,'Overzicht pronostieken'!$E163)</f>
        <v>0</v>
      </c>
      <c r="L163" s="168">
        <f>COUNTIF(Berekening!J$81,'Overzicht pronostieken'!$E163)</f>
        <v>0</v>
      </c>
      <c r="M163" s="168">
        <f>COUNTIF(Berekening!K$81,'Overzicht pronostieken'!$E163)</f>
        <v>0</v>
      </c>
      <c r="N163" s="168">
        <f>COUNTIF(Berekening!L$81,'Overzicht pronostieken'!$E163)</f>
        <v>0</v>
      </c>
      <c r="O163" s="168">
        <f>COUNTIF(Berekening!M$81,'Overzicht pronostieken'!$E163)</f>
        <v>0</v>
      </c>
      <c r="P163" s="168">
        <f>COUNTIF(Berekening!N$81,'Overzicht pronostieken'!$E163)</f>
        <v>0</v>
      </c>
      <c r="Q163" s="168">
        <f>COUNTIF(Berekening!O$81,'Overzicht pronostieken'!$E163)</f>
        <v>0</v>
      </c>
      <c r="R163" s="168">
        <f>COUNTIF(Berekening!P$81,'Overzicht pronostieken'!$E163)</f>
        <v>0</v>
      </c>
      <c r="S163" s="168">
        <f>COUNTIF(Berekening!Q$81,'Overzicht pronostieken'!$E163)</f>
        <v>0</v>
      </c>
      <c r="T163" s="168">
        <f>COUNTIF(Berekening!R$81,'Overzicht pronostieken'!$E163)</f>
        <v>0</v>
      </c>
      <c r="U163" s="168">
        <f>COUNTIF(Berekening!S$81,'Overzicht pronostieken'!$E163)</f>
        <v>0</v>
      </c>
      <c r="V163" s="168">
        <f>COUNTIF(Berekening!T$81,'Overzicht pronostieken'!$E163)</f>
        <v>0</v>
      </c>
      <c r="W163" s="168">
        <f>COUNTIF(Berekening!U$81,'Overzicht pronostieken'!$E163)</f>
        <v>0</v>
      </c>
      <c r="X163" s="168">
        <f>COUNTIF(Berekening!V$81,'Overzicht pronostieken'!$E163)</f>
        <v>0</v>
      </c>
      <c r="Y163" s="168">
        <f>COUNTIF(Berekening!W$81,'Overzicht pronostieken'!$E163)</f>
        <v>0</v>
      </c>
      <c r="Z163" s="168">
        <f>COUNTIF(Berekening!X$81,'Overzicht pronostieken'!$E163)</f>
        <v>0</v>
      </c>
      <c r="AA163" s="168">
        <f>COUNTIF(Berekening!Y$81,'Overzicht pronostieken'!$E163)</f>
        <v>0</v>
      </c>
      <c r="AB163" s="168">
        <f>COUNTIF(Berekening!Z$81,'Overzicht pronostieken'!$E163)</f>
        <v>0</v>
      </c>
      <c r="AC163" s="168">
        <f>COUNTIF(Berekening!AA$81,'Overzicht pronostieken'!$E163)</f>
        <v>0</v>
      </c>
      <c r="AD163" s="168">
        <f>COUNTIF(Berekening!AB$81,'Overzicht pronostieken'!$E163)</f>
        <v>0</v>
      </c>
      <c r="AE163" s="168">
        <f>COUNTIF(Berekening!AC$81,'Overzicht pronostieken'!$E163)</f>
        <v>0</v>
      </c>
      <c r="AF163" s="168">
        <f>COUNTIF(Berekening!AD$81,'Overzicht pronostieken'!$E163)</f>
        <v>0</v>
      </c>
      <c r="AG163" s="168">
        <f>COUNTIF(Berekening!AE$81,'Overzicht pronostieken'!$E163)</f>
        <v>0</v>
      </c>
      <c r="AH163" s="168">
        <f>COUNTIF(Berekening!AF$81,'Overzicht pronostieken'!$E163)</f>
        <v>0</v>
      </c>
      <c r="AI163" s="168">
        <f>COUNTIF(Berekening!AG$81,'Overzicht pronostieken'!$E163)</f>
        <v>0</v>
      </c>
      <c r="AJ163" s="168">
        <f>COUNTIF(Berekening!AH$81,'Overzicht pronostieken'!$E163)</f>
        <v>0</v>
      </c>
      <c r="AK163" s="168">
        <f>COUNTIF(Berekening!AI$81,'Overzicht pronostieken'!$E163)</f>
        <v>0</v>
      </c>
      <c r="AL163" s="168">
        <f>COUNTIF(Berekening!AJ$81,'Overzicht pronostieken'!$E163)</f>
        <v>0</v>
      </c>
      <c r="AM163" s="168">
        <f>COUNTIF(Berekening!AK$81,'Overzicht pronostieken'!$E163)</f>
        <v>0</v>
      </c>
      <c r="AN163" s="168">
        <f>COUNTIF(Berekening!AL$81,'Overzicht pronostieken'!$E163)</f>
        <v>0</v>
      </c>
      <c r="AO163" s="168">
        <f>COUNTIF(Berekening!AM$81,'Overzicht pronostieken'!$E163)</f>
        <v>0</v>
      </c>
      <c r="AP163" s="168">
        <f>COUNTIF(Berekening!AN$81,'Overzicht pronostieken'!$E163)</f>
        <v>0</v>
      </c>
      <c r="AQ163" s="168">
        <f>COUNTIF(Berekening!AO$81,'Overzicht pronostieken'!$E163)</f>
        <v>0</v>
      </c>
      <c r="AR163" s="168">
        <f>COUNTIF(Berekening!AP$81,'Overzicht pronostieken'!$E163)</f>
        <v>0</v>
      </c>
      <c r="AS163" s="168">
        <f>COUNTIF(Berekening!AQ$81,'Overzicht pronostieken'!$E163)</f>
        <v>0</v>
      </c>
      <c r="AT163" s="168">
        <f>COUNTIF(Berekening!AR$81,'Overzicht pronostieken'!$E163)</f>
        <v>0</v>
      </c>
      <c r="AU163" s="168">
        <f>COUNTIF(Berekening!AS$81,'Overzicht pronostieken'!$E163)</f>
        <v>0</v>
      </c>
      <c r="AV163" s="168">
        <f>COUNTIF(Berekening!AT$81,'Overzicht pronostieken'!$E163)</f>
        <v>0</v>
      </c>
    </row>
    <row r="164" spans="5:48">
      <c r="E164" s="161" t="s">
        <v>1789</v>
      </c>
      <c r="F164" s="161">
        <f t="shared" si="9"/>
        <v>5</v>
      </c>
      <c r="G164" s="168">
        <f>COUNTIF(Berekening!E$81,'Overzicht pronostieken'!$E164)</f>
        <v>0</v>
      </c>
      <c r="H164" s="168">
        <f>COUNTIF(Berekening!F$81,'Overzicht pronostieken'!$E164)</f>
        <v>1</v>
      </c>
      <c r="I164" s="168">
        <f>COUNTIF(Berekening!G$81,'Overzicht pronostieken'!$E164)</f>
        <v>0</v>
      </c>
      <c r="J164" s="168">
        <f>COUNTIF(Berekening!H$81,'Overzicht pronostieken'!$E164)</f>
        <v>1</v>
      </c>
      <c r="K164" s="168">
        <f>COUNTIF(Berekening!I$81,'Overzicht pronostieken'!$E164)</f>
        <v>1</v>
      </c>
      <c r="L164" s="168">
        <f>COUNTIF(Berekening!J$81,'Overzicht pronostieken'!$E164)</f>
        <v>1</v>
      </c>
      <c r="M164" s="168">
        <f>COUNTIF(Berekening!K$81,'Overzicht pronostieken'!$E164)</f>
        <v>0</v>
      </c>
      <c r="N164" s="168">
        <f>COUNTIF(Berekening!L$81,'Overzicht pronostieken'!$E164)</f>
        <v>0</v>
      </c>
      <c r="O164" s="168">
        <f>COUNTIF(Berekening!M$81,'Overzicht pronostieken'!$E164)</f>
        <v>0</v>
      </c>
      <c r="P164" s="168">
        <f>COUNTIF(Berekening!N$81,'Overzicht pronostieken'!$E164)</f>
        <v>0</v>
      </c>
      <c r="Q164" s="168">
        <f>COUNTIF(Berekening!O$81,'Overzicht pronostieken'!$E164)</f>
        <v>0</v>
      </c>
      <c r="R164" s="168">
        <f>COUNTIF(Berekening!P$81,'Overzicht pronostieken'!$E164)</f>
        <v>0</v>
      </c>
      <c r="S164" s="168">
        <f>COUNTIF(Berekening!Q$81,'Overzicht pronostieken'!$E164)</f>
        <v>1</v>
      </c>
      <c r="T164" s="168">
        <f>COUNTIF(Berekening!R$81,'Overzicht pronostieken'!$E164)</f>
        <v>0</v>
      </c>
      <c r="U164" s="168">
        <f>COUNTIF(Berekening!S$81,'Overzicht pronostieken'!$E164)</f>
        <v>0</v>
      </c>
      <c r="V164" s="168">
        <f>COUNTIF(Berekening!T$81,'Overzicht pronostieken'!$E164)</f>
        <v>0</v>
      </c>
      <c r="W164" s="168">
        <f>COUNTIF(Berekening!U$81,'Overzicht pronostieken'!$E164)</f>
        <v>0</v>
      </c>
      <c r="X164" s="168">
        <f>COUNTIF(Berekening!V$81,'Overzicht pronostieken'!$E164)</f>
        <v>0</v>
      </c>
      <c r="Y164" s="168">
        <f>COUNTIF(Berekening!W$81,'Overzicht pronostieken'!$E164)</f>
        <v>0</v>
      </c>
      <c r="Z164" s="168">
        <f>COUNTIF(Berekening!X$81,'Overzicht pronostieken'!$E164)</f>
        <v>0</v>
      </c>
      <c r="AA164" s="168">
        <f>COUNTIF(Berekening!Y$81,'Overzicht pronostieken'!$E164)</f>
        <v>0</v>
      </c>
      <c r="AB164" s="168">
        <f>COUNTIF(Berekening!Z$81,'Overzicht pronostieken'!$E164)</f>
        <v>0</v>
      </c>
      <c r="AC164" s="168">
        <f>COUNTIF(Berekening!AA$81,'Overzicht pronostieken'!$E164)</f>
        <v>0</v>
      </c>
      <c r="AD164" s="168">
        <f>COUNTIF(Berekening!AB$81,'Overzicht pronostieken'!$E164)</f>
        <v>0</v>
      </c>
      <c r="AE164" s="168">
        <f>COUNTIF(Berekening!AC$81,'Overzicht pronostieken'!$E164)</f>
        <v>0</v>
      </c>
      <c r="AF164" s="168">
        <f>COUNTIF(Berekening!AD$81,'Overzicht pronostieken'!$E164)</f>
        <v>0</v>
      </c>
      <c r="AG164" s="168">
        <f>COUNTIF(Berekening!AE$81,'Overzicht pronostieken'!$E164)</f>
        <v>0</v>
      </c>
      <c r="AH164" s="168">
        <f>COUNTIF(Berekening!AF$81,'Overzicht pronostieken'!$E164)</f>
        <v>0</v>
      </c>
      <c r="AI164" s="168">
        <f>COUNTIF(Berekening!AG$81,'Overzicht pronostieken'!$E164)</f>
        <v>0</v>
      </c>
      <c r="AJ164" s="168">
        <f>COUNTIF(Berekening!AH$81,'Overzicht pronostieken'!$E164)</f>
        <v>0</v>
      </c>
      <c r="AK164" s="168">
        <f>COUNTIF(Berekening!AI$81,'Overzicht pronostieken'!$E164)</f>
        <v>0</v>
      </c>
      <c r="AL164" s="168">
        <f>COUNTIF(Berekening!AJ$81,'Overzicht pronostieken'!$E164)</f>
        <v>0</v>
      </c>
      <c r="AM164" s="168">
        <f>COUNTIF(Berekening!AK$81,'Overzicht pronostieken'!$E164)</f>
        <v>0</v>
      </c>
      <c r="AN164" s="168">
        <f>COUNTIF(Berekening!AL$81,'Overzicht pronostieken'!$E164)</f>
        <v>0</v>
      </c>
      <c r="AO164" s="168">
        <f>COUNTIF(Berekening!AM$81,'Overzicht pronostieken'!$E164)</f>
        <v>0</v>
      </c>
      <c r="AP164" s="168">
        <f>COUNTIF(Berekening!AN$81,'Overzicht pronostieken'!$E164)</f>
        <v>0</v>
      </c>
      <c r="AQ164" s="168">
        <f>COUNTIF(Berekening!AO$81,'Overzicht pronostieken'!$E164)</f>
        <v>0</v>
      </c>
      <c r="AR164" s="168">
        <f>COUNTIF(Berekening!AP$81,'Overzicht pronostieken'!$E164)</f>
        <v>0</v>
      </c>
      <c r="AS164" s="168">
        <f>COUNTIF(Berekening!AQ$81,'Overzicht pronostieken'!$E164)</f>
        <v>0</v>
      </c>
      <c r="AT164" s="168">
        <f>COUNTIF(Berekening!AR$81,'Overzicht pronostieken'!$E164)</f>
        <v>0</v>
      </c>
      <c r="AU164" s="168">
        <f>COUNTIF(Berekening!AS$81,'Overzicht pronostieken'!$E164)</f>
        <v>0</v>
      </c>
      <c r="AV164" s="168">
        <f>COUNTIF(Berekening!AT$81,'Overzicht pronostieken'!$E164)</f>
        <v>0</v>
      </c>
    </row>
    <row r="165" spans="5:48">
      <c r="E165" s="161" t="s">
        <v>1324</v>
      </c>
      <c r="F165" s="161">
        <f t="shared" si="9"/>
        <v>0</v>
      </c>
      <c r="G165" s="168">
        <f>COUNTIF(Berekening!E$81,'Overzicht pronostieken'!$E165)</f>
        <v>0</v>
      </c>
      <c r="H165" s="168">
        <f>COUNTIF(Berekening!F$81,'Overzicht pronostieken'!$E165)</f>
        <v>0</v>
      </c>
      <c r="I165" s="168">
        <f>COUNTIF(Berekening!G$81,'Overzicht pronostieken'!$E165)</f>
        <v>0</v>
      </c>
      <c r="J165" s="168">
        <f>COUNTIF(Berekening!H$81,'Overzicht pronostieken'!$E165)</f>
        <v>0</v>
      </c>
      <c r="K165" s="168">
        <f>COUNTIF(Berekening!I$81,'Overzicht pronostieken'!$E165)</f>
        <v>0</v>
      </c>
      <c r="L165" s="168">
        <f>COUNTIF(Berekening!J$81,'Overzicht pronostieken'!$E165)</f>
        <v>0</v>
      </c>
      <c r="M165" s="168">
        <f>COUNTIF(Berekening!K$81,'Overzicht pronostieken'!$E165)</f>
        <v>0</v>
      </c>
      <c r="N165" s="168">
        <f>COUNTIF(Berekening!L$81,'Overzicht pronostieken'!$E165)</f>
        <v>0</v>
      </c>
      <c r="O165" s="168">
        <f>COUNTIF(Berekening!M$81,'Overzicht pronostieken'!$E165)</f>
        <v>0</v>
      </c>
      <c r="P165" s="168">
        <f>COUNTIF(Berekening!N$81,'Overzicht pronostieken'!$E165)</f>
        <v>0</v>
      </c>
      <c r="Q165" s="168">
        <f>COUNTIF(Berekening!O$81,'Overzicht pronostieken'!$E165)</f>
        <v>0</v>
      </c>
      <c r="R165" s="168">
        <f>COUNTIF(Berekening!P$81,'Overzicht pronostieken'!$E165)</f>
        <v>0</v>
      </c>
      <c r="S165" s="168">
        <f>COUNTIF(Berekening!Q$81,'Overzicht pronostieken'!$E165)</f>
        <v>0</v>
      </c>
      <c r="T165" s="168">
        <f>COUNTIF(Berekening!R$81,'Overzicht pronostieken'!$E165)</f>
        <v>0</v>
      </c>
      <c r="U165" s="168">
        <f>COUNTIF(Berekening!S$81,'Overzicht pronostieken'!$E165)</f>
        <v>0</v>
      </c>
      <c r="V165" s="168">
        <f>COUNTIF(Berekening!T$81,'Overzicht pronostieken'!$E165)</f>
        <v>0</v>
      </c>
      <c r="W165" s="168">
        <f>COUNTIF(Berekening!U$81,'Overzicht pronostieken'!$E165)</f>
        <v>0</v>
      </c>
      <c r="X165" s="168">
        <f>COUNTIF(Berekening!V$81,'Overzicht pronostieken'!$E165)</f>
        <v>0</v>
      </c>
      <c r="Y165" s="168">
        <f>COUNTIF(Berekening!W$81,'Overzicht pronostieken'!$E165)</f>
        <v>0</v>
      </c>
      <c r="Z165" s="168">
        <f>COUNTIF(Berekening!X$81,'Overzicht pronostieken'!$E165)</f>
        <v>0</v>
      </c>
      <c r="AA165" s="168">
        <f>COUNTIF(Berekening!Y$81,'Overzicht pronostieken'!$E165)</f>
        <v>0</v>
      </c>
      <c r="AB165" s="168">
        <f>COUNTIF(Berekening!Z$81,'Overzicht pronostieken'!$E165)</f>
        <v>0</v>
      </c>
      <c r="AC165" s="168">
        <f>COUNTIF(Berekening!AA$81,'Overzicht pronostieken'!$E165)</f>
        <v>0</v>
      </c>
      <c r="AD165" s="168">
        <f>COUNTIF(Berekening!AB$81,'Overzicht pronostieken'!$E165)</f>
        <v>0</v>
      </c>
      <c r="AE165" s="168">
        <f>COUNTIF(Berekening!AC$81,'Overzicht pronostieken'!$E165)</f>
        <v>0</v>
      </c>
      <c r="AF165" s="168">
        <f>COUNTIF(Berekening!AD$81,'Overzicht pronostieken'!$E165)</f>
        <v>0</v>
      </c>
      <c r="AG165" s="168">
        <f>COUNTIF(Berekening!AE$81,'Overzicht pronostieken'!$E165)</f>
        <v>0</v>
      </c>
      <c r="AH165" s="168">
        <f>COUNTIF(Berekening!AF$81,'Overzicht pronostieken'!$E165)</f>
        <v>0</v>
      </c>
      <c r="AI165" s="168">
        <f>COUNTIF(Berekening!AG$81,'Overzicht pronostieken'!$E165)</f>
        <v>0</v>
      </c>
      <c r="AJ165" s="168">
        <f>COUNTIF(Berekening!AH$81,'Overzicht pronostieken'!$E165)</f>
        <v>0</v>
      </c>
      <c r="AK165" s="168">
        <f>COUNTIF(Berekening!AI$81,'Overzicht pronostieken'!$E165)</f>
        <v>0</v>
      </c>
      <c r="AL165" s="168">
        <f>COUNTIF(Berekening!AJ$81,'Overzicht pronostieken'!$E165)</f>
        <v>0</v>
      </c>
      <c r="AM165" s="168">
        <f>COUNTIF(Berekening!AK$81,'Overzicht pronostieken'!$E165)</f>
        <v>0</v>
      </c>
      <c r="AN165" s="168">
        <f>COUNTIF(Berekening!AL$81,'Overzicht pronostieken'!$E165)</f>
        <v>0</v>
      </c>
      <c r="AO165" s="168">
        <f>COUNTIF(Berekening!AM$81,'Overzicht pronostieken'!$E165)</f>
        <v>0</v>
      </c>
      <c r="AP165" s="168">
        <f>COUNTIF(Berekening!AN$81,'Overzicht pronostieken'!$E165)</f>
        <v>0</v>
      </c>
      <c r="AQ165" s="168">
        <f>COUNTIF(Berekening!AO$81,'Overzicht pronostieken'!$E165)</f>
        <v>0</v>
      </c>
      <c r="AR165" s="168">
        <f>COUNTIF(Berekening!AP$81,'Overzicht pronostieken'!$E165)</f>
        <v>0</v>
      </c>
      <c r="AS165" s="168">
        <f>COUNTIF(Berekening!AQ$81,'Overzicht pronostieken'!$E165)</f>
        <v>0</v>
      </c>
      <c r="AT165" s="168">
        <f>COUNTIF(Berekening!AR$81,'Overzicht pronostieken'!$E165)</f>
        <v>0</v>
      </c>
      <c r="AU165" s="168">
        <f>COUNTIF(Berekening!AS$81,'Overzicht pronostieken'!$E165)</f>
        <v>0</v>
      </c>
      <c r="AV165" s="168">
        <f>COUNTIF(Berekening!AT$81,'Overzicht pronostieken'!$E165)</f>
        <v>0</v>
      </c>
    </row>
    <row r="166" spans="5:48">
      <c r="E166" s="161" t="s">
        <v>1822</v>
      </c>
      <c r="F166" s="161">
        <f t="shared" si="9"/>
        <v>0</v>
      </c>
      <c r="G166" s="168">
        <f>COUNTIF(Berekening!E$81,'Overzicht pronostieken'!$E166)</f>
        <v>0</v>
      </c>
      <c r="H166" s="168">
        <f>COUNTIF(Berekening!F$81,'Overzicht pronostieken'!$E166)</f>
        <v>0</v>
      </c>
      <c r="I166" s="168">
        <f>COUNTIF(Berekening!G$81,'Overzicht pronostieken'!$E166)</f>
        <v>0</v>
      </c>
      <c r="J166" s="168">
        <f>COUNTIF(Berekening!H$81,'Overzicht pronostieken'!$E166)</f>
        <v>0</v>
      </c>
      <c r="K166" s="168">
        <f>COUNTIF(Berekening!I$81,'Overzicht pronostieken'!$E166)</f>
        <v>0</v>
      </c>
      <c r="L166" s="168">
        <f>COUNTIF(Berekening!J$81,'Overzicht pronostieken'!$E166)</f>
        <v>0</v>
      </c>
      <c r="M166" s="168">
        <f>COUNTIF(Berekening!K$81,'Overzicht pronostieken'!$E166)</f>
        <v>0</v>
      </c>
      <c r="N166" s="168">
        <f>COUNTIF(Berekening!L$81,'Overzicht pronostieken'!$E166)</f>
        <v>0</v>
      </c>
      <c r="O166" s="168">
        <f>COUNTIF(Berekening!M$81,'Overzicht pronostieken'!$E166)</f>
        <v>0</v>
      </c>
      <c r="P166" s="168">
        <f>COUNTIF(Berekening!N$81,'Overzicht pronostieken'!$E166)</f>
        <v>0</v>
      </c>
      <c r="Q166" s="168">
        <f>COUNTIF(Berekening!O$81,'Overzicht pronostieken'!$E166)</f>
        <v>0</v>
      </c>
      <c r="R166" s="168">
        <f>COUNTIF(Berekening!P$81,'Overzicht pronostieken'!$E166)</f>
        <v>0</v>
      </c>
      <c r="S166" s="168">
        <f>COUNTIF(Berekening!Q$81,'Overzicht pronostieken'!$E166)</f>
        <v>0</v>
      </c>
      <c r="T166" s="168">
        <f>COUNTIF(Berekening!R$81,'Overzicht pronostieken'!$E166)</f>
        <v>0</v>
      </c>
      <c r="U166" s="168">
        <f>COUNTIF(Berekening!S$81,'Overzicht pronostieken'!$E166)</f>
        <v>0</v>
      </c>
      <c r="V166" s="168">
        <f>COUNTIF(Berekening!T$81,'Overzicht pronostieken'!$E166)</f>
        <v>0</v>
      </c>
      <c r="W166" s="168">
        <f>COUNTIF(Berekening!U$81,'Overzicht pronostieken'!$E166)</f>
        <v>0</v>
      </c>
      <c r="X166" s="168">
        <f>COUNTIF(Berekening!V$81,'Overzicht pronostieken'!$E166)</f>
        <v>0</v>
      </c>
      <c r="Y166" s="168">
        <f>COUNTIF(Berekening!W$81,'Overzicht pronostieken'!$E166)</f>
        <v>0</v>
      </c>
      <c r="Z166" s="168">
        <f>COUNTIF(Berekening!X$81,'Overzicht pronostieken'!$E166)</f>
        <v>0</v>
      </c>
      <c r="AA166" s="168">
        <f>COUNTIF(Berekening!Y$81,'Overzicht pronostieken'!$E166)</f>
        <v>0</v>
      </c>
      <c r="AB166" s="168">
        <f>COUNTIF(Berekening!Z$81,'Overzicht pronostieken'!$E166)</f>
        <v>0</v>
      </c>
      <c r="AC166" s="168">
        <f>COUNTIF(Berekening!AA$81,'Overzicht pronostieken'!$E166)</f>
        <v>0</v>
      </c>
      <c r="AD166" s="168">
        <f>COUNTIF(Berekening!AB$81,'Overzicht pronostieken'!$E166)</f>
        <v>0</v>
      </c>
      <c r="AE166" s="168">
        <f>COUNTIF(Berekening!AC$81,'Overzicht pronostieken'!$E166)</f>
        <v>0</v>
      </c>
      <c r="AF166" s="168">
        <f>COUNTIF(Berekening!AD$81,'Overzicht pronostieken'!$E166)</f>
        <v>0</v>
      </c>
      <c r="AG166" s="168">
        <f>COUNTIF(Berekening!AE$81,'Overzicht pronostieken'!$E166)</f>
        <v>0</v>
      </c>
      <c r="AH166" s="168">
        <f>COUNTIF(Berekening!AF$81,'Overzicht pronostieken'!$E166)</f>
        <v>0</v>
      </c>
      <c r="AI166" s="168">
        <f>COUNTIF(Berekening!AG$81,'Overzicht pronostieken'!$E166)</f>
        <v>0</v>
      </c>
      <c r="AJ166" s="168">
        <f>COUNTIF(Berekening!AH$81,'Overzicht pronostieken'!$E166)</f>
        <v>0</v>
      </c>
      <c r="AK166" s="168">
        <f>COUNTIF(Berekening!AI$81,'Overzicht pronostieken'!$E166)</f>
        <v>0</v>
      </c>
      <c r="AL166" s="168">
        <f>COUNTIF(Berekening!AJ$81,'Overzicht pronostieken'!$E166)</f>
        <v>0</v>
      </c>
      <c r="AM166" s="168">
        <f>COUNTIF(Berekening!AK$81,'Overzicht pronostieken'!$E166)</f>
        <v>0</v>
      </c>
      <c r="AN166" s="168">
        <f>COUNTIF(Berekening!AL$81,'Overzicht pronostieken'!$E166)</f>
        <v>0</v>
      </c>
      <c r="AO166" s="168">
        <f>COUNTIF(Berekening!AM$81,'Overzicht pronostieken'!$E166)</f>
        <v>0</v>
      </c>
      <c r="AP166" s="168">
        <f>COUNTIF(Berekening!AN$81,'Overzicht pronostieken'!$E166)</f>
        <v>0</v>
      </c>
      <c r="AQ166" s="168">
        <f>COUNTIF(Berekening!AO$81,'Overzicht pronostieken'!$E166)</f>
        <v>0</v>
      </c>
      <c r="AR166" s="168">
        <f>COUNTIF(Berekening!AP$81,'Overzicht pronostieken'!$E166)</f>
        <v>0</v>
      </c>
      <c r="AS166" s="168">
        <f>COUNTIF(Berekening!AQ$81,'Overzicht pronostieken'!$E166)</f>
        <v>0</v>
      </c>
      <c r="AT166" s="168">
        <f>COUNTIF(Berekening!AR$81,'Overzicht pronostieken'!$E166)</f>
        <v>0</v>
      </c>
      <c r="AU166" s="168">
        <f>COUNTIF(Berekening!AS$81,'Overzicht pronostieken'!$E166)</f>
        <v>0</v>
      </c>
      <c r="AV166" s="168">
        <f>COUNTIF(Berekening!AT$81,'Overzicht pronostieken'!$E166)</f>
        <v>0</v>
      </c>
    </row>
    <row r="167" spans="5:48">
      <c r="E167" s="161" t="s">
        <v>1755</v>
      </c>
      <c r="F167" s="161">
        <f t="shared" si="9"/>
        <v>0</v>
      </c>
      <c r="G167" s="168">
        <f>COUNTIF(Berekening!E$81,'Overzicht pronostieken'!$E167)</f>
        <v>0</v>
      </c>
      <c r="H167" s="168">
        <f>COUNTIF(Berekening!F$81,'Overzicht pronostieken'!$E167)</f>
        <v>0</v>
      </c>
      <c r="I167" s="168">
        <f>COUNTIF(Berekening!G$81,'Overzicht pronostieken'!$E167)</f>
        <v>0</v>
      </c>
      <c r="J167" s="168">
        <f>COUNTIF(Berekening!H$81,'Overzicht pronostieken'!$E167)</f>
        <v>0</v>
      </c>
      <c r="K167" s="168">
        <f>COUNTIF(Berekening!I$81,'Overzicht pronostieken'!$E167)</f>
        <v>0</v>
      </c>
      <c r="L167" s="168">
        <f>COUNTIF(Berekening!J$81,'Overzicht pronostieken'!$E167)</f>
        <v>0</v>
      </c>
      <c r="M167" s="168">
        <f>COUNTIF(Berekening!K$81,'Overzicht pronostieken'!$E167)</f>
        <v>0</v>
      </c>
      <c r="N167" s="168">
        <f>COUNTIF(Berekening!L$81,'Overzicht pronostieken'!$E167)</f>
        <v>0</v>
      </c>
      <c r="O167" s="168">
        <f>COUNTIF(Berekening!M$81,'Overzicht pronostieken'!$E167)</f>
        <v>0</v>
      </c>
      <c r="P167" s="168">
        <f>COUNTIF(Berekening!N$81,'Overzicht pronostieken'!$E167)</f>
        <v>0</v>
      </c>
      <c r="Q167" s="168">
        <f>COUNTIF(Berekening!O$81,'Overzicht pronostieken'!$E167)</f>
        <v>0</v>
      </c>
      <c r="R167" s="168">
        <f>COUNTIF(Berekening!P$81,'Overzicht pronostieken'!$E167)</f>
        <v>0</v>
      </c>
      <c r="S167" s="168">
        <f>COUNTIF(Berekening!Q$81,'Overzicht pronostieken'!$E167)</f>
        <v>0</v>
      </c>
      <c r="T167" s="168">
        <f>COUNTIF(Berekening!R$81,'Overzicht pronostieken'!$E167)</f>
        <v>0</v>
      </c>
      <c r="U167" s="168">
        <f>COUNTIF(Berekening!S$81,'Overzicht pronostieken'!$E167)</f>
        <v>0</v>
      </c>
      <c r="V167" s="168">
        <f>COUNTIF(Berekening!T$81,'Overzicht pronostieken'!$E167)</f>
        <v>0</v>
      </c>
      <c r="W167" s="168">
        <f>COUNTIF(Berekening!U$81,'Overzicht pronostieken'!$E167)</f>
        <v>0</v>
      </c>
      <c r="X167" s="168">
        <f>COUNTIF(Berekening!V$81,'Overzicht pronostieken'!$E167)</f>
        <v>0</v>
      </c>
      <c r="Y167" s="168">
        <f>COUNTIF(Berekening!W$81,'Overzicht pronostieken'!$E167)</f>
        <v>0</v>
      </c>
      <c r="Z167" s="168">
        <f>COUNTIF(Berekening!X$81,'Overzicht pronostieken'!$E167)</f>
        <v>0</v>
      </c>
      <c r="AA167" s="168">
        <f>COUNTIF(Berekening!Y$81,'Overzicht pronostieken'!$E167)</f>
        <v>0</v>
      </c>
      <c r="AB167" s="168">
        <f>COUNTIF(Berekening!Z$81,'Overzicht pronostieken'!$E167)</f>
        <v>0</v>
      </c>
      <c r="AC167" s="168">
        <f>COUNTIF(Berekening!AA$81,'Overzicht pronostieken'!$E167)</f>
        <v>0</v>
      </c>
      <c r="AD167" s="168">
        <f>COUNTIF(Berekening!AB$81,'Overzicht pronostieken'!$E167)</f>
        <v>0</v>
      </c>
      <c r="AE167" s="168">
        <f>COUNTIF(Berekening!AC$81,'Overzicht pronostieken'!$E167)</f>
        <v>0</v>
      </c>
      <c r="AF167" s="168">
        <f>COUNTIF(Berekening!AD$81,'Overzicht pronostieken'!$E167)</f>
        <v>0</v>
      </c>
      <c r="AG167" s="168">
        <f>COUNTIF(Berekening!AE$81,'Overzicht pronostieken'!$E167)</f>
        <v>0</v>
      </c>
      <c r="AH167" s="168">
        <f>COUNTIF(Berekening!AF$81,'Overzicht pronostieken'!$E167)</f>
        <v>0</v>
      </c>
      <c r="AI167" s="168">
        <f>COUNTIF(Berekening!AG$81,'Overzicht pronostieken'!$E167)</f>
        <v>0</v>
      </c>
      <c r="AJ167" s="168">
        <f>COUNTIF(Berekening!AH$81,'Overzicht pronostieken'!$E167)</f>
        <v>0</v>
      </c>
      <c r="AK167" s="168">
        <f>COUNTIF(Berekening!AI$81,'Overzicht pronostieken'!$E167)</f>
        <v>0</v>
      </c>
      <c r="AL167" s="168">
        <f>COUNTIF(Berekening!AJ$81,'Overzicht pronostieken'!$E167)</f>
        <v>0</v>
      </c>
      <c r="AM167" s="168">
        <f>COUNTIF(Berekening!AK$81,'Overzicht pronostieken'!$E167)</f>
        <v>0</v>
      </c>
      <c r="AN167" s="168">
        <f>COUNTIF(Berekening!AL$81,'Overzicht pronostieken'!$E167)</f>
        <v>0</v>
      </c>
      <c r="AO167" s="168">
        <f>COUNTIF(Berekening!AM$81,'Overzicht pronostieken'!$E167)</f>
        <v>0</v>
      </c>
      <c r="AP167" s="168">
        <f>COUNTIF(Berekening!AN$81,'Overzicht pronostieken'!$E167)</f>
        <v>0</v>
      </c>
      <c r="AQ167" s="168">
        <f>COUNTIF(Berekening!AO$81,'Overzicht pronostieken'!$E167)</f>
        <v>0</v>
      </c>
      <c r="AR167" s="168">
        <f>COUNTIF(Berekening!AP$81,'Overzicht pronostieken'!$E167)</f>
        <v>0</v>
      </c>
      <c r="AS167" s="168">
        <f>COUNTIF(Berekening!AQ$81,'Overzicht pronostieken'!$E167)</f>
        <v>0</v>
      </c>
      <c r="AT167" s="168">
        <f>COUNTIF(Berekening!AR$81,'Overzicht pronostieken'!$E167)</f>
        <v>0</v>
      </c>
      <c r="AU167" s="168">
        <f>COUNTIF(Berekening!AS$81,'Overzicht pronostieken'!$E167)</f>
        <v>0</v>
      </c>
      <c r="AV167" s="168">
        <f>COUNTIF(Berekening!AT$81,'Overzicht pronostieken'!$E167)</f>
        <v>0</v>
      </c>
    </row>
    <row r="168" spans="5:48">
      <c r="E168" s="161" t="s">
        <v>1889</v>
      </c>
      <c r="F168" s="161">
        <f t="shared" si="9"/>
        <v>1</v>
      </c>
      <c r="G168" s="168">
        <f>COUNTIF(Berekening!E$81,'Overzicht pronostieken'!$E168)</f>
        <v>0</v>
      </c>
      <c r="H168" s="168">
        <f>COUNTIF(Berekening!F$81,'Overzicht pronostieken'!$E168)</f>
        <v>0</v>
      </c>
      <c r="I168" s="168">
        <f>COUNTIF(Berekening!G$81,'Overzicht pronostieken'!$E168)</f>
        <v>0</v>
      </c>
      <c r="J168" s="168">
        <f>COUNTIF(Berekening!H$81,'Overzicht pronostieken'!$E168)</f>
        <v>0</v>
      </c>
      <c r="K168" s="168">
        <f>COUNTIF(Berekening!I$81,'Overzicht pronostieken'!$E168)</f>
        <v>0</v>
      </c>
      <c r="L168" s="168">
        <f>COUNTIF(Berekening!J$81,'Overzicht pronostieken'!$E168)</f>
        <v>0</v>
      </c>
      <c r="M168" s="168">
        <f>COUNTIF(Berekening!K$81,'Overzicht pronostieken'!$E168)</f>
        <v>0</v>
      </c>
      <c r="N168" s="168">
        <f>COUNTIF(Berekening!L$81,'Overzicht pronostieken'!$E168)</f>
        <v>0</v>
      </c>
      <c r="O168" s="168">
        <f>COUNTIF(Berekening!M$81,'Overzicht pronostieken'!$E168)</f>
        <v>0</v>
      </c>
      <c r="P168" s="168">
        <f>COUNTIF(Berekening!N$81,'Overzicht pronostieken'!$E168)</f>
        <v>0</v>
      </c>
      <c r="Q168" s="168">
        <f>COUNTIF(Berekening!O$81,'Overzicht pronostieken'!$E168)</f>
        <v>1</v>
      </c>
      <c r="R168" s="168">
        <f>COUNTIF(Berekening!P$81,'Overzicht pronostieken'!$E168)</f>
        <v>0</v>
      </c>
      <c r="S168" s="168">
        <f>COUNTIF(Berekening!Q$81,'Overzicht pronostieken'!$E168)</f>
        <v>0</v>
      </c>
      <c r="T168" s="168">
        <f>COUNTIF(Berekening!R$81,'Overzicht pronostieken'!$E168)</f>
        <v>0</v>
      </c>
      <c r="U168" s="168">
        <f>COUNTIF(Berekening!S$81,'Overzicht pronostieken'!$E168)</f>
        <v>0</v>
      </c>
      <c r="V168" s="168">
        <f>COUNTIF(Berekening!T$81,'Overzicht pronostieken'!$E168)</f>
        <v>0</v>
      </c>
      <c r="W168" s="168">
        <f>COUNTIF(Berekening!U$81,'Overzicht pronostieken'!$E168)</f>
        <v>0</v>
      </c>
      <c r="X168" s="168">
        <f>COUNTIF(Berekening!V$81,'Overzicht pronostieken'!$E168)</f>
        <v>0</v>
      </c>
      <c r="Y168" s="168">
        <f>COUNTIF(Berekening!W$81,'Overzicht pronostieken'!$E168)</f>
        <v>0</v>
      </c>
      <c r="Z168" s="168">
        <f>COUNTIF(Berekening!X$81,'Overzicht pronostieken'!$E168)</f>
        <v>0</v>
      </c>
      <c r="AA168" s="168">
        <f>COUNTIF(Berekening!Y$81,'Overzicht pronostieken'!$E168)</f>
        <v>0</v>
      </c>
      <c r="AB168" s="168">
        <f>COUNTIF(Berekening!Z$81,'Overzicht pronostieken'!$E168)</f>
        <v>0</v>
      </c>
      <c r="AC168" s="168">
        <f>COUNTIF(Berekening!AA$81,'Overzicht pronostieken'!$E168)</f>
        <v>0</v>
      </c>
      <c r="AD168" s="168">
        <f>COUNTIF(Berekening!AB$81,'Overzicht pronostieken'!$E168)</f>
        <v>0</v>
      </c>
      <c r="AE168" s="168">
        <f>COUNTIF(Berekening!AC$81,'Overzicht pronostieken'!$E168)</f>
        <v>0</v>
      </c>
      <c r="AF168" s="168">
        <f>COUNTIF(Berekening!AD$81,'Overzicht pronostieken'!$E168)</f>
        <v>0</v>
      </c>
      <c r="AG168" s="168">
        <f>COUNTIF(Berekening!AE$81,'Overzicht pronostieken'!$E168)</f>
        <v>0</v>
      </c>
      <c r="AH168" s="168">
        <f>COUNTIF(Berekening!AF$81,'Overzicht pronostieken'!$E168)</f>
        <v>0</v>
      </c>
      <c r="AI168" s="168">
        <f>COUNTIF(Berekening!AG$81,'Overzicht pronostieken'!$E168)</f>
        <v>0</v>
      </c>
      <c r="AJ168" s="168">
        <f>COUNTIF(Berekening!AH$81,'Overzicht pronostieken'!$E168)</f>
        <v>0</v>
      </c>
      <c r="AK168" s="168">
        <f>COUNTIF(Berekening!AI$81,'Overzicht pronostieken'!$E168)</f>
        <v>0</v>
      </c>
      <c r="AL168" s="168">
        <f>COUNTIF(Berekening!AJ$81,'Overzicht pronostieken'!$E168)</f>
        <v>0</v>
      </c>
      <c r="AM168" s="168">
        <f>COUNTIF(Berekening!AK$81,'Overzicht pronostieken'!$E168)</f>
        <v>0</v>
      </c>
      <c r="AN168" s="168">
        <f>COUNTIF(Berekening!AL$81,'Overzicht pronostieken'!$E168)</f>
        <v>0</v>
      </c>
      <c r="AO168" s="168">
        <f>COUNTIF(Berekening!AM$81,'Overzicht pronostieken'!$E168)</f>
        <v>0</v>
      </c>
      <c r="AP168" s="168">
        <f>COUNTIF(Berekening!AN$81,'Overzicht pronostieken'!$E168)</f>
        <v>0</v>
      </c>
      <c r="AQ168" s="168">
        <f>COUNTIF(Berekening!AO$81,'Overzicht pronostieken'!$E168)</f>
        <v>0</v>
      </c>
      <c r="AR168" s="168">
        <f>COUNTIF(Berekening!AP$81,'Overzicht pronostieken'!$E168)</f>
        <v>0</v>
      </c>
      <c r="AS168" s="168">
        <f>COUNTIF(Berekening!AQ$81,'Overzicht pronostieken'!$E168)</f>
        <v>0</v>
      </c>
      <c r="AT168" s="168">
        <f>COUNTIF(Berekening!AR$81,'Overzicht pronostieken'!$E168)</f>
        <v>0</v>
      </c>
      <c r="AU168" s="168">
        <f>COUNTIF(Berekening!AS$81,'Overzicht pronostieken'!$E168)</f>
        <v>0</v>
      </c>
      <c r="AV168" s="168">
        <f>COUNTIF(Berekening!AT$81,'Overzicht pronostieken'!$E168)</f>
        <v>0</v>
      </c>
    </row>
    <row r="169" spans="5:48">
      <c r="E169" s="161" t="s">
        <v>1235</v>
      </c>
      <c r="F169" s="161">
        <f t="shared" si="9"/>
        <v>0</v>
      </c>
      <c r="G169" s="168">
        <f>COUNTIF(Berekening!E$81,'Overzicht pronostieken'!$E169)</f>
        <v>0</v>
      </c>
      <c r="H169" s="168">
        <f>COUNTIF(Berekening!F$81,'Overzicht pronostieken'!$E169)</f>
        <v>0</v>
      </c>
      <c r="I169" s="168">
        <f>COUNTIF(Berekening!G$81,'Overzicht pronostieken'!$E169)</f>
        <v>0</v>
      </c>
      <c r="J169" s="168">
        <f>COUNTIF(Berekening!H$81,'Overzicht pronostieken'!$E169)</f>
        <v>0</v>
      </c>
      <c r="K169" s="168">
        <f>COUNTIF(Berekening!I$81,'Overzicht pronostieken'!$E169)</f>
        <v>0</v>
      </c>
      <c r="L169" s="168">
        <f>COUNTIF(Berekening!J$81,'Overzicht pronostieken'!$E169)</f>
        <v>0</v>
      </c>
      <c r="M169" s="168">
        <f>COUNTIF(Berekening!K$81,'Overzicht pronostieken'!$E169)</f>
        <v>0</v>
      </c>
      <c r="N169" s="168">
        <f>COUNTIF(Berekening!L$81,'Overzicht pronostieken'!$E169)</f>
        <v>0</v>
      </c>
      <c r="O169" s="168">
        <f>COUNTIF(Berekening!M$81,'Overzicht pronostieken'!$E169)</f>
        <v>0</v>
      </c>
      <c r="P169" s="168">
        <f>COUNTIF(Berekening!N$81,'Overzicht pronostieken'!$E169)</f>
        <v>0</v>
      </c>
      <c r="Q169" s="168">
        <f>COUNTIF(Berekening!O$81,'Overzicht pronostieken'!$E169)</f>
        <v>0</v>
      </c>
      <c r="R169" s="168">
        <f>COUNTIF(Berekening!P$81,'Overzicht pronostieken'!$E169)</f>
        <v>0</v>
      </c>
      <c r="S169" s="168">
        <f>COUNTIF(Berekening!Q$81,'Overzicht pronostieken'!$E169)</f>
        <v>0</v>
      </c>
      <c r="T169" s="168">
        <f>COUNTIF(Berekening!R$81,'Overzicht pronostieken'!$E169)</f>
        <v>0</v>
      </c>
      <c r="U169" s="168">
        <f>COUNTIF(Berekening!S$81,'Overzicht pronostieken'!$E169)</f>
        <v>0</v>
      </c>
      <c r="V169" s="168">
        <f>COUNTIF(Berekening!T$81,'Overzicht pronostieken'!$E169)</f>
        <v>0</v>
      </c>
      <c r="W169" s="168">
        <f>COUNTIF(Berekening!U$81,'Overzicht pronostieken'!$E169)</f>
        <v>0</v>
      </c>
      <c r="X169" s="168">
        <f>COUNTIF(Berekening!V$81,'Overzicht pronostieken'!$E169)</f>
        <v>0</v>
      </c>
      <c r="Y169" s="168">
        <f>COUNTIF(Berekening!W$81,'Overzicht pronostieken'!$E169)</f>
        <v>0</v>
      </c>
      <c r="Z169" s="168">
        <f>COUNTIF(Berekening!X$81,'Overzicht pronostieken'!$E169)</f>
        <v>0</v>
      </c>
      <c r="AA169" s="168">
        <f>COUNTIF(Berekening!Y$81,'Overzicht pronostieken'!$E169)</f>
        <v>0</v>
      </c>
      <c r="AB169" s="168">
        <f>COUNTIF(Berekening!Z$81,'Overzicht pronostieken'!$E169)</f>
        <v>0</v>
      </c>
      <c r="AC169" s="168">
        <f>COUNTIF(Berekening!AA$81,'Overzicht pronostieken'!$E169)</f>
        <v>0</v>
      </c>
      <c r="AD169" s="168">
        <f>COUNTIF(Berekening!AB$81,'Overzicht pronostieken'!$E169)</f>
        <v>0</v>
      </c>
      <c r="AE169" s="168">
        <f>COUNTIF(Berekening!AC$81,'Overzicht pronostieken'!$E169)</f>
        <v>0</v>
      </c>
      <c r="AF169" s="168">
        <f>COUNTIF(Berekening!AD$81,'Overzicht pronostieken'!$E169)</f>
        <v>0</v>
      </c>
      <c r="AG169" s="168">
        <f>COUNTIF(Berekening!AE$81,'Overzicht pronostieken'!$E169)</f>
        <v>0</v>
      </c>
      <c r="AH169" s="168">
        <f>COUNTIF(Berekening!AF$81,'Overzicht pronostieken'!$E169)</f>
        <v>0</v>
      </c>
      <c r="AI169" s="168">
        <f>COUNTIF(Berekening!AG$81,'Overzicht pronostieken'!$E169)</f>
        <v>0</v>
      </c>
      <c r="AJ169" s="168">
        <f>COUNTIF(Berekening!AH$81,'Overzicht pronostieken'!$E169)</f>
        <v>0</v>
      </c>
      <c r="AK169" s="168">
        <f>COUNTIF(Berekening!AI$81,'Overzicht pronostieken'!$E169)</f>
        <v>0</v>
      </c>
      <c r="AL169" s="168">
        <f>COUNTIF(Berekening!AJ$81,'Overzicht pronostieken'!$E169)</f>
        <v>0</v>
      </c>
      <c r="AM169" s="168">
        <f>COUNTIF(Berekening!AK$81,'Overzicht pronostieken'!$E169)</f>
        <v>0</v>
      </c>
      <c r="AN169" s="168">
        <f>COUNTIF(Berekening!AL$81,'Overzicht pronostieken'!$E169)</f>
        <v>0</v>
      </c>
      <c r="AO169" s="168">
        <f>COUNTIF(Berekening!AM$81,'Overzicht pronostieken'!$E169)</f>
        <v>0</v>
      </c>
      <c r="AP169" s="168">
        <f>COUNTIF(Berekening!AN$81,'Overzicht pronostieken'!$E169)</f>
        <v>0</v>
      </c>
      <c r="AQ169" s="168">
        <f>COUNTIF(Berekening!AO$81,'Overzicht pronostieken'!$E169)</f>
        <v>0</v>
      </c>
      <c r="AR169" s="168">
        <f>COUNTIF(Berekening!AP$81,'Overzicht pronostieken'!$E169)</f>
        <v>0</v>
      </c>
      <c r="AS169" s="168">
        <f>COUNTIF(Berekening!AQ$81,'Overzicht pronostieken'!$E169)</f>
        <v>0</v>
      </c>
      <c r="AT169" s="168">
        <f>COUNTIF(Berekening!AR$81,'Overzicht pronostieken'!$E169)</f>
        <v>0</v>
      </c>
      <c r="AU169" s="168">
        <f>COUNTIF(Berekening!AS$81,'Overzicht pronostieken'!$E169)</f>
        <v>0</v>
      </c>
      <c r="AV169" s="168">
        <f>COUNTIF(Berekening!AT$81,'Overzicht pronostieken'!$E169)</f>
        <v>0</v>
      </c>
    </row>
    <row r="170" spans="5:48">
      <c r="E170" s="161" t="s">
        <v>1043</v>
      </c>
      <c r="F170" s="161">
        <f t="shared" si="9"/>
        <v>0</v>
      </c>
      <c r="G170" s="168">
        <f>COUNTIF(Berekening!E$81,'Overzicht pronostieken'!$E170)</f>
        <v>0</v>
      </c>
      <c r="H170" s="168">
        <f>COUNTIF(Berekening!F$81,'Overzicht pronostieken'!$E170)</f>
        <v>0</v>
      </c>
      <c r="I170" s="168">
        <f>COUNTIF(Berekening!G$81,'Overzicht pronostieken'!$E170)</f>
        <v>0</v>
      </c>
      <c r="J170" s="168">
        <f>COUNTIF(Berekening!H$81,'Overzicht pronostieken'!$E170)</f>
        <v>0</v>
      </c>
      <c r="K170" s="168">
        <f>COUNTIF(Berekening!I$81,'Overzicht pronostieken'!$E170)</f>
        <v>0</v>
      </c>
      <c r="L170" s="168">
        <f>COUNTIF(Berekening!J$81,'Overzicht pronostieken'!$E170)</f>
        <v>0</v>
      </c>
      <c r="M170" s="168">
        <f>COUNTIF(Berekening!K$81,'Overzicht pronostieken'!$E170)</f>
        <v>0</v>
      </c>
      <c r="N170" s="168">
        <f>COUNTIF(Berekening!L$81,'Overzicht pronostieken'!$E170)</f>
        <v>0</v>
      </c>
      <c r="O170" s="168">
        <f>COUNTIF(Berekening!M$81,'Overzicht pronostieken'!$E170)</f>
        <v>0</v>
      </c>
      <c r="P170" s="168">
        <f>COUNTIF(Berekening!N$81,'Overzicht pronostieken'!$E170)</f>
        <v>0</v>
      </c>
      <c r="Q170" s="168">
        <f>COUNTIF(Berekening!O$81,'Overzicht pronostieken'!$E170)</f>
        <v>0</v>
      </c>
      <c r="R170" s="168">
        <f>COUNTIF(Berekening!P$81,'Overzicht pronostieken'!$E170)</f>
        <v>0</v>
      </c>
      <c r="S170" s="168">
        <f>COUNTIF(Berekening!Q$81,'Overzicht pronostieken'!$E170)</f>
        <v>0</v>
      </c>
      <c r="T170" s="168">
        <f>COUNTIF(Berekening!R$81,'Overzicht pronostieken'!$E170)</f>
        <v>0</v>
      </c>
      <c r="U170" s="168">
        <f>COUNTIF(Berekening!S$81,'Overzicht pronostieken'!$E170)</f>
        <v>0</v>
      </c>
      <c r="V170" s="168">
        <f>COUNTIF(Berekening!T$81,'Overzicht pronostieken'!$E170)</f>
        <v>0</v>
      </c>
      <c r="W170" s="168">
        <f>COUNTIF(Berekening!U$81,'Overzicht pronostieken'!$E170)</f>
        <v>0</v>
      </c>
      <c r="X170" s="168">
        <f>COUNTIF(Berekening!V$81,'Overzicht pronostieken'!$E170)</f>
        <v>0</v>
      </c>
      <c r="Y170" s="168">
        <f>COUNTIF(Berekening!W$81,'Overzicht pronostieken'!$E170)</f>
        <v>0</v>
      </c>
      <c r="Z170" s="168">
        <f>COUNTIF(Berekening!X$81,'Overzicht pronostieken'!$E170)</f>
        <v>0</v>
      </c>
      <c r="AA170" s="168">
        <f>COUNTIF(Berekening!Y$81,'Overzicht pronostieken'!$E170)</f>
        <v>0</v>
      </c>
      <c r="AB170" s="168">
        <f>COUNTIF(Berekening!Z$81,'Overzicht pronostieken'!$E170)</f>
        <v>0</v>
      </c>
      <c r="AC170" s="168">
        <f>COUNTIF(Berekening!AA$81,'Overzicht pronostieken'!$E170)</f>
        <v>0</v>
      </c>
      <c r="AD170" s="168">
        <f>COUNTIF(Berekening!AB$81,'Overzicht pronostieken'!$E170)</f>
        <v>0</v>
      </c>
      <c r="AE170" s="168">
        <f>COUNTIF(Berekening!AC$81,'Overzicht pronostieken'!$E170)</f>
        <v>0</v>
      </c>
      <c r="AF170" s="168">
        <f>COUNTIF(Berekening!AD$81,'Overzicht pronostieken'!$E170)</f>
        <v>0</v>
      </c>
      <c r="AG170" s="168">
        <f>COUNTIF(Berekening!AE$81,'Overzicht pronostieken'!$E170)</f>
        <v>0</v>
      </c>
      <c r="AH170" s="168">
        <f>COUNTIF(Berekening!AF$81,'Overzicht pronostieken'!$E170)</f>
        <v>0</v>
      </c>
      <c r="AI170" s="168">
        <f>COUNTIF(Berekening!AG$81,'Overzicht pronostieken'!$E170)</f>
        <v>0</v>
      </c>
      <c r="AJ170" s="168">
        <f>COUNTIF(Berekening!AH$81,'Overzicht pronostieken'!$E170)</f>
        <v>0</v>
      </c>
      <c r="AK170" s="168">
        <f>COUNTIF(Berekening!AI$81,'Overzicht pronostieken'!$E170)</f>
        <v>0</v>
      </c>
      <c r="AL170" s="168">
        <f>COUNTIF(Berekening!AJ$81,'Overzicht pronostieken'!$E170)</f>
        <v>0</v>
      </c>
      <c r="AM170" s="168">
        <f>COUNTIF(Berekening!AK$81,'Overzicht pronostieken'!$E170)</f>
        <v>0</v>
      </c>
      <c r="AN170" s="168">
        <f>COUNTIF(Berekening!AL$81,'Overzicht pronostieken'!$E170)</f>
        <v>0</v>
      </c>
      <c r="AO170" s="168">
        <f>COUNTIF(Berekening!AM$81,'Overzicht pronostieken'!$E170)</f>
        <v>0</v>
      </c>
      <c r="AP170" s="168">
        <f>COUNTIF(Berekening!AN$81,'Overzicht pronostieken'!$E170)</f>
        <v>0</v>
      </c>
      <c r="AQ170" s="168">
        <f>COUNTIF(Berekening!AO$81,'Overzicht pronostieken'!$E170)</f>
        <v>0</v>
      </c>
      <c r="AR170" s="168">
        <f>COUNTIF(Berekening!AP$81,'Overzicht pronostieken'!$E170)</f>
        <v>0</v>
      </c>
      <c r="AS170" s="168">
        <f>COUNTIF(Berekening!AQ$81,'Overzicht pronostieken'!$E170)</f>
        <v>0</v>
      </c>
      <c r="AT170" s="168">
        <f>COUNTIF(Berekening!AR$81,'Overzicht pronostieken'!$E170)</f>
        <v>0</v>
      </c>
      <c r="AU170" s="168">
        <f>COUNTIF(Berekening!AS$81,'Overzicht pronostieken'!$E170)</f>
        <v>0</v>
      </c>
      <c r="AV170" s="168">
        <f>COUNTIF(Berekening!AT$81,'Overzicht pronostieken'!$E170)</f>
        <v>0</v>
      </c>
    </row>
    <row r="171" spans="5:48">
      <c r="E171" s="161" t="s">
        <v>1433</v>
      </c>
      <c r="F171" s="161">
        <f t="shared" si="9"/>
        <v>0</v>
      </c>
      <c r="G171" s="168">
        <f>COUNTIF(Berekening!E$81,'Overzicht pronostieken'!$E171)</f>
        <v>0</v>
      </c>
      <c r="H171" s="168">
        <f>COUNTIF(Berekening!F$81,'Overzicht pronostieken'!$E171)</f>
        <v>0</v>
      </c>
      <c r="I171" s="168">
        <f>COUNTIF(Berekening!G$81,'Overzicht pronostieken'!$E171)</f>
        <v>0</v>
      </c>
      <c r="J171" s="168">
        <f>COUNTIF(Berekening!H$81,'Overzicht pronostieken'!$E171)</f>
        <v>0</v>
      </c>
      <c r="K171" s="168">
        <f>COUNTIF(Berekening!I$81,'Overzicht pronostieken'!$E171)</f>
        <v>0</v>
      </c>
      <c r="L171" s="168">
        <f>COUNTIF(Berekening!J$81,'Overzicht pronostieken'!$E171)</f>
        <v>0</v>
      </c>
      <c r="M171" s="168">
        <f>COUNTIF(Berekening!K$81,'Overzicht pronostieken'!$E171)</f>
        <v>0</v>
      </c>
      <c r="N171" s="168">
        <f>COUNTIF(Berekening!L$81,'Overzicht pronostieken'!$E171)</f>
        <v>0</v>
      </c>
      <c r="O171" s="168">
        <f>COUNTIF(Berekening!M$81,'Overzicht pronostieken'!$E171)</f>
        <v>0</v>
      </c>
      <c r="P171" s="168">
        <f>COUNTIF(Berekening!N$81,'Overzicht pronostieken'!$E171)</f>
        <v>0</v>
      </c>
      <c r="Q171" s="168">
        <f>COUNTIF(Berekening!O$81,'Overzicht pronostieken'!$E171)</f>
        <v>0</v>
      </c>
      <c r="R171" s="168">
        <f>COUNTIF(Berekening!P$81,'Overzicht pronostieken'!$E171)</f>
        <v>0</v>
      </c>
      <c r="S171" s="168">
        <f>COUNTIF(Berekening!Q$81,'Overzicht pronostieken'!$E171)</f>
        <v>0</v>
      </c>
      <c r="T171" s="168">
        <f>COUNTIF(Berekening!R$81,'Overzicht pronostieken'!$E171)</f>
        <v>0</v>
      </c>
      <c r="U171" s="168">
        <f>COUNTIF(Berekening!S$81,'Overzicht pronostieken'!$E171)</f>
        <v>0</v>
      </c>
      <c r="V171" s="168">
        <f>COUNTIF(Berekening!T$81,'Overzicht pronostieken'!$E171)</f>
        <v>0</v>
      </c>
      <c r="W171" s="168">
        <f>COUNTIF(Berekening!U$81,'Overzicht pronostieken'!$E171)</f>
        <v>0</v>
      </c>
      <c r="X171" s="168">
        <f>COUNTIF(Berekening!V$81,'Overzicht pronostieken'!$E171)</f>
        <v>0</v>
      </c>
      <c r="Y171" s="168">
        <f>COUNTIF(Berekening!W$81,'Overzicht pronostieken'!$E171)</f>
        <v>0</v>
      </c>
      <c r="Z171" s="168">
        <f>COUNTIF(Berekening!X$81,'Overzicht pronostieken'!$E171)</f>
        <v>0</v>
      </c>
      <c r="AA171" s="168">
        <f>COUNTIF(Berekening!Y$81,'Overzicht pronostieken'!$E171)</f>
        <v>0</v>
      </c>
      <c r="AB171" s="168">
        <f>COUNTIF(Berekening!Z$81,'Overzicht pronostieken'!$E171)</f>
        <v>0</v>
      </c>
      <c r="AC171" s="168">
        <f>COUNTIF(Berekening!AA$81,'Overzicht pronostieken'!$E171)</f>
        <v>0</v>
      </c>
      <c r="AD171" s="168">
        <f>COUNTIF(Berekening!AB$81,'Overzicht pronostieken'!$E171)</f>
        <v>0</v>
      </c>
      <c r="AE171" s="168">
        <f>COUNTIF(Berekening!AC$81,'Overzicht pronostieken'!$E171)</f>
        <v>0</v>
      </c>
      <c r="AF171" s="168">
        <f>COUNTIF(Berekening!AD$81,'Overzicht pronostieken'!$E171)</f>
        <v>0</v>
      </c>
      <c r="AG171" s="168">
        <f>COUNTIF(Berekening!AE$81,'Overzicht pronostieken'!$E171)</f>
        <v>0</v>
      </c>
      <c r="AH171" s="168">
        <f>COUNTIF(Berekening!AF$81,'Overzicht pronostieken'!$E171)</f>
        <v>0</v>
      </c>
      <c r="AI171" s="168">
        <f>COUNTIF(Berekening!AG$81,'Overzicht pronostieken'!$E171)</f>
        <v>0</v>
      </c>
      <c r="AJ171" s="168">
        <f>COUNTIF(Berekening!AH$81,'Overzicht pronostieken'!$E171)</f>
        <v>0</v>
      </c>
      <c r="AK171" s="168">
        <f>COUNTIF(Berekening!AI$81,'Overzicht pronostieken'!$E171)</f>
        <v>0</v>
      </c>
      <c r="AL171" s="168">
        <f>COUNTIF(Berekening!AJ$81,'Overzicht pronostieken'!$E171)</f>
        <v>0</v>
      </c>
      <c r="AM171" s="168">
        <f>COUNTIF(Berekening!AK$81,'Overzicht pronostieken'!$E171)</f>
        <v>0</v>
      </c>
      <c r="AN171" s="168">
        <f>COUNTIF(Berekening!AL$81,'Overzicht pronostieken'!$E171)</f>
        <v>0</v>
      </c>
      <c r="AO171" s="168">
        <f>COUNTIF(Berekening!AM$81,'Overzicht pronostieken'!$E171)</f>
        <v>0</v>
      </c>
      <c r="AP171" s="168">
        <f>COUNTIF(Berekening!AN$81,'Overzicht pronostieken'!$E171)</f>
        <v>0</v>
      </c>
      <c r="AQ171" s="168">
        <f>COUNTIF(Berekening!AO$81,'Overzicht pronostieken'!$E171)</f>
        <v>0</v>
      </c>
      <c r="AR171" s="168">
        <f>COUNTIF(Berekening!AP$81,'Overzicht pronostieken'!$E171)</f>
        <v>0</v>
      </c>
      <c r="AS171" s="168">
        <f>COUNTIF(Berekening!AQ$81,'Overzicht pronostieken'!$E171)</f>
        <v>0</v>
      </c>
      <c r="AT171" s="168">
        <f>COUNTIF(Berekening!AR$81,'Overzicht pronostieken'!$E171)</f>
        <v>0</v>
      </c>
      <c r="AU171" s="168">
        <f>COUNTIF(Berekening!AS$81,'Overzicht pronostieken'!$E171)</f>
        <v>0</v>
      </c>
      <c r="AV171" s="168">
        <f>COUNTIF(Berekening!AT$81,'Overzicht pronostieken'!$E171)</f>
        <v>0</v>
      </c>
    </row>
    <row r="172" spans="5:48">
      <c r="E172" s="161" t="s">
        <v>1132</v>
      </c>
      <c r="F172" s="161">
        <f t="shared" si="9"/>
        <v>1</v>
      </c>
      <c r="G172" s="168">
        <f>COUNTIF(Berekening!E$81,'Overzicht pronostieken'!$E172)</f>
        <v>0</v>
      </c>
      <c r="H172" s="168">
        <f>COUNTIF(Berekening!F$81,'Overzicht pronostieken'!$E172)</f>
        <v>0</v>
      </c>
      <c r="I172" s="168">
        <f>COUNTIF(Berekening!G$81,'Overzicht pronostieken'!$E172)</f>
        <v>0</v>
      </c>
      <c r="J172" s="168">
        <f>COUNTIF(Berekening!H$81,'Overzicht pronostieken'!$E172)</f>
        <v>0</v>
      </c>
      <c r="K172" s="168">
        <f>COUNTIF(Berekening!I$81,'Overzicht pronostieken'!$E172)</f>
        <v>0</v>
      </c>
      <c r="L172" s="168">
        <f>COUNTIF(Berekening!J$81,'Overzicht pronostieken'!$E172)</f>
        <v>0</v>
      </c>
      <c r="M172" s="168">
        <f>COUNTIF(Berekening!K$81,'Overzicht pronostieken'!$E172)</f>
        <v>1</v>
      </c>
      <c r="N172" s="168">
        <f>COUNTIF(Berekening!L$81,'Overzicht pronostieken'!$E172)</f>
        <v>0</v>
      </c>
      <c r="O172" s="168">
        <f>COUNTIF(Berekening!M$81,'Overzicht pronostieken'!$E172)</f>
        <v>0</v>
      </c>
      <c r="P172" s="168">
        <f>COUNTIF(Berekening!N$81,'Overzicht pronostieken'!$E172)</f>
        <v>0</v>
      </c>
      <c r="Q172" s="168">
        <f>COUNTIF(Berekening!O$81,'Overzicht pronostieken'!$E172)</f>
        <v>0</v>
      </c>
      <c r="R172" s="168">
        <f>COUNTIF(Berekening!P$81,'Overzicht pronostieken'!$E172)</f>
        <v>0</v>
      </c>
      <c r="S172" s="168">
        <f>COUNTIF(Berekening!Q$81,'Overzicht pronostieken'!$E172)</f>
        <v>0</v>
      </c>
      <c r="T172" s="168">
        <f>COUNTIF(Berekening!R$81,'Overzicht pronostieken'!$E172)</f>
        <v>0</v>
      </c>
      <c r="U172" s="168">
        <f>COUNTIF(Berekening!S$81,'Overzicht pronostieken'!$E172)</f>
        <v>0</v>
      </c>
      <c r="V172" s="168">
        <f>COUNTIF(Berekening!T$81,'Overzicht pronostieken'!$E172)</f>
        <v>0</v>
      </c>
      <c r="W172" s="168">
        <f>COUNTIF(Berekening!U$81,'Overzicht pronostieken'!$E172)</f>
        <v>0</v>
      </c>
      <c r="X172" s="168">
        <f>COUNTIF(Berekening!V$81,'Overzicht pronostieken'!$E172)</f>
        <v>0</v>
      </c>
      <c r="Y172" s="168">
        <f>COUNTIF(Berekening!W$81,'Overzicht pronostieken'!$E172)</f>
        <v>0</v>
      </c>
      <c r="Z172" s="168">
        <f>COUNTIF(Berekening!X$81,'Overzicht pronostieken'!$E172)</f>
        <v>0</v>
      </c>
      <c r="AA172" s="168">
        <f>COUNTIF(Berekening!Y$81,'Overzicht pronostieken'!$E172)</f>
        <v>0</v>
      </c>
      <c r="AB172" s="168">
        <f>COUNTIF(Berekening!Z$81,'Overzicht pronostieken'!$E172)</f>
        <v>0</v>
      </c>
      <c r="AC172" s="168">
        <f>COUNTIF(Berekening!AA$81,'Overzicht pronostieken'!$E172)</f>
        <v>0</v>
      </c>
      <c r="AD172" s="168">
        <f>COUNTIF(Berekening!AB$81,'Overzicht pronostieken'!$E172)</f>
        <v>0</v>
      </c>
      <c r="AE172" s="168">
        <f>COUNTIF(Berekening!AC$81,'Overzicht pronostieken'!$E172)</f>
        <v>0</v>
      </c>
      <c r="AF172" s="168">
        <f>COUNTIF(Berekening!AD$81,'Overzicht pronostieken'!$E172)</f>
        <v>0</v>
      </c>
      <c r="AG172" s="168">
        <f>COUNTIF(Berekening!AE$81,'Overzicht pronostieken'!$E172)</f>
        <v>0</v>
      </c>
      <c r="AH172" s="168">
        <f>COUNTIF(Berekening!AF$81,'Overzicht pronostieken'!$E172)</f>
        <v>0</v>
      </c>
      <c r="AI172" s="168">
        <f>COUNTIF(Berekening!AG$81,'Overzicht pronostieken'!$E172)</f>
        <v>0</v>
      </c>
      <c r="AJ172" s="168">
        <f>COUNTIF(Berekening!AH$81,'Overzicht pronostieken'!$E172)</f>
        <v>0</v>
      </c>
      <c r="AK172" s="168">
        <f>COUNTIF(Berekening!AI$81,'Overzicht pronostieken'!$E172)</f>
        <v>0</v>
      </c>
      <c r="AL172" s="168">
        <f>COUNTIF(Berekening!AJ$81,'Overzicht pronostieken'!$E172)</f>
        <v>0</v>
      </c>
      <c r="AM172" s="168">
        <f>COUNTIF(Berekening!AK$81,'Overzicht pronostieken'!$E172)</f>
        <v>0</v>
      </c>
      <c r="AN172" s="168">
        <f>COUNTIF(Berekening!AL$81,'Overzicht pronostieken'!$E172)</f>
        <v>0</v>
      </c>
      <c r="AO172" s="168">
        <f>COUNTIF(Berekening!AM$81,'Overzicht pronostieken'!$E172)</f>
        <v>0</v>
      </c>
      <c r="AP172" s="168">
        <f>COUNTIF(Berekening!AN$81,'Overzicht pronostieken'!$E172)</f>
        <v>0</v>
      </c>
      <c r="AQ172" s="168">
        <f>COUNTIF(Berekening!AO$81,'Overzicht pronostieken'!$E172)</f>
        <v>0</v>
      </c>
      <c r="AR172" s="168">
        <f>COUNTIF(Berekening!AP$81,'Overzicht pronostieken'!$E172)</f>
        <v>0</v>
      </c>
      <c r="AS172" s="168">
        <f>COUNTIF(Berekening!AQ$81,'Overzicht pronostieken'!$E172)</f>
        <v>0</v>
      </c>
      <c r="AT172" s="168">
        <f>COUNTIF(Berekening!AR$81,'Overzicht pronostieken'!$E172)</f>
        <v>0</v>
      </c>
      <c r="AU172" s="168">
        <f>COUNTIF(Berekening!AS$81,'Overzicht pronostieken'!$E172)</f>
        <v>0</v>
      </c>
      <c r="AV172" s="168">
        <f>COUNTIF(Berekening!AT$81,'Overzicht pronostieken'!$E172)</f>
        <v>0</v>
      </c>
    </row>
    <row r="173" spans="5:48">
      <c r="E173" s="161" t="s">
        <v>2689</v>
      </c>
      <c r="F173" s="161">
        <f t="shared" si="9"/>
        <v>0</v>
      </c>
      <c r="G173" s="168">
        <f>COUNTIF(Berekening!E$81,'Overzicht pronostieken'!$E173)</f>
        <v>0</v>
      </c>
      <c r="H173" s="168">
        <f>COUNTIF(Berekening!F$81,'Overzicht pronostieken'!$E173)</f>
        <v>0</v>
      </c>
      <c r="I173" s="168">
        <f>COUNTIF(Berekening!G$81,'Overzicht pronostieken'!$E173)</f>
        <v>0</v>
      </c>
      <c r="J173" s="168">
        <f>COUNTIF(Berekening!H$81,'Overzicht pronostieken'!$E173)</f>
        <v>0</v>
      </c>
      <c r="K173" s="168">
        <f>COUNTIF(Berekening!I$81,'Overzicht pronostieken'!$E173)</f>
        <v>0</v>
      </c>
      <c r="L173" s="168">
        <f>COUNTIF(Berekening!J$81,'Overzicht pronostieken'!$E173)</f>
        <v>0</v>
      </c>
      <c r="M173" s="168">
        <f>COUNTIF(Berekening!K$81,'Overzicht pronostieken'!$E173)</f>
        <v>0</v>
      </c>
      <c r="N173" s="168">
        <f>COUNTIF(Berekening!L$81,'Overzicht pronostieken'!$E173)</f>
        <v>0</v>
      </c>
      <c r="O173" s="168">
        <f>COUNTIF(Berekening!M$81,'Overzicht pronostieken'!$E173)</f>
        <v>0</v>
      </c>
      <c r="P173" s="168">
        <f>COUNTIF(Berekening!N$81,'Overzicht pronostieken'!$E173)</f>
        <v>0</v>
      </c>
      <c r="Q173" s="168">
        <f>COUNTIF(Berekening!O$81,'Overzicht pronostieken'!$E173)</f>
        <v>0</v>
      </c>
      <c r="R173" s="168">
        <f>COUNTIF(Berekening!P$81,'Overzicht pronostieken'!$E173)</f>
        <v>0</v>
      </c>
      <c r="S173" s="168">
        <f>COUNTIF(Berekening!Q$81,'Overzicht pronostieken'!$E173)</f>
        <v>0</v>
      </c>
      <c r="T173" s="168">
        <f>COUNTIF(Berekening!R$81,'Overzicht pronostieken'!$E173)</f>
        <v>0</v>
      </c>
      <c r="U173" s="168">
        <f>COUNTIF(Berekening!S$81,'Overzicht pronostieken'!$E173)</f>
        <v>0</v>
      </c>
      <c r="V173" s="168">
        <f>COUNTIF(Berekening!T$81,'Overzicht pronostieken'!$E173)</f>
        <v>0</v>
      </c>
      <c r="W173" s="168">
        <f>COUNTIF(Berekening!U$81,'Overzicht pronostieken'!$E173)</f>
        <v>0</v>
      </c>
      <c r="X173" s="168">
        <f>COUNTIF(Berekening!V$81,'Overzicht pronostieken'!$E173)</f>
        <v>0</v>
      </c>
      <c r="Y173" s="168">
        <f>COUNTIF(Berekening!W$81,'Overzicht pronostieken'!$E173)</f>
        <v>0</v>
      </c>
      <c r="Z173" s="168">
        <f>COUNTIF(Berekening!X$81,'Overzicht pronostieken'!$E173)</f>
        <v>0</v>
      </c>
      <c r="AA173" s="168">
        <f>COUNTIF(Berekening!Y$81,'Overzicht pronostieken'!$E173)</f>
        <v>0</v>
      </c>
      <c r="AB173" s="168">
        <f>COUNTIF(Berekening!Z$81,'Overzicht pronostieken'!$E173)</f>
        <v>0</v>
      </c>
      <c r="AC173" s="168">
        <f>COUNTIF(Berekening!AA$81,'Overzicht pronostieken'!$E173)</f>
        <v>0</v>
      </c>
      <c r="AD173" s="168">
        <f>COUNTIF(Berekening!AB$81,'Overzicht pronostieken'!$E173)</f>
        <v>0</v>
      </c>
      <c r="AE173" s="168">
        <f>COUNTIF(Berekening!AC$81,'Overzicht pronostieken'!$E173)</f>
        <v>0</v>
      </c>
      <c r="AF173" s="168">
        <f>COUNTIF(Berekening!AD$81,'Overzicht pronostieken'!$E173)</f>
        <v>0</v>
      </c>
      <c r="AG173" s="168">
        <f>COUNTIF(Berekening!AE$81,'Overzicht pronostieken'!$E173)</f>
        <v>0</v>
      </c>
      <c r="AH173" s="168">
        <f>COUNTIF(Berekening!AF$81,'Overzicht pronostieken'!$E173)</f>
        <v>0</v>
      </c>
      <c r="AI173" s="168">
        <f>COUNTIF(Berekening!AG$81,'Overzicht pronostieken'!$E173)</f>
        <v>0</v>
      </c>
      <c r="AJ173" s="168">
        <f>COUNTIF(Berekening!AH$81,'Overzicht pronostieken'!$E173)</f>
        <v>0</v>
      </c>
      <c r="AK173" s="168">
        <f>COUNTIF(Berekening!AI$81,'Overzicht pronostieken'!$E173)</f>
        <v>0</v>
      </c>
      <c r="AL173" s="168">
        <f>COUNTIF(Berekening!AJ$81,'Overzicht pronostieken'!$E173)</f>
        <v>0</v>
      </c>
      <c r="AM173" s="168">
        <f>COUNTIF(Berekening!AK$81,'Overzicht pronostieken'!$E173)</f>
        <v>0</v>
      </c>
      <c r="AN173" s="168">
        <f>COUNTIF(Berekening!AL$81,'Overzicht pronostieken'!$E173)</f>
        <v>0</v>
      </c>
      <c r="AO173" s="168">
        <f>COUNTIF(Berekening!AM$81,'Overzicht pronostieken'!$E173)</f>
        <v>0</v>
      </c>
      <c r="AP173" s="168">
        <f>COUNTIF(Berekening!AN$81,'Overzicht pronostieken'!$E173)</f>
        <v>0</v>
      </c>
      <c r="AQ173" s="168">
        <f>COUNTIF(Berekening!AO$81,'Overzicht pronostieken'!$E173)</f>
        <v>0</v>
      </c>
      <c r="AR173" s="168">
        <f>COUNTIF(Berekening!AP$81,'Overzicht pronostieken'!$E173)</f>
        <v>0</v>
      </c>
      <c r="AS173" s="168">
        <f>COUNTIF(Berekening!AQ$81,'Overzicht pronostieken'!$E173)</f>
        <v>0</v>
      </c>
      <c r="AT173" s="168">
        <f>COUNTIF(Berekening!AR$81,'Overzicht pronostieken'!$E173)</f>
        <v>0</v>
      </c>
      <c r="AU173" s="168">
        <f>COUNTIF(Berekening!AS$81,'Overzicht pronostieken'!$E173)</f>
        <v>0</v>
      </c>
      <c r="AV173" s="168">
        <f>COUNTIF(Berekening!AT$81,'Overzicht pronostieken'!$E173)</f>
        <v>0</v>
      </c>
    </row>
    <row r="174" spans="5:48">
      <c r="E174" s="161" t="s">
        <v>1647</v>
      </c>
      <c r="F174" s="161">
        <f t="shared" si="9"/>
        <v>0</v>
      </c>
      <c r="G174" s="168">
        <f>COUNTIF(Berekening!E$81,'Overzicht pronostieken'!$E174)</f>
        <v>0</v>
      </c>
      <c r="H174" s="168">
        <f>COUNTIF(Berekening!F$81,'Overzicht pronostieken'!$E174)</f>
        <v>0</v>
      </c>
      <c r="I174" s="168">
        <f>COUNTIF(Berekening!G$81,'Overzicht pronostieken'!$E174)</f>
        <v>0</v>
      </c>
      <c r="J174" s="168">
        <f>COUNTIF(Berekening!H$81,'Overzicht pronostieken'!$E174)</f>
        <v>0</v>
      </c>
      <c r="K174" s="168">
        <f>COUNTIF(Berekening!I$81,'Overzicht pronostieken'!$E174)</f>
        <v>0</v>
      </c>
      <c r="L174" s="168">
        <f>COUNTIF(Berekening!J$81,'Overzicht pronostieken'!$E174)</f>
        <v>0</v>
      </c>
      <c r="M174" s="168">
        <f>COUNTIF(Berekening!K$81,'Overzicht pronostieken'!$E174)</f>
        <v>0</v>
      </c>
      <c r="N174" s="168">
        <f>COUNTIF(Berekening!L$81,'Overzicht pronostieken'!$E174)</f>
        <v>0</v>
      </c>
      <c r="O174" s="168">
        <f>COUNTIF(Berekening!M$81,'Overzicht pronostieken'!$E174)</f>
        <v>0</v>
      </c>
      <c r="P174" s="168">
        <f>COUNTIF(Berekening!N$81,'Overzicht pronostieken'!$E174)</f>
        <v>0</v>
      </c>
      <c r="Q174" s="168">
        <f>COUNTIF(Berekening!O$81,'Overzicht pronostieken'!$E174)</f>
        <v>0</v>
      </c>
      <c r="R174" s="168">
        <f>COUNTIF(Berekening!P$81,'Overzicht pronostieken'!$E174)</f>
        <v>0</v>
      </c>
      <c r="S174" s="168">
        <f>COUNTIF(Berekening!Q$81,'Overzicht pronostieken'!$E174)</f>
        <v>0</v>
      </c>
      <c r="T174" s="168">
        <f>COUNTIF(Berekening!R$81,'Overzicht pronostieken'!$E174)</f>
        <v>0</v>
      </c>
      <c r="U174" s="168">
        <f>COUNTIF(Berekening!S$81,'Overzicht pronostieken'!$E174)</f>
        <v>0</v>
      </c>
      <c r="V174" s="168">
        <f>COUNTIF(Berekening!T$81,'Overzicht pronostieken'!$E174)</f>
        <v>0</v>
      </c>
      <c r="W174" s="168">
        <f>COUNTIF(Berekening!U$81,'Overzicht pronostieken'!$E174)</f>
        <v>0</v>
      </c>
      <c r="X174" s="168">
        <f>COUNTIF(Berekening!V$81,'Overzicht pronostieken'!$E174)</f>
        <v>0</v>
      </c>
      <c r="Y174" s="168">
        <f>COUNTIF(Berekening!W$81,'Overzicht pronostieken'!$E174)</f>
        <v>0</v>
      </c>
      <c r="Z174" s="168">
        <f>COUNTIF(Berekening!X$81,'Overzicht pronostieken'!$E174)</f>
        <v>0</v>
      </c>
      <c r="AA174" s="168">
        <f>COUNTIF(Berekening!Y$81,'Overzicht pronostieken'!$E174)</f>
        <v>0</v>
      </c>
      <c r="AB174" s="168">
        <f>COUNTIF(Berekening!Z$81,'Overzicht pronostieken'!$E174)</f>
        <v>0</v>
      </c>
      <c r="AC174" s="168">
        <f>COUNTIF(Berekening!AA$81,'Overzicht pronostieken'!$E174)</f>
        <v>0</v>
      </c>
      <c r="AD174" s="168">
        <f>COUNTIF(Berekening!AB$81,'Overzicht pronostieken'!$E174)</f>
        <v>0</v>
      </c>
      <c r="AE174" s="168">
        <f>COUNTIF(Berekening!AC$81,'Overzicht pronostieken'!$E174)</f>
        <v>0</v>
      </c>
      <c r="AF174" s="168">
        <f>COUNTIF(Berekening!AD$81,'Overzicht pronostieken'!$E174)</f>
        <v>0</v>
      </c>
      <c r="AG174" s="168">
        <f>COUNTIF(Berekening!AE$81,'Overzicht pronostieken'!$E174)</f>
        <v>0</v>
      </c>
      <c r="AH174" s="168">
        <f>COUNTIF(Berekening!AF$81,'Overzicht pronostieken'!$E174)</f>
        <v>0</v>
      </c>
      <c r="AI174" s="168">
        <f>COUNTIF(Berekening!AG$81,'Overzicht pronostieken'!$E174)</f>
        <v>0</v>
      </c>
      <c r="AJ174" s="168">
        <f>COUNTIF(Berekening!AH$81,'Overzicht pronostieken'!$E174)</f>
        <v>0</v>
      </c>
      <c r="AK174" s="168">
        <f>COUNTIF(Berekening!AI$81,'Overzicht pronostieken'!$E174)</f>
        <v>0</v>
      </c>
      <c r="AL174" s="168">
        <f>COUNTIF(Berekening!AJ$81,'Overzicht pronostieken'!$E174)</f>
        <v>0</v>
      </c>
      <c r="AM174" s="168">
        <f>COUNTIF(Berekening!AK$81,'Overzicht pronostieken'!$E174)</f>
        <v>0</v>
      </c>
      <c r="AN174" s="168">
        <f>COUNTIF(Berekening!AL$81,'Overzicht pronostieken'!$E174)</f>
        <v>0</v>
      </c>
      <c r="AO174" s="168">
        <f>COUNTIF(Berekening!AM$81,'Overzicht pronostieken'!$E174)</f>
        <v>0</v>
      </c>
      <c r="AP174" s="168">
        <f>COUNTIF(Berekening!AN$81,'Overzicht pronostieken'!$E174)</f>
        <v>0</v>
      </c>
      <c r="AQ174" s="168">
        <f>COUNTIF(Berekening!AO$81,'Overzicht pronostieken'!$E174)</f>
        <v>0</v>
      </c>
      <c r="AR174" s="168">
        <f>COUNTIF(Berekening!AP$81,'Overzicht pronostieken'!$E174)</f>
        <v>0</v>
      </c>
      <c r="AS174" s="168">
        <f>COUNTIF(Berekening!AQ$81,'Overzicht pronostieken'!$E174)</f>
        <v>0</v>
      </c>
      <c r="AT174" s="168">
        <f>COUNTIF(Berekening!AR$81,'Overzicht pronostieken'!$E174)</f>
        <v>0</v>
      </c>
      <c r="AU174" s="168">
        <f>COUNTIF(Berekening!AS$81,'Overzicht pronostieken'!$E174)</f>
        <v>0</v>
      </c>
      <c r="AV174" s="168">
        <f>COUNTIF(Berekening!AT$81,'Overzicht pronostieken'!$E174)</f>
        <v>0</v>
      </c>
    </row>
    <row r="175" spans="5:48">
      <c r="E175" s="161" t="s">
        <v>1262</v>
      </c>
      <c r="F175" s="161">
        <f t="shared" si="9"/>
        <v>0</v>
      </c>
      <c r="G175" s="168">
        <f>COUNTIF(Berekening!E$81,'Overzicht pronostieken'!$E175)</f>
        <v>0</v>
      </c>
      <c r="H175" s="168">
        <f>COUNTIF(Berekening!F$81,'Overzicht pronostieken'!$E175)</f>
        <v>0</v>
      </c>
      <c r="I175" s="168">
        <f>COUNTIF(Berekening!G$81,'Overzicht pronostieken'!$E175)</f>
        <v>0</v>
      </c>
      <c r="J175" s="168">
        <f>COUNTIF(Berekening!H$81,'Overzicht pronostieken'!$E175)</f>
        <v>0</v>
      </c>
      <c r="K175" s="168">
        <f>COUNTIF(Berekening!I$81,'Overzicht pronostieken'!$E175)</f>
        <v>0</v>
      </c>
      <c r="L175" s="168">
        <f>COUNTIF(Berekening!J$81,'Overzicht pronostieken'!$E175)</f>
        <v>0</v>
      </c>
      <c r="M175" s="168">
        <f>COUNTIF(Berekening!K$81,'Overzicht pronostieken'!$E175)</f>
        <v>0</v>
      </c>
      <c r="N175" s="168">
        <f>COUNTIF(Berekening!L$81,'Overzicht pronostieken'!$E175)</f>
        <v>0</v>
      </c>
      <c r="O175" s="168">
        <f>COUNTIF(Berekening!M$81,'Overzicht pronostieken'!$E175)</f>
        <v>0</v>
      </c>
      <c r="P175" s="168">
        <f>COUNTIF(Berekening!N$81,'Overzicht pronostieken'!$E175)</f>
        <v>0</v>
      </c>
      <c r="Q175" s="168">
        <f>COUNTIF(Berekening!O$81,'Overzicht pronostieken'!$E175)</f>
        <v>0</v>
      </c>
      <c r="R175" s="168">
        <f>COUNTIF(Berekening!P$81,'Overzicht pronostieken'!$E175)</f>
        <v>0</v>
      </c>
      <c r="S175" s="168">
        <f>COUNTIF(Berekening!Q$81,'Overzicht pronostieken'!$E175)</f>
        <v>0</v>
      </c>
      <c r="T175" s="168">
        <f>COUNTIF(Berekening!R$81,'Overzicht pronostieken'!$E175)</f>
        <v>0</v>
      </c>
      <c r="U175" s="168">
        <f>COUNTIF(Berekening!S$81,'Overzicht pronostieken'!$E175)</f>
        <v>0</v>
      </c>
      <c r="V175" s="168">
        <f>COUNTIF(Berekening!T$81,'Overzicht pronostieken'!$E175)</f>
        <v>0</v>
      </c>
      <c r="W175" s="168">
        <f>COUNTIF(Berekening!U$81,'Overzicht pronostieken'!$E175)</f>
        <v>0</v>
      </c>
      <c r="X175" s="168">
        <f>COUNTIF(Berekening!V$81,'Overzicht pronostieken'!$E175)</f>
        <v>0</v>
      </c>
      <c r="Y175" s="168">
        <f>COUNTIF(Berekening!W$81,'Overzicht pronostieken'!$E175)</f>
        <v>0</v>
      </c>
      <c r="Z175" s="168">
        <f>COUNTIF(Berekening!X$81,'Overzicht pronostieken'!$E175)</f>
        <v>0</v>
      </c>
      <c r="AA175" s="168">
        <f>COUNTIF(Berekening!Y$81,'Overzicht pronostieken'!$E175)</f>
        <v>0</v>
      </c>
      <c r="AB175" s="168">
        <f>COUNTIF(Berekening!Z$81,'Overzicht pronostieken'!$E175)</f>
        <v>0</v>
      </c>
      <c r="AC175" s="168">
        <f>COUNTIF(Berekening!AA$81,'Overzicht pronostieken'!$E175)</f>
        <v>0</v>
      </c>
      <c r="AD175" s="168">
        <f>COUNTIF(Berekening!AB$81,'Overzicht pronostieken'!$E175)</f>
        <v>0</v>
      </c>
      <c r="AE175" s="168">
        <f>COUNTIF(Berekening!AC$81,'Overzicht pronostieken'!$E175)</f>
        <v>0</v>
      </c>
      <c r="AF175" s="168">
        <f>COUNTIF(Berekening!AD$81,'Overzicht pronostieken'!$E175)</f>
        <v>0</v>
      </c>
      <c r="AG175" s="168">
        <f>COUNTIF(Berekening!AE$81,'Overzicht pronostieken'!$E175)</f>
        <v>0</v>
      </c>
      <c r="AH175" s="168">
        <f>COUNTIF(Berekening!AF$81,'Overzicht pronostieken'!$E175)</f>
        <v>0</v>
      </c>
      <c r="AI175" s="168">
        <f>COUNTIF(Berekening!AG$81,'Overzicht pronostieken'!$E175)</f>
        <v>0</v>
      </c>
      <c r="AJ175" s="168">
        <f>COUNTIF(Berekening!AH$81,'Overzicht pronostieken'!$E175)</f>
        <v>0</v>
      </c>
      <c r="AK175" s="168">
        <f>COUNTIF(Berekening!AI$81,'Overzicht pronostieken'!$E175)</f>
        <v>0</v>
      </c>
      <c r="AL175" s="168">
        <f>COUNTIF(Berekening!AJ$81,'Overzicht pronostieken'!$E175)</f>
        <v>0</v>
      </c>
      <c r="AM175" s="168">
        <f>COUNTIF(Berekening!AK$81,'Overzicht pronostieken'!$E175)</f>
        <v>0</v>
      </c>
      <c r="AN175" s="168">
        <f>COUNTIF(Berekening!AL$81,'Overzicht pronostieken'!$E175)</f>
        <v>0</v>
      </c>
      <c r="AO175" s="168">
        <f>COUNTIF(Berekening!AM$81,'Overzicht pronostieken'!$E175)</f>
        <v>0</v>
      </c>
      <c r="AP175" s="168">
        <f>COUNTIF(Berekening!AN$81,'Overzicht pronostieken'!$E175)</f>
        <v>0</v>
      </c>
      <c r="AQ175" s="168">
        <f>COUNTIF(Berekening!AO$81,'Overzicht pronostieken'!$E175)</f>
        <v>0</v>
      </c>
      <c r="AR175" s="168">
        <f>COUNTIF(Berekening!AP$81,'Overzicht pronostieken'!$E175)</f>
        <v>0</v>
      </c>
      <c r="AS175" s="168">
        <f>COUNTIF(Berekening!AQ$81,'Overzicht pronostieken'!$E175)</f>
        <v>0</v>
      </c>
      <c r="AT175" s="168">
        <f>COUNTIF(Berekening!AR$81,'Overzicht pronostieken'!$E175)</f>
        <v>0</v>
      </c>
      <c r="AU175" s="168">
        <f>COUNTIF(Berekening!AS$81,'Overzicht pronostieken'!$E175)</f>
        <v>0</v>
      </c>
      <c r="AV175" s="168">
        <f>COUNTIF(Berekening!AT$81,'Overzicht pronostieken'!$E175)</f>
        <v>0</v>
      </c>
    </row>
  </sheetData>
  <conditionalFormatting sqref="G3:AV38">
    <cfRule type="cellIs" dxfId="4" priority="3" stopIfTrue="1" operator="equal">
      <formula>"T"</formula>
    </cfRule>
    <cfRule type="cellIs" dxfId="3" priority="4" stopIfTrue="1" operator="equal">
      <formula>"G"</formula>
    </cfRule>
    <cfRule type="cellIs" dxfId="2" priority="5" stopIfTrue="1" operator="equal">
      <formula>"U"</formula>
    </cfRule>
  </conditionalFormatting>
  <conditionalFormatting sqref="G42:AV65 G70:AV93 G97:AV120 G125:AV148 G152:AV175">
    <cfRule type="cellIs" dxfId="1" priority="1" stopIfTrue="1" operator="equal">
      <formula>1</formula>
    </cfRule>
    <cfRule type="cellIs" dxfId="0" priority="2" stopIfTrue="1" operator="equal">
      <formula>0</formula>
    </cfRule>
  </conditionalFormatting>
  <pageMargins left="0.75" right="0.75" top="1" bottom="1" header="0.5" footer="0.5"/>
  <pageSetup paperSize="9" scale="1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062F-EC80-47DB-BE1B-24897E98AE54}">
  <dimension ref="B2:BC77"/>
  <sheetViews>
    <sheetView workbookViewId="0">
      <selection activeCell="J5" sqref="J5"/>
    </sheetView>
  </sheetViews>
  <sheetFormatPr baseColWidth="10" defaultColWidth="9.19921875" defaultRowHeight="15"/>
  <cols>
    <col min="1" max="1" width="9.19921875" style="161"/>
    <col min="2" max="2" width="4.796875" style="161" customWidth="1"/>
    <col min="3" max="3" width="17" style="161" bestFit="1" customWidth="1"/>
    <col min="4" max="11" width="8.19921875" style="161" customWidth="1"/>
    <col min="12" max="12" width="9.19921875" style="161"/>
    <col min="13" max="13" width="10.59765625" style="161" bestFit="1" customWidth="1"/>
    <col min="14" max="16384" width="9.19921875" style="161"/>
  </cols>
  <sheetData>
    <row r="2" spans="2:55" ht="32.25" customHeight="1">
      <c r="B2" s="169"/>
      <c r="C2" s="170" t="s">
        <v>2975</v>
      </c>
      <c r="D2" s="171" t="s">
        <v>2929</v>
      </c>
      <c r="E2" s="171" t="s">
        <v>2930</v>
      </c>
      <c r="F2" s="171" t="s">
        <v>2931</v>
      </c>
      <c r="G2" s="171" t="s">
        <v>2932</v>
      </c>
      <c r="H2" s="170" t="s">
        <v>2933</v>
      </c>
      <c r="I2" s="170" t="s">
        <v>2935</v>
      </c>
      <c r="J2" s="170" t="s">
        <v>2976</v>
      </c>
      <c r="K2" s="172" t="s">
        <v>2977</v>
      </c>
      <c r="M2" s="161" t="s">
        <v>2975</v>
      </c>
      <c r="N2" s="161" t="str">
        <f>'Overzicht pronostieken'!G2</f>
        <v>Sam</v>
      </c>
      <c r="O2" s="161" t="str">
        <f>'Overzicht pronostieken'!H2</f>
        <v>Matthias</v>
      </c>
      <c r="P2" s="161" t="str">
        <f>'Overzicht pronostieken'!I2</f>
        <v>Billy</v>
      </c>
      <c r="Q2" s="161" t="str">
        <f>'Overzicht pronostieken'!J2</f>
        <v>Timon</v>
      </c>
      <c r="R2" s="161" t="str">
        <f>'Overzicht pronostieken'!K2</f>
        <v>Bavo</v>
      </c>
      <c r="S2" s="161" t="str">
        <f>'Overzicht pronostieken'!L2</f>
        <v>Lowie</v>
      </c>
      <c r="T2" s="161" t="str">
        <f>'Overzicht pronostieken'!M2</f>
        <v>Stijn</v>
      </c>
      <c r="U2" s="161" t="str">
        <f>'Overzicht pronostieken'!N2</f>
        <v>Tom</v>
      </c>
      <c r="V2" s="161" t="str">
        <f>'Overzicht pronostieken'!O2</f>
        <v>Cas</v>
      </c>
      <c r="W2" s="161" t="str">
        <f>'Overzicht pronostieken'!P2</f>
        <v>Dean</v>
      </c>
      <c r="X2" s="161" t="str">
        <f>'Overzicht pronostieken'!Q2</f>
        <v>Jannes</v>
      </c>
      <c r="Y2" s="161" t="str">
        <f>'Overzicht pronostieken'!R2</f>
        <v>Jens</v>
      </c>
      <c r="Z2" s="161" t="str">
        <f>'Overzicht pronostieken'!S2</f>
        <v>Louis</v>
      </c>
      <c r="AA2" s="161" t="str">
        <f>'Overzicht pronostieken'!T2</f>
        <v>Ruben</v>
      </c>
      <c r="AB2" s="161" t="str">
        <f>'Overzicht pronostieken'!U2</f>
        <v>Karl</v>
      </c>
      <c r="AC2" s="161" t="str">
        <f>'Overzicht pronostieken'!V2</f>
        <v>Seppe</v>
      </c>
      <c r="AD2" s="161" t="str">
        <f>'Overzicht pronostieken'!W2</f>
        <v>deelnemer 17</v>
      </c>
      <c r="AE2" s="161" t="str">
        <f>'Overzicht pronostieken'!X2</f>
        <v>deelnemer 18</v>
      </c>
      <c r="AF2" s="161" t="str">
        <f>'Overzicht pronostieken'!Y2</f>
        <v>deelnemer 19</v>
      </c>
      <c r="AG2" s="161" t="str">
        <f>'Overzicht pronostieken'!Z2</f>
        <v>deelnemer 20</v>
      </c>
      <c r="AH2" s="161" t="str">
        <f>'Overzicht pronostieken'!AA2</f>
        <v>deelnemer 21</v>
      </c>
      <c r="AI2" s="161" t="str">
        <f>'Overzicht pronostieken'!AB2</f>
        <v>deelnemer 22</v>
      </c>
      <c r="AJ2" s="161" t="str">
        <f>'Overzicht pronostieken'!AC2</f>
        <v>deelnemer 23</v>
      </c>
      <c r="AK2" s="161" t="str">
        <f>'Overzicht pronostieken'!AD2</f>
        <v>deelnemer 24</v>
      </c>
      <c r="AL2" s="161" t="str">
        <f>'Overzicht pronostieken'!AE2</f>
        <v>deelnemer 25</v>
      </c>
      <c r="AM2" s="161" t="str">
        <f>'Overzicht pronostieken'!AF2</f>
        <v>deelnemer 26</v>
      </c>
      <c r="AN2" s="161" t="str">
        <f>'Overzicht pronostieken'!AG2</f>
        <v>deelnemer 27</v>
      </c>
      <c r="AO2" s="161" t="str">
        <f>'Overzicht pronostieken'!AH2</f>
        <v>deelnemer 28</v>
      </c>
      <c r="AP2" s="161" t="str">
        <f>'Overzicht pronostieken'!AI2</f>
        <v>deelnemer 29</v>
      </c>
      <c r="AQ2" s="161" t="str">
        <f>'Overzicht pronostieken'!AJ2</f>
        <v>deelnemer 30</v>
      </c>
      <c r="AR2" s="161" t="str">
        <f>'Overzicht pronostieken'!AK2</f>
        <v>deelnemer 31</v>
      </c>
      <c r="AS2" s="161" t="str">
        <f>'Overzicht pronostieken'!AL2</f>
        <v>deelnemer 32</v>
      </c>
      <c r="AT2" s="161" t="str">
        <f>'Overzicht pronostieken'!AM2</f>
        <v>deelnemer 33</v>
      </c>
      <c r="AU2" s="161" t="str">
        <f>'Overzicht pronostieken'!AN2</f>
        <v>deelnemer 34</v>
      </c>
      <c r="AV2" s="161" t="str">
        <f>'Overzicht pronostieken'!AO2</f>
        <v>deelnemer 35</v>
      </c>
      <c r="AW2" s="161" t="str">
        <f>'Overzicht pronostieken'!AP2</f>
        <v>deelnemer 36</v>
      </c>
      <c r="AX2" s="161" t="str">
        <f>'Overzicht pronostieken'!AQ2</f>
        <v>deelnemer 37</v>
      </c>
      <c r="AY2" s="161" t="str">
        <f>'Overzicht pronostieken'!AR2</f>
        <v>deelnemer 38</v>
      </c>
      <c r="AZ2" s="161" t="str">
        <f>'Overzicht pronostieken'!AS2</f>
        <v>deelnemer 39</v>
      </c>
      <c r="BA2" s="161" t="str">
        <f>'Overzicht pronostieken'!AT2</f>
        <v>deelnemer 40</v>
      </c>
      <c r="BB2" s="161" t="str">
        <f>'Overzicht pronostieken'!AU2</f>
        <v>deelnemer 41</v>
      </c>
      <c r="BC2" s="161" t="str">
        <f>'Overzicht pronostieken'!AV2</f>
        <v>deelnemer 42</v>
      </c>
    </row>
    <row r="3" spans="2:55">
      <c r="B3" s="173">
        <v>1</v>
      </c>
      <c r="C3" s="174" t="s">
        <v>2980</v>
      </c>
      <c r="D3" s="175">
        <v>180</v>
      </c>
      <c r="E3" s="175">
        <v>80</v>
      </c>
      <c r="F3" s="175">
        <v>64</v>
      </c>
      <c r="G3" s="175">
        <v>40</v>
      </c>
      <c r="H3" s="175">
        <v>30</v>
      </c>
      <c r="I3" s="175">
        <v>20</v>
      </c>
      <c r="J3" s="176">
        <v>414</v>
      </c>
      <c r="K3" s="177" t="s">
        <v>3089</v>
      </c>
      <c r="M3" s="161" t="s">
        <v>2929</v>
      </c>
      <c r="N3" s="161">
        <f>Berekening!E3</f>
        <v>12</v>
      </c>
      <c r="O3" s="161">
        <f>Berekening!F3</f>
        <v>7</v>
      </c>
      <c r="P3" s="161">
        <f>Berekening!G3</f>
        <v>15</v>
      </c>
      <c r="Q3" s="161">
        <f>Berekening!H3</f>
        <v>15</v>
      </c>
      <c r="R3" s="161">
        <f>Berekening!I3</f>
        <v>7</v>
      </c>
      <c r="S3" s="161">
        <f>Berekening!J3</f>
        <v>8</v>
      </c>
      <c r="T3" s="161">
        <f>Berekening!K3</f>
        <v>11</v>
      </c>
      <c r="U3" s="161">
        <f>Berekening!L3</f>
        <v>11</v>
      </c>
      <c r="V3" s="161">
        <f>Berekening!M3</f>
        <v>14</v>
      </c>
      <c r="W3" s="161">
        <f>Berekening!N3</f>
        <v>8</v>
      </c>
      <c r="X3" s="161">
        <f>Berekening!O3</f>
        <v>15</v>
      </c>
      <c r="Y3" s="161">
        <f>Berekening!P3</f>
        <v>12</v>
      </c>
      <c r="Z3" s="161">
        <f>Berekening!Q3</f>
        <v>9</v>
      </c>
      <c r="AA3" s="161">
        <f>Berekening!R3</f>
        <v>15</v>
      </c>
      <c r="AB3" s="161">
        <f>Berekening!S3</f>
        <v>12</v>
      </c>
      <c r="AC3" s="161">
        <f>Berekening!T3</f>
        <v>11</v>
      </c>
      <c r="AD3" s="161">
        <f>Berekening!U3</f>
        <v>0</v>
      </c>
      <c r="AE3" s="161">
        <f>Berekening!V3</f>
        <v>0</v>
      </c>
      <c r="AF3" s="161">
        <f>Berekening!W3</f>
        <v>0</v>
      </c>
      <c r="AG3" s="161">
        <f>Berekening!X3</f>
        <v>0</v>
      </c>
      <c r="AH3" s="161">
        <f>Berekening!Y3</f>
        <v>0</v>
      </c>
      <c r="AI3" s="161">
        <f>Berekening!Z3</f>
        <v>0</v>
      </c>
      <c r="AJ3" s="161">
        <f>Berekening!AA3</f>
        <v>0</v>
      </c>
      <c r="AK3" s="161">
        <f>Berekening!AB3</f>
        <v>0</v>
      </c>
      <c r="AL3" s="161">
        <f>Berekening!AC3</f>
        <v>0</v>
      </c>
      <c r="AM3" s="161">
        <f>Berekening!AD3</f>
        <v>0</v>
      </c>
      <c r="AN3" s="161">
        <f>Berekening!AE3</f>
        <v>0</v>
      </c>
      <c r="AO3" s="161">
        <f>Berekening!AF3</f>
        <v>0</v>
      </c>
      <c r="AP3" s="161">
        <f>Berekening!AG3</f>
        <v>0</v>
      </c>
      <c r="AQ3" s="161">
        <f>Berekening!AH3</f>
        <v>0</v>
      </c>
      <c r="AR3" s="161">
        <f>Berekening!AI3</f>
        <v>0</v>
      </c>
      <c r="AS3" s="161">
        <f>Berekening!AJ3</f>
        <v>0</v>
      </c>
      <c r="AT3" s="161">
        <f>Berekening!AK3</f>
        <v>0</v>
      </c>
      <c r="AU3" s="161">
        <f>Berekening!AL3</f>
        <v>0</v>
      </c>
      <c r="AV3" s="161">
        <f>Berekening!AM3</f>
        <v>0</v>
      </c>
      <c r="AW3" s="161">
        <f>Berekening!AN3</f>
        <v>0</v>
      </c>
      <c r="AX3" s="161">
        <f>Berekening!AO3</f>
        <v>0</v>
      </c>
      <c r="AY3" s="161">
        <f>Berekening!AP3</f>
        <v>0</v>
      </c>
      <c r="AZ3" s="161">
        <f>Berekening!AQ3</f>
        <v>0</v>
      </c>
      <c r="BA3" s="161">
        <f>Berekening!AR3</f>
        <v>0</v>
      </c>
      <c r="BB3" s="161">
        <f>Berekening!AS3</f>
        <v>0</v>
      </c>
      <c r="BC3" s="161">
        <f>Berekening!AT3</f>
        <v>0</v>
      </c>
    </row>
    <row r="4" spans="2:55">
      <c r="B4" s="173">
        <v>2</v>
      </c>
      <c r="C4" s="174" t="s">
        <v>2979</v>
      </c>
      <c r="D4" s="175">
        <v>69</v>
      </c>
      <c r="E4" s="175">
        <v>55</v>
      </c>
      <c r="F4" s="175">
        <v>40</v>
      </c>
      <c r="G4" s="175">
        <v>10</v>
      </c>
      <c r="H4" s="175">
        <v>0</v>
      </c>
      <c r="I4" s="175">
        <v>0</v>
      </c>
      <c r="J4" s="176">
        <v>174</v>
      </c>
      <c r="K4" s="177" t="s">
        <v>3088</v>
      </c>
      <c r="M4" s="161" t="s">
        <v>2930</v>
      </c>
      <c r="N4" s="161">
        <f>Berekening!E4</f>
        <v>0</v>
      </c>
      <c r="O4" s="161">
        <f>Berekening!F4</f>
        <v>0</v>
      </c>
      <c r="P4" s="161">
        <f>Berekening!G4</f>
        <v>0</v>
      </c>
      <c r="Q4" s="161">
        <f>Berekening!H4</f>
        <v>0</v>
      </c>
      <c r="R4" s="161">
        <f>Berekening!I4</f>
        <v>0</v>
      </c>
      <c r="S4" s="161">
        <f>Berekening!J4</f>
        <v>0</v>
      </c>
      <c r="T4" s="161">
        <f>Berekening!K4</f>
        <v>0</v>
      </c>
      <c r="U4" s="161">
        <f>Berekening!L4</f>
        <v>0</v>
      </c>
      <c r="V4" s="161">
        <f>Berekening!M4</f>
        <v>0</v>
      </c>
      <c r="W4" s="161">
        <f>Berekening!N4</f>
        <v>0</v>
      </c>
      <c r="X4" s="161">
        <f>Berekening!O4</f>
        <v>0</v>
      </c>
      <c r="Y4" s="161">
        <f>Berekening!P4</f>
        <v>0</v>
      </c>
      <c r="Z4" s="161">
        <f>Berekening!Q4</f>
        <v>0</v>
      </c>
      <c r="AA4" s="161">
        <f>Berekening!R4</f>
        <v>0</v>
      </c>
      <c r="AB4" s="161">
        <f>Berekening!S4</f>
        <v>0</v>
      </c>
      <c r="AC4" s="161">
        <f>Berekening!T4</f>
        <v>0</v>
      </c>
      <c r="AD4" s="161">
        <f>Berekening!U4</f>
        <v>0</v>
      </c>
      <c r="AE4" s="161">
        <f>Berekening!V4</f>
        <v>0</v>
      </c>
      <c r="AF4" s="161">
        <f>Berekening!W4</f>
        <v>0</v>
      </c>
      <c r="AG4" s="161">
        <f>Berekening!X4</f>
        <v>0</v>
      </c>
      <c r="AH4" s="161">
        <f>Berekening!Y4</f>
        <v>0</v>
      </c>
      <c r="AI4" s="161">
        <f>Berekening!Z4</f>
        <v>0</v>
      </c>
      <c r="AJ4" s="161">
        <f>Berekening!AA4</f>
        <v>0</v>
      </c>
      <c r="AK4" s="161">
        <f>Berekening!AB4</f>
        <v>0</v>
      </c>
      <c r="AL4" s="161">
        <f>Berekening!AC4</f>
        <v>0</v>
      </c>
      <c r="AM4" s="161">
        <f>Berekening!AD4</f>
        <v>0</v>
      </c>
      <c r="AN4" s="161">
        <f>Berekening!AE4</f>
        <v>0</v>
      </c>
      <c r="AO4" s="161">
        <f>Berekening!AF4</f>
        <v>0</v>
      </c>
      <c r="AP4" s="161">
        <f>Berekening!AG4</f>
        <v>0</v>
      </c>
      <c r="AQ4" s="161">
        <f>Berekening!AH4</f>
        <v>0</v>
      </c>
      <c r="AR4" s="161">
        <f>Berekening!AI4</f>
        <v>0</v>
      </c>
      <c r="AS4" s="161">
        <f>Berekening!AJ4</f>
        <v>0</v>
      </c>
      <c r="AT4" s="161">
        <f>Berekening!AK4</f>
        <v>0</v>
      </c>
      <c r="AU4" s="161">
        <f>Berekening!AL4</f>
        <v>0</v>
      </c>
      <c r="AV4" s="161">
        <f>Berekening!AM4</f>
        <v>0</v>
      </c>
      <c r="AW4" s="161">
        <f>Berekening!AN4</f>
        <v>0</v>
      </c>
      <c r="AX4" s="161">
        <f>Berekening!AO4</f>
        <v>0</v>
      </c>
      <c r="AY4" s="161">
        <f>Berekening!AP4</f>
        <v>0</v>
      </c>
      <c r="AZ4" s="161">
        <f>Berekening!AQ4</f>
        <v>0</v>
      </c>
      <c r="BA4" s="161">
        <f>Berekening!AR4</f>
        <v>0</v>
      </c>
      <c r="BB4" s="161">
        <f>Berekening!AS4</f>
        <v>0</v>
      </c>
      <c r="BC4" s="161">
        <f>Berekening!AT4</f>
        <v>0</v>
      </c>
    </row>
    <row r="5" spans="2:55">
      <c r="B5" s="173">
        <v>3</v>
      </c>
      <c r="C5" s="174"/>
      <c r="D5" s="175"/>
      <c r="E5" s="175"/>
      <c r="F5" s="175"/>
      <c r="G5" s="175"/>
      <c r="H5" s="175"/>
      <c r="I5" s="175"/>
      <c r="J5" s="176"/>
      <c r="K5" s="177"/>
      <c r="M5" s="161" t="s">
        <v>2931</v>
      </c>
      <c r="N5" s="161">
        <f>Berekening!E5</f>
        <v>0</v>
      </c>
      <c r="O5" s="161">
        <f>Berekening!F5</f>
        <v>0</v>
      </c>
      <c r="P5" s="161">
        <f>Berekening!G5</f>
        <v>0</v>
      </c>
      <c r="Q5" s="161">
        <f>Berekening!H5</f>
        <v>0</v>
      </c>
      <c r="R5" s="161">
        <f>Berekening!I5</f>
        <v>0</v>
      </c>
      <c r="S5" s="161">
        <f>Berekening!J5</f>
        <v>0</v>
      </c>
      <c r="T5" s="161">
        <f>Berekening!K5</f>
        <v>0</v>
      </c>
      <c r="U5" s="161">
        <f>Berekening!L5</f>
        <v>0</v>
      </c>
      <c r="V5" s="161">
        <f>Berekening!M5</f>
        <v>0</v>
      </c>
      <c r="W5" s="161">
        <f>Berekening!N5</f>
        <v>0</v>
      </c>
      <c r="X5" s="161">
        <f>Berekening!O5</f>
        <v>0</v>
      </c>
      <c r="Y5" s="161">
        <f>Berekening!P5</f>
        <v>0</v>
      </c>
      <c r="Z5" s="161">
        <f>Berekening!Q5</f>
        <v>0</v>
      </c>
      <c r="AA5" s="161">
        <f>Berekening!R5</f>
        <v>0</v>
      </c>
      <c r="AB5" s="161">
        <f>Berekening!S5</f>
        <v>0</v>
      </c>
      <c r="AC5" s="161">
        <f>Berekening!T5</f>
        <v>0</v>
      </c>
      <c r="AD5" s="161">
        <f>Berekening!U5</f>
        <v>0</v>
      </c>
      <c r="AE5" s="161">
        <f>Berekening!V5</f>
        <v>0</v>
      </c>
      <c r="AF5" s="161">
        <f>Berekening!W5</f>
        <v>0</v>
      </c>
      <c r="AG5" s="161">
        <f>Berekening!X5</f>
        <v>0</v>
      </c>
      <c r="AH5" s="161">
        <f>Berekening!Y5</f>
        <v>0</v>
      </c>
      <c r="AI5" s="161">
        <f>Berekening!Z5</f>
        <v>0</v>
      </c>
      <c r="AJ5" s="161">
        <f>Berekening!AA5</f>
        <v>0</v>
      </c>
      <c r="AK5" s="161">
        <f>Berekening!AB5</f>
        <v>0</v>
      </c>
      <c r="AL5" s="161">
        <f>Berekening!AC5</f>
        <v>0</v>
      </c>
      <c r="AM5" s="161">
        <f>Berekening!AD5</f>
        <v>0</v>
      </c>
      <c r="AN5" s="161">
        <f>Berekening!AE5</f>
        <v>0</v>
      </c>
      <c r="AO5" s="161">
        <f>Berekening!AF5</f>
        <v>0</v>
      </c>
      <c r="AP5" s="161">
        <f>Berekening!AG5</f>
        <v>0</v>
      </c>
      <c r="AQ5" s="161">
        <f>Berekening!AH5</f>
        <v>0</v>
      </c>
      <c r="AR5" s="161">
        <f>Berekening!AI5</f>
        <v>0</v>
      </c>
      <c r="AS5" s="161">
        <f>Berekening!AJ5</f>
        <v>0</v>
      </c>
      <c r="AT5" s="161">
        <f>Berekening!AK5</f>
        <v>0</v>
      </c>
      <c r="AU5" s="161">
        <f>Berekening!AL5</f>
        <v>0</v>
      </c>
      <c r="AV5" s="161">
        <f>Berekening!AM5</f>
        <v>0</v>
      </c>
      <c r="AW5" s="161">
        <f>Berekening!AN5</f>
        <v>0</v>
      </c>
      <c r="AX5" s="161">
        <f>Berekening!AO5</f>
        <v>0</v>
      </c>
      <c r="AY5" s="161">
        <f>Berekening!AP5</f>
        <v>0</v>
      </c>
      <c r="AZ5" s="161">
        <f>Berekening!AQ5</f>
        <v>0</v>
      </c>
      <c r="BA5" s="161">
        <f>Berekening!AR5</f>
        <v>0</v>
      </c>
      <c r="BB5" s="161">
        <f>Berekening!AS5</f>
        <v>0</v>
      </c>
      <c r="BC5" s="161">
        <f>Berekening!AT5</f>
        <v>0</v>
      </c>
    </row>
    <row r="6" spans="2:55">
      <c r="B6" s="173">
        <v>4</v>
      </c>
      <c r="C6" s="174"/>
      <c r="D6" s="175"/>
      <c r="E6" s="175"/>
      <c r="F6" s="175"/>
      <c r="G6" s="175"/>
      <c r="H6" s="175"/>
      <c r="I6" s="175"/>
      <c r="J6" s="176"/>
      <c r="K6" s="177"/>
      <c r="M6" s="161" t="s">
        <v>2932</v>
      </c>
      <c r="N6" s="161">
        <f>Berekening!E6</f>
        <v>0</v>
      </c>
      <c r="O6" s="161">
        <f>Berekening!F6</f>
        <v>0</v>
      </c>
      <c r="P6" s="161">
        <f>Berekening!G6</f>
        <v>0</v>
      </c>
      <c r="Q6" s="161">
        <f>Berekening!H6</f>
        <v>0</v>
      </c>
      <c r="R6" s="161">
        <f>Berekening!I6</f>
        <v>0</v>
      </c>
      <c r="S6" s="161">
        <f>Berekening!J6</f>
        <v>0</v>
      </c>
      <c r="T6" s="161">
        <f>Berekening!K6</f>
        <v>0</v>
      </c>
      <c r="U6" s="161">
        <f>Berekening!L6</f>
        <v>0</v>
      </c>
      <c r="V6" s="161">
        <f>Berekening!M6</f>
        <v>0</v>
      </c>
      <c r="W6" s="161">
        <f>Berekening!N6</f>
        <v>0</v>
      </c>
      <c r="X6" s="161">
        <f>Berekening!O6</f>
        <v>0</v>
      </c>
      <c r="Y6" s="161">
        <f>Berekening!P6</f>
        <v>0</v>
      </c>
      <c r="Z6" s="161">
        <f>Berekening!Q6</f>
        <v>0</v>
      </c>
      <c r="AA6" s="161">
        <f>Berekening!R6</f>
        <v>0</v>
      </c>
      <c r="AB6" s="161">
        <f>Berekening!S6</f>
        <v>0</v>
      </c>
      <c r="AC6" s="161">
        <f>Berekening!T6</f>
        <v>0</v>
      </c>
      <c r="AD6" s="161">
        <f>Berekening!U6</f>
        <v>0</v>
      </c>
      <c r="AE6" s="161">
        <f>Berekening!V6</f>
        <v>0</v>
      </c>
      <c r="AF6" s="161">
        <f>Berekening!W6</f>
        <v>0</v>
      </c>
      <c r="AG6" s="161">
        <f>Berekening!X6</f>
        <v>0</v>
      </c>
      <c r="AH6" s="161">
        <f>Berekening!Y6</f>
        <v>0</v>
      </c>
      <c r="AI6" s="161">
        <f>Berekening!Z6</f>
        <v>0</v>
      </c>
      <c r="AJ6" s="161">
        <f>Berekening!AA6</f>
        <v>0</v>
      </c>
      <c r="AK6" s="161">
        <f>Berekening!AB6</f>
        <v>0</v>
      </c>
      <c r="AL6" s="161">
        <f>Berekening!AC6</f>
        <v>0</v>
      </c>
      <c r="AM6" s="161">
        <f>Berekening!AD6</f>
        <v>0</v>
      </c>
      <c r="AN6" s="161">
        <f>Berekening!AE6</f>
        <v>0</v>
      </c>
      <c r="AO6" s="161">
        <f>Berekening!AF6</f>
        <v>0</v>
      </c>
      <c r="AP6" s="161">
        <f>Berekening!AG6</f>
        <v>0</v>
      </c>
      <c r="AQ6" s="161">
        <f>Berekening!AH6</f>
        <v>0</v>
      </c>
      <c r="AR6" s="161">
        <f>Berekening!AI6</f>
        <v>0</v>
      </c>
      <c r="AS6" s="161">
        <f>Berekening!AJ6</f>
        <v>0</v>
      </c>
      <c r="AT6" s="161">
        <f>Berekening!AK6</f>
        <v>0</v>
      </c>
      <c r="AU6" s="161">
        <f>Berekening!AL6</f>
        <v>0</v>
      </c>
      <c r="AV6" s="161">
        <f>Berekening!AM6</f>
        <v>0</v>
      </c>
      <c r="AW6" s="161">
        <f>Berekening!AN6</f>
        <v>0</v>
      </c>
      <c r="AX6" s="161">
        <f>Berekening!AO6</f>
        <v>0</v>
      </c>
      <c r="AY6" s="161">
        <f>Berekening!AP6</f>
        <v>0</v>
      </c>
      <c r="AZ6" s="161">
        <f>Berekening!AQ6</f>
        <v>0</v>
      </c>
      <c r="BA6" s="161">
        <f>Berekening!AR6</f>
        <v>0</v>
      </c>
      <c r="BB6" s="161">
        <f>Berekening!AS6</f>
        <v>0</v>
      </c>
      <c r="BC6" s="161">
        <f>Berekening!AT6</f>
        <v>0</v>
      </c>
    </row>
    <row r="7" spans="2:55">
      <c r="B7" s="173">
        <v>5</v>
      </c>
      <c r="C7" s="174"/>
      <c r="D7" s="175"/>
      <c r="E7" s="175"/>
      <c r="F7" s="175"/>
      <c r="G7" s="175"/>
      <c r="H7" s="175"/>
      <c r="I7" s="175"/>
      <c r="J7" s="176"/>
      <c r="K7" s="177"/>
      <c r="M7" s="161" t="s">
        <v>2933</v>
      </c>
      <c r="N7" s="161">
        <f>Berekening!E7</f>
        <v>0</v>
      </c>
      <c r="O7" s="161">
        <f>Berekening!F7</f>
        <v>0</v>
      </c>
      <c r="P7" s="161">
        <f>Berekening!G7</f>
        <v>0</v>
      </c>
      <c r="Q7" s="161">
        <f>Berekening!H7</f>
        <v>0</v>
      </c>
      <c r="R7" s="161">
        <f>Berekening!I7</f>
        <v>0</v>
      </c>
      <c r="S7" s="161">
        <f>Berekening!J7</f>
        <v>0</v>
      </c>
      <c r="T7" s="161">
        <f>Berekening!K7</f>
        <v>0</v>
      </c>
      <c r="U7" s="161">
        <f>Berekening!L7</f>
        <v>0</v>
      </c>
      <c r="V7" s="161">
        <f>Berekening!M7</f>
        <v>0</v>
      </c>
      <c r="W7" s="161">
        <f>Berekening!N7</f>
        <v>0</v>
      </c>
      <c r="X7" s="161">
        <f>Berekening!O7</f>
        <v>0</v>
      </c>
      <c r="Y7" s="161">
        <f>Berekening!P7</f>
        <v>0</v>
      </c>
      <c r="Z7" s="161">
        <f>Berekening!Q7</f>
        <v>0</v>
      </c>
      <c r="AA7" s="161">
        <f>Berekening!R7</f>
        <v>0</v>
      </c>
      <c r="AB7" s="161">
        <f>Berekening!S7</f>
        <v>0</v>
      </c>
      <c r="AC7" s="161">
        <f>Berekening!T7</f>
        <v>0</v>
      </c>
      <c r="AD7" s="161">
        <f>Berekening!U7</f>
        <v>0</v>
      </c>
      <c r="AE7" s="161">
        <f>Berekening!V7</f>
        <v>0</v>
      </c>
      <c r="AF7" s="161">
        <f>Berekening!W7</f>
        <v>0</v>
      </c>
      <c r="AG7" s="161">
        <f>Berekening!X7</f>
        <v>0</v>
      </c>
      <c r="AH7" s="161">
        <f>Berekening!Y7</f>
        <v>0</v>
      </c>
      <c r="AI7" s="161">
        <f>Berekening!Z7</f>
        <v>0</v>
      </c>
      <c r="AJ7" s="161">
        <f>Berekening!AA7</f>
        <v>0</v>
      </c>
      <c r="AK7" s="161">
        <f>Berekening!AB7</f>
        <v>0</v>
      </c>
      <c r="AL7" s="161">
        <f>Berekening!AC7</f>
        <v>0</v>
      </c>
      <c r="AM7" s="161">
        <f>Berekening!AD7</f>
        <v>0</v>
      </c>
      <c r="AN7" s="161">
        <f>Berekening!AE7</f>
        <v>0</v>
      </c>
      <c r="AO7" s="161">
        <f>Berekening!AF7</f>
        <v>0</v>
      </c>
      <c r="AP7" s="161">
        <f>Berekening!AG7</f>
        <v>0</v>
      </c>
      <c r="AQ7" s="161">
        <f>Berekening!AH7</f>
        <v>0</v>
      </c>
      <c r="AR7" s="161">
        <f>Berekening!AI7</f>
        <v>0</v>
      </c>
      <c r="AS7" s="161">
        <f>Berekening!AJ7</f>
        <v>0</v>
      </c>
      <c r="AT7" s="161">
        <f>Berekening!AK7</f>
        <v>0</v>
      </c>
      <c r="AU7" s="161">
        <f>Berekening!AL7</f>
        <v>0</v>
      </c>
      <c r="AV7" s="161">
        <f>Berekening!AM7</f>
        <v>0</v>
      </c>
      <c r="AW7" s="161">
        <f>Berekening!AN7</f>
        <v>0</v>
      </c>
      <c r="AX7" s="161">
        <f>Berekening!AO7</f>
        <v>0</v>
      </c>
      <c r="AY7" s="161">
        <f>Berekening!AP7</f>
        <v>0</v>
      </c>
      <c r="AZ7" s="161">
        <f>Berekening!AQ7</f>
        <v>0</v>
      </c>
      <c r="BA7" s="161">
        <f>Berekening!AR7</f>
        <v>0</v>
      </c>
      <c r="BB7" s="161">
        <f>Berekening!AS7</f>
        <v>0</v>
      </c>
      <c r="BC7" s="161">
        <f>Berekening!AT7</f>
        <v>0</v>
      </c>
    </row>
    <row r="8" spans="2:55">
      <c r="B8" s="173">
        <v>6</v>
      </c>
      <c r="C8" s="174"/>
      <c r="D8" s="175"/>
      <c r="E8" s="175"/>
      <c r="F8" s="175"/>
      <c r="G8" s="175"/>
      <c r="H8" s="175"/>
      <c r="I8" s="175"/>
      <c r="J8" s="176"/>
      <c r="K8" s="177"/>
      <c r="M8" s="161" t="s">
        <v>2935</v>
      </c>
      <c r="N8" s="161">
        <f>Berekening!E8</f>
        <v>0</v>
      </c>
      <c r="O8" s="161">
        <f>Berekening!F8</f>
        <v>0</v>
      </c>
      <c r="P8" s="161">
        <f>Berekening!G8</f>
        <v>0</v>
      </c>
      <c r="Q8" s="161">
        <f>Berekening!H8</f>
        <v>0</v>
      </c>
      <c r="R8" s="161">
        <f>Berekening!I8</f>
        <v>0</v>
      </c>
      <c r="S8" s="161">
        <f>Berekening!J8</f>
        <v>0</v>
      </c>
      <c r="T8" s="161">
        <f>Berekening!K8</f>
        <v>0</v>
      </c>
      <c r="U8" s="161">
        <f>Berekening!L8</f>
        <v>0</v>
      </c>
      <c r="V8" s="161">
        <f>Berekening!M8</f>
        <v>0</v>
      </c>
      <c r="W8" s="161">
        <f>Berekening!N8</f>
        <v>0</v>
      </c>
      <c r="X8" s="161">
        <f>Berekening!O8</f>
        <v>0</v>
      </c>
      <c r="Y8" s="161">
        <f>Berekening!P8</f>
        <v>0</v>
      </c>
      <c r="Z8" s="161">
        <f>Berekening!Q8</f>
        <v>0</v>
      </c>
      <c r="AA8" s="161">
        <f>Berekening!R8</f>
        <v>0</v>
      </c>
      <c r="AB8" s="161">
        <f>Berekening!S8</f>
        <v>0</v>
      </c>
      <c r="AC8" s="161">
        <f>Berekening!T8</f>
        <v>0</v>
      </c>
      <c r="AD8" s="161">
        <f>Berekening!U8</f>
        <v>20</v>
      </c>
      <c r="AE8" s="161">
        <f>Berekening!V8</f>
        <v>20</v>
      </c>
      <c r="AF8" s="161">
        <f>Berekening!W8</f>
        <v>20</v>
      </c>
      <c r="AG8" s="161">
        <f>Berekening!X8</f>
        <v>20</v>
      </c>
      <c r="AH8" s="161">
        <f>Berekening!Y8</f>
        <v>20</v>
      </c>
      <c r="AI8" s="161">
        <f>Berekening!Z8</f>
        <v>20</v>
      </c>
      <c r="AJ8" s="161">
        <f>Berekening!AA8</f>
        <v>20</v>
      </c>
      <c r="AK8" s="161">
        <f>Berekening!AB8</f>
        <v>20</v>
      </c>
      <c r="AL8" s="161">
        <f>Berekening!AC8</f>
        <v>20</v>
      </c>
      <c r="AM8" s="161">
        <f>Berekening!AD8</f>
        <v>20</v>
      </c>
      <c r="AN8" s="161">
        <f>Berekening!AE8</f>
        <v>20</v>
      </c>
      <c r="AO8" s="161">
        <f>Berekening!AF8</f>
        <v>20</v>
      </c>
      <c r="AP8" s="161">
        <f>Berekening!AG8</f>
        <v>20</v>
      </c>
      <c r="AQ8" s="161">
        <f>Berekening!AH8</f>
        <v>20</v>
      </c>
      <c r="AR8" s="161">
        <f>Berekening!AI8</f>
        <v>20</v>
      </c>
      <c r="AS8" s="161">
        <f>Berekening!AJ8</f>
        <v>20</v>
      </c>
      <c r="AT8" s="161">
        <f>Berekening!AK8</f>
        <v>20</v>
      </c>
      <c r="AU8" s="161">
        <f>Berekening!AL8</f>
        <v>20</v>
      </c>
      <c r="AV8" s="161">
        <f>Berekening!AM8</f>
        <v>20</v>
      </c>
      <c r="AW8" s="161">
        <f>Berekening!AN8</f>
        <v>20</v>
      </c>
      <c r="AX8" s="161">
        <f>Berekening!AO8</f>
        <v>20</v>
      </c>
      <c r="AY8" s="161">
        <f>Berekening!AP8</f>
        <v>20</v>
      </c>
      <c r="AZ8" s="161">
        <f>Berekening!AQ8</f>
        <v>20</v>
      </c>
      <c r="BA8" s="161">
        <f>Berekening!AR8</f>
        <v>20</v>
      </c>
      <c r="BB8" s="161">
        <f>Berekening!AS8</f>
        <v>20</v>
      </c>
      <c r="BC8" s="161">
        <f>Berekening!AT8</f>
        <v>20</v>
      </c>
    </row>
    <row r="9" spans="2:55">
      <c r="B9" s="173">
        <v>7</v>
      </c>
      <c r="C9" s="174"/>
      <c r="D9" s="175"/>
      <c r="E9" s="175"/>
      <c r="F9" s="175"/>
      <c r="G9" s="175"/>
      <c r="H9" s="175"/>
      <c r="I9" s="175"/>
      <c r="J9" s="176"/>
      <c r="K9" s="177"/>
      <c r="M9" s="161" t="s">
        <v>2976</v>
      </c>
      <c r="N9" s="161">
        <f>Berekening!E9</f>
        <v>12</v>
      </c>
      <c r="O9" s="161">
        <f>Berekening!F9</f>
        <v>7</v>
      </c>
      <c r="P9" s="161">
        <f>Berekening!G9</f>
        <v>15</v>
      </c>
      <c r="Q9" s="161">
        <f>Berekening!H9</f>
        <v>15</v>
      </c>
      <c r="R9" s="161">
        <f>Berekening!I9</f>
        <v>7</v>
      </c>
      <c r="S9" s="161">
        <f>Berekening!J9</f>
        <v>8</v>
      </c>
      <c r="T9" s="161">
        <f>Berekening!K9</f>
        <v>11</v>
      </c>
      <c r="U9" s="161">
        <f>Berekening!L9</f>
        <v>11</v>
      </c>
      <c r="V9" s="161">
        <f>Berekening!M9</f>
        <v>14</v>
      </c>
      <c r="W9" s="161">
        <f>Berekening!N9</f>
        <v>8</v>
      </c>
      <c r="X9" s="161">
        <f>Berekening!O9</f>
        <v>15</v>
      </c>
      <c r="Y9" s="161">
        <f>Berekening!P9</f>
        <v>12</v>
      </c>
      <c r="Z9" s="161">
        <f>Berekening!Q9</f>
        <v>9</v>
      </c>
      <c r="AA9" s="161">
        <f>Berekening!R9</f>
        <v>15</v>
      </c>
      <c r="AB9" s="161">
        <f>Berekening!S9</f>
        <v>12</v>
      </c>
      <c r="AC9" s="161">
        <f>Berekening!T9</f>
        <v>11</v>
      </c>
      <c r="AD9" s="161">
        <f>Berekening!U9</f>
        <v>20</v>
      </c>
      <c r="AE9" s="161">
        <f>Berekening!V9</f>
        <v>20</v>
      </c>
      <c r="AF9" s="161">
        <f>Berekening!W9</f>
        <v>20</v>
      </c>
      <c r="AG9" s="161">
        <f>Berekening!X9</f>
        <v>20</v>
      </c>
      <c r="AH9" s="161">
        <f>Berekening!Y9</f>
        <v>20</v>
      </c>
      <c r="AI9" s="161">
        <f>Berekening!Z9</f>
        <v>20</v>
      </c>
      <c r="AJ9" s="161">
        <f>Berekening!AA9</f>
        <v>20</v>
      </c>
      <c r="AK9" s="161">
        <f>Berekening!AB9</f>
        <v>20</v>
      </c>
      <c r="AL9" s="161">
        <f>Berekening!AC9</f>
        <v>20</v>
      </c>
      <c r="AM9" s="161">
        <f>Berekening!AD9</f>
        <v>20</v>
      </c>
      <c r="AN9" s="161">
        <f>Berekening!AE9</f>
        <v>20</v>
      </c>
      <c r="AO9" s="161">
        <f>Berekening!AF9</f>
        <v>20</v>
      </c>
      <c r="AP9" s="161">
        <f>Berekening!AG9</f>
        <v>20</v>
      </c>
      <c r="AQ9" s="161">
        <f>Berekening!AH9</f>
        <v>20</v>
      </c>
      <c r="AR9" s="161">
        <f>Berekening!AI9</f>
        <v>20</v>
      </c>
      <c r="AS9" s="161">
        <f>Berekening!AJ9</f>
        <v>20</v>
      </c>
      <c r="AT9" s="161">
        <f>Berekening!AK9</f>
        <v>20</v>
      </c>
      <c r="AU9" s="161">
        <f>Berekening!AL9</f>
        <v>20</v>
      </c>
      <c r="AV9" s="161">
        <f>Berekening!AM9</f>
        <v>20</v>
      </c>
      <c r="AW9" s="161">
        <f>Berekening!AN9</f>
        <v>20</v>
      </c>
      <c r="AX9" s="161">
        <f>Berekening!AO9</f>
        <v>20</v>
      </c>
      <c r="AY9" s="161">
        <f>Berekening!AP9</f>
        <v>20</v>
      </c>
      <c r="AZ9" s="161">
        <f>Berekening!AQ9</f>
        <v>20</v>
      </c>
      <c r="BA9" s="161">
        <f>Berekening!AR9</f>
        <v>20</v>
      </c>
      <c r="BB9" s="161">
        <f>Berekening!AS9</f>
        <v>20</v>
      </c>
      <c r="BC9" s="161">
        <f>Berekening!AT9</f>
        <v>20</v>
      </c>
    </row>
    <row r="10" spans="2:55">
      <c r="B10" s="173">
        <v>8</v>
      </c>
      <c r="C10" s="174"/>
      <c r="D10" s="175"/>
      <c r="E10" s="175"/>
      <c r="F10" s="175"/>
      <c r="G10" s="175"/>
      <c r="H10" s="175"/>
      <c r="I10" s="175"/>
      <c r="J10" s="176"/>
      <c r="K10" s="177"/>
      <c r="M10" s="161" t="s">
        <v>2978</v>
      </c>
      <c r="N10" s="161" t="str">
        <f>Berekening!E10</f>
        <v>4-0</v>
      </c>
      <c r="O10" s="161" t="str">
        <f>Berekening!F10</f>
        <v>2-0</v>
      </c>
      <c r="P10" s="161" t="str">
        <f>Berekening!G10</f>
        <v>4-0</v>
      </c>
      <c r="Q10" s="161" t="str">
        <f>Berekening!H10</f>
        <v>4-0</v>
      </c>
      <c r="R10" s="161" t="str">
        <f>Berekening!I10</f>
        <v>2-0</v>
      </c>
      <c r="S10" s="161" t="str">
        <f>Berekening!J10</f>
        <v>2-0</v>
      </c>
      <c r="T10" s="161" t="str">
        <f>Berekening!K10</f>
        <v>3-0</v>
      </c>
      <c r="U10" s="161" t="str">
        <f>Berekening!L10</f>
        <v>3-0</v>
      </c>
      <c r="V10" s="161" t="str">
        <f>Berekening!M10</f>
        <v>4-0</v>
      </c>
      <c r="W10" s="161" t="str">
        <f>Berekening!N10</f>
        <v>2-0</v>
      </c>
      <c r="X10" s="161" t="str">
        <f>Berekening!O10</f>
        <v>4-0</v>
      </c>
      <c r="Y10" s="161" t="str">
        <f>Berekening!P10</f>
        <v>4-0</v>
      </c>
      <c r="Z10" s="161" t="str">
        <f>Berekening!Q10</f>
        <v>3-0</v>
      </c>
      <c r="AA10" s="161" t="str">
        <f>Berekening!R10</f>
        <v>4-0</v>
      </c>
      <c r="AB10" s="161" t="str">
        <f>Berekening!S10</f>
        <v>3-1</v>
      </c>
      <c r="AC10" s="161" t="str">
        <f>Berekening!T10</f>
        <v>3-0</v>
      </c>
      <c r="AD10" s="161" t="str">
        <f>Berekening!U10</f>
        <v>0-0</v>
      </c>
      <c r="AE10" s="161" t="str">
        <f>Berekening!V10</f>
        <v>0-0</v>
      </c>
      <c r="AF10" s="161" t="str">
        <f>Berekening!W10</f>
        <v>0-0</v>
      </c>
      <c r="AG10" s="161" t="str">
        <f>Berekening!X10</f>
        <v>0-0</v>
      </c>
      <c r="AH10" s="161" t="str">
        <f>Berekening!Y10</f>
        <v>0-0</v>
      </c>
      <c r="AI10" s="161" t="str">
        <f>Berekening!Z10</f>
        <v>0-0</v>
      </c>
      <c r="AJ10" s="161" t="str">
        <f>Berekening!AA10</f>
        <v>0-0</v>
      </c>
      <c r="AK10" s="161" t="str">
        <f>Berekening!AB10</f>
        <v>0-0</v>
      </c>
      <c r="AL10" s="161" t="str">
        <f>Berekening!AC10</f>
        <v>0-0</v>
      </c>
      <c r="AM10" s="161" t="str">
        <f>Berekening!AD10</f>
        <v>0-0</v>
      </c>
      <c r="AN10" s="161" t="str">
        <f>Berekening!AE10</f>
        <v>0-0</v>
      </c>
      <c r="AO10" s="161" t="str">
        <f>Berekening!AF10</f>
        <v>0-0</v>
      </c>
      <c r="AP10" s="161" t="str">
        <f>Berekening!AG10</f>
        <v>0-0</v>
      </c>
      <c r="AQ10" s="161" t="str">
        <f>Berekening!AH10</f>
        <v>0-0</v>
      </c>
      <c r="AR10" s="161" t="str">
        <f>Berekening!AI10</f>
        <v>0-0</v>
      </c>
      <c r="AS10" s="161" t="str">
        <f>Berekening!AJ10</f>
        <v>0-0</v>
      </c>
      <c r="AT10" s="161" t="str">
        <f>Berekening!AK10</f>
        <v>0-0</v>
      </c>
      <c r="AU10" s="161" t="str">
        <f>Berekening!AL10</f>
        <v>0-0</v>
      </c>
      <c r="AV10" s="161" t="str">
        <f>Berekening!AM10</f>
        <v>0-0</v>
      </c>
      <c r="AW10" s="161" t="str">
        <f>Berekening!AN10</f>
        <v>0-0</v>
      </c>
      <c r="AX10" s="161" t="str">
        <f>Berekening!AO10</f>
        <v>0-0</v>
      </c>
      <c r="AY10" s="161" t="str">
        <f>Berekening!AP10</f>
        <v>0-0</v>
      </c>
      <c r="AZ10" s="161" t="str">
        <f>Berekening!AQ10</f>
        <v>0-0</v>
      </c>
      <c r="BA10" s="161" t="str">
        <f>Berekening!AR10</f>
        <v>0-0</v>
      </c>
      <c r="BB10" s="161" t="str">
        <f>Berekening!AS10</f>
        <v>0-0</v>
      </c>
      <c r="BC10" s="161" t="str">
        <f>Berekening!AT10</f>
        <v>0-0</v>
      </c>
    </row>
    <row r="11" spans="2:55">
      <c r="B11" s="173">
        <v>9</v>
      </c>
      <c r="C11" s="174"/>
      <c r="D11" s="175"/>
      <c r="E11" s="175"/>
      <c r="F11" s="175"/>
      <c r="G11" s="175"/>
      <c r="H11" s="175"/>
      <c r="I11" s="175"/>
      <c r="J11" s="176"/>
      <c r="K11" s="177"/>
    </row>
    <row r="12" spans="2:55">
      <c r="B12" s="173">
        <v>10</v>
      </c>
      <c r="C12" s="174"/>
      <c r="D12" s="175"/>
      <c r="E12" s="175"/>
      <c r="F12" s="175"/>
      <c r="G12" s="175"/>
      <c r="H12" s="175"/>
      <c r="I12" s="175"/>
      <c r="J12" s="176"/>
      <c r="K12" s="177"/>
    </row>
    <row r="13" spans="2:55">
      <c r="B13" s="173">
        <v>11</v>
      </c>
      <c r="C13" s="174"/>
      <c r="D13" s="175"/>
      <c r="E13" s="175"/>
      <c r="F13" s="175"/>
      <c r="G13" s="175"/>
      <c r="H13" s="175"/>
      <c r="I13" s="175"/>
      <c r="J13" s="176"/>
      <c r="K13" s="177"/>
    </row>
    <row r="14" spans="2:55">
      <c r="B14" s="173">
        <v>12</v>
      </c>
      <c r="C14" s="174"/>
      <c r="D14" s="175"/>
      <c r="E14" s="175"/>
      <c r="F14" s="175"/>
      <c r="G14" s="175"/>
      <c r="H14" s="175"/>
      <c r="I14" s="175"/>
      <c r="J14" s="176"/>
      <c r="K14" s="177"/>
      <c r="M14" s="161" t="str">
        <f t="array" ref="M14:U56">TRANSPOSE(M2:BC10)</f>
        <v>Naam</v>
      </c>
      <c r="N14" s="161" t="str">
        <v>Poulefase</v>
      </c>
      <c r="O14" s="161" t="str">
        <v>8e</v>
      </c>
      <c r="P14" s="161" t="str">
        <v>kwart</v>
      </c>
      <c r="Q14" s="161" t="str">
        <v>halve</v>
      </c>
      <c r="R14" s="161" t="str">
        <v>finale</v>
      </c>
      <c r="S14" s="161" t="str">
        <v>kampioen</v>
      </c>
      <c r="T14" s="161" t="str">
        <v>TOTAAL</v>
      </c>
      <c r="U14" s="161" t="str">
        <v>wedstrijden</v>
      </c>
    </row>
    <row r="15" spans="2:55">
      <c r="B15" s="173">
        <v>13</v>
      </c>
      <c r="C15" s="174"/>
      <c r="D15" s="175"/>
      <c r="E15" s="175"/>
      <c r="F15" s="175"/>
      <c r="G15" s="175"/>
      <c r="H15" s="175"/>
      <c r="I15" s="175"/>
      <c r="J15" s="176"/>
      <c r="K15" s="177"/>
      <c r="M15" s="161" t="str">
        <v>Sam</v>
      </c>
      <c r="N15" s="161">
        <v>12</v>
      </c>
      <c r="O15" s="161">
        <v>0</v>
      </c>
      <c r="P15" s="161">
        <v>0</v>
      </c>
      <c r="Q15" s="161">
        <v>0</v>
      </c>
      <c r="R15" s="161">
        <v>0</v>
      </c>
      <c r="S15" s="161">
        <v>0</v>
      </c>
      <c r="T15" s="161">
        <v>12</v>
      </c>
      <c r="U15" s="161" t="str">
        <v>4-0</v>
      </c>
    </row>
    <row r="16" spans="2:55">
      <c r="B16" s="173">
        <v>14</v>
      </c>
      <c r="C16" s="174"/>
      <c r="D16" s="175"/>
      <c r="E16" s="175"/>
      <c r="F16" s="175"/>
      <c r="G16" s="175"/>
      <c r="H16" s="175"/>
      <c r="I16" s="175"/>
      <c r="J16" s="176"/>
      <c r="K16" s="177"/>
      <c r="M16" s="161" t="str">
        <v>Matthias</v>
      </c>
      <c r="N16" s="161">
        <v>7</v>
      </c>
      <c r="O16" s="161">
        <v>0</v>
      </c>
      <c r="P16" s="161">
        <v>0</v>
      </c>
      <c r="Q16" s="161">
        <v>0</v>
      </c>
      <c r="R16" s="161">
        <v>0</v>
      </c>
      <c r="S16" s="161">
        <v>0</v>
      </c>
      <c r="T16" s="161">
        <v>7</v>
      </c>
      <c r="U16" s="161" t="str">
        <v>2-0</v>
      </c>
    </row>
    <row r="17" spans="2:21">
      <c r="B17" s="173">
        <v>15</v>
      </c>
      <c r="C17" s="174"/>
      <c r="D17" s="175"/>
      <c r="E17" s="175"/>
      <c r="F17" s="175"/>
      <c r="G17" s="175"/>
      <c r="H17" s="175"/>
      <c r="I17" s="175"/>
      <c r="J17" s="176"/>
      <c r="K17" s="177"/>
      <c r="M17" s="161" t="str">
        <v>Billy</v>
      </c>
      <c r="N17" s="161">
        <v>15</v>
      </c>
      <c r="O17" s="161">
        <v>0</v>
      </c>
      <c r="P17" s="161">
        <v>0</v>
      </c>
      <c r="Q17" s="161">
        <v>0</v>
      </c>
      <c r="R17" s="161">
        <v>0</v>
      </c>
      <c r="S17" s="161">
        <v>0</v>
      </c>
      <c r="T17" s="161">
        <v>15</v>
      </c>
      <c r="U17" s="161" t="str">
        <v>4-0</v>
      </c>
    </row>
    <row r="18" spans="2:21">
      <c r="B18" s="173">
        <v>16</v>
      </c>
      <c r="C18" s="174"/>
      <c r="D18" s="175"/>
      <c r="E18" s="175"/>
      <c r="F18" s="175"/>
      <c r="G18" s="175"/>
      <c r="H18" s="175"/>
      <c r="I18" s="175"/>
      <c r="J18" s="176"/>
      <c r="K18" s="177"/>
      <c r="M18" s="161" t="str">
        <v>Timon</v>
      </c>
      <c r="N18" s="161">
        <v>15</v>
      </c>
      <c r="O18" s="161">
        <v>0</v>
      </c>
      <c r="P18" s="161">
        <v>0</v>
      </c>
      <c r="Q18" s="161">
        <v>0</v>
      </c>
      <c r="R18" s="161">
        <v>0</v>
      </c>
      <c r="S18" s="161">
        <v>0</v>
      </c>
      <c r="T18" s="161">
        <v>15</v>
      </c>
      <c r="U18" s="161" t="str">
        <v>4-0</v>
      </c>
    </row>
    <row r="19" spans="2:21">
      <c r="B19" s="173">
        <v>17</v>
      </c>
      <c r="C19" s="174"/>
      <c r="D19" s="175"/>
      <c r="E19" s="175"/>
      <c r="F19" s="175"/>
      <c r="G19" s="175"/>
      <c r="H19" s="175"/>
      <c r="I19" s="175"/>
      <c r="J19" s="176"/>
      <c r="K19" s="177"/>
      <c r="M19" s="161" t="str">
        <v>Bavo</v>
      </c>
      <c r="N19" s="161">
        <v>7</v>
      </c>
      <c r="O19" s="161">
        <v>0</v>
      </c>
      <c r="P19" s="161">
        <v>0</v>
      </c>
      <c r="Q19" s="161">
        <v>0</v>
      </c>
      <c r="R19" s="161">
        <v>0</v>
      </c>
      <c r="S19" s="161">
        <v>0</v>
      </c>
      <c r="T19" s="161">
        <v>7</v>
      </c>
      <c r="U19" s="161" t="str">
        <v>2-0</v>
      </c>
    </row>
    <row r="20" spans="2:21">
      <c r="B20" s="173">
        <v>18</v>
      </c>
      <c r="C20" s="174"/>
      <c r="D20" s="175"/>
      <c r="E20" s="175"/>
      <c r="F20" s="175"/>
      <c r="G20" s="175"/>
      <c r="H20" s="175"/>
      <c r="I20" s="175"/>
      <c r="J20" s="176"/>
      <c r="K20" s="177"/>
      <c r="M20" s="161" t="str">
        <v>Lowie</v>
      </c>
      <c r="N20" s="161">
        <v>8</v>
      </c>
      <c r="O20" s="161">
        <v>0</v>
      </c>
      <c r="P20" s="161">
        <v>0</v>
      </c>
      <c r="Q20" s="161">
        <v>0</v>
      </c>
      <c r="R20" s="161">
        <v>0</v>
      </c>
      <c r="S20" s="161">
        <v>0</v>
      </c>
      <c r="T20" s="161">
        <v>8</v>
      </c>
      <c r="U20" s="161" t="str">
        <v>2-0</v>
      </c>
    </row>
    <row r="21" spans="2:21">
      <c r="B21" s="173">
        <v>19</v>
      </c>
      <c r="C21" s="174"/>
      <c r="D21" s="175"/>
      <c r="E21" s="175"/>
      <c r="F21" s="175"/>
      <c r="G21" s="175"/>
      <c r="H21" s="175"/>
      <c r="I21" s="175"/>
      <c r="J21" s="176"/>
      <c r="K21" s="177"/>
      <c r="M21" s="161" t="str">
        <v>Stijn</v>
      </c>
      <c r="N21" s="161">
        <v>11</v>
      </c>
      <c r="O21" s="161">
        <v>0</v>
      </c>
      <c r="P21" s="161">
        <v>0</v>
      </c>
      <c r="Q21" s="161">
        <v>0</v>
      </c>
      <c r="R21" s="161">
        <v>0</v>
      </c>
      <c r="S21" s="161">
        <v>0</v>
      </c>
      <c r="T21" s="161">
        <v>11</v>
      </c>
      <c r="U21" s="161" t="str">
        <v>3-0</v>
      </c>
    </row>
    <row r="22" spans="2:21">
      <c r="B22" s="173">
        <v>20</v>
      </c>
      <c r="C22" s="174"/>
      <c r="D22" s="175"/>
      <c r="E22" s="175"/>
      <c r="F22" s="175"/>
      <c r="G22" s="175"/>
      <c r="H22" s="175"/>
      <c r="I22" s="175"/>
      <c r="J22" s="176"/>
      <c r="K22" s="177"/>
      <c r="M22" s="161" t="str">
        <v>Tom</v>
      </c>
      <c r="N22" s="161">
        <v>11</v>
      </c>
      <c r="O22" s="161">
        <v>0</v>
      </c>
      <c r="P22" s="161">
        <v>0</v>
      </c>
      <c r="Q22" s="161">
        <v>0</v>
      </c>
      <c r="R22" s="161">
        <v>0</v>
      </c>
      <c r="S22" s="161">
        <v>0</v>
      </c>
      <c r="T22" s="161">
        <v>11</v>
      </c>
      <c r="U22" s="161" t="str">
        <v>3-0</v>
      </c>
    </row>
    <row r="23" spans="2:21">
      <c r="B23" s="173">
        <v>21</v>
      </c>
      <c r="C23" s="174"/>
      <c r="D23" s="175"/>
      <c r="E23" s="175"/>
      <c r="F23" s="175"/>
      <c r="G23" s="175"/>
      <c r="H23" s="175"/>
      <c r="I23" s="175"/>
      <c r="J23" s="176"/>
      <c r="K23" s="177"/>
      <c r="M23" s="161" t="str">
        <v>Cas</v>
      </c>
      <c r="N23" s="161">
        <v>14</v>
      </c>
      <c r="O23" s="161">
        <v>0</v>
      </c>
      <c r="P23" s="161">
        <v>0</v>
      </c>
      <c r="Q23" s="161">
        <v>0</v>
      </c>
      <c r="R23" s="161">
        <v>0</v>
      </c>
      <c r="S23" s="161">
        <v>0</v>
      </c>
      <c r="T23" s="161">
        <v>14</v>
      </c>
      <c r="U23" s="161" t="str">
        <v>4-0</v>
      </c>
    </row>
    <row r="24" spans="2:21">
      <c r="B24" s="173">
        <v>22</v>
      </c>
      <c r="C24" s="174"/>
      <c r="D24" s="175"/>
      <c r="E24" s="175"/>
      <c r="F24" s="175"/>
      <c r="G24" s="175"/>
      <c r="H24" s="175"/>
      <c r="I24" s="175"/>
      <c r="J24" s="176"/>
      <c r="K24" s="177"/>
      <c r="M24" s="161" t="str">
        <v>Dean</v>
      </c>
      <c r="N24" s="161">
        <v>8</v>
      </c>
      <c r="O24" s="161">
        <v>0</v>
      </c>
      <c r="P24" s="161">
        <v>0</v>
      </c>
      <c r="Q24" s="161">
        <v>0</v>
      </c>
      <c r="R24" s="161">
        <v>0</v>
      </c>
      <c r="S24" s="161">
        <v>0</v>
      </c>
      <c r="T24" s="161">
        <v>8</v>
      </c>
      <c r="U24" s="161" t="str">
        <v>2-0</v>
      </c>
    </row>
    <row r="25" spans="2:21">
      <c r="B25" s="173">
        <v>23</v>
      </c>
      <c r="C25" s="174"/>
      <c r="D25" s="175"/>
      <c r="E25" s="175"/>
      <c r="F25" s="175"/>
      <c r="G25" s="175"/>
      <c r="H25" s="175"/>
      <c r="I25" s="175"/>
      <c r="J25" s="176"/>
      <c r="K25" s="177"/>
      <c r="M25" s="161" t="str">
        <v>Jannes</v>
      </c>
      <c r="N25" s="161">
        <v>15</v>
      </c>
      <c r="O25" s="161">
        <v>0</v>
      </c>
      <c r="P25" s="161">
        <v>0</v>
      </c>
      <c r="Q25" s="161">
        <v>0</v>
      </c>
      <c r="R25" s="161">
        <v>0</v>
      </c>
      <c r="S25" s="161">
        <v>0</v>
      </c>
      <c r="T25" s="161">
        <v>15</v>
      </c>
      <c r="U25" s="161" t="str">
        <v>4-0</v>
      </c>
    </row>
    <row r="26" spans="2:21">
      <c r="B26" s="173">
        <v>24</v>
      </c>
      <c r="C26" s="174"/>
      <c r="D26" s="175"/>
      <c r="E26" s="175"/>
      <c r="F26" s="175"/>
      <c r="G26" s="175"/>
      <c r="H26" s="175"/>
      <c r="I26" s="175"/>
      <c r="J26" s="176"/>
      <c r="K26" s="177"/>
      <c r="M26" s="161" t="str">
        <v>Jens</v>
      </c>
      <c r="N26" s="161">
        <v>12</v>
      </c>
      <c r="O26" s="161">
        <v>0</v>
      </c>
      <c r="P26" s="161">
        <v>0</v>
      </c>
      <c r="Q26" s="161">
        <v>0</v>
      </c>
      <c r="R26" s="161">
        <v>0</v>
      </c>
      <c r="S26" s="161">
        <v>0</v>
      </c>
      <c r="T26" s="161">
        <v>12</v>
      </c>
      <c r="U26" s="161" t="str">
        <v>4-0</v>
      </c>
    </row>
    <row r="27" spans="2:21">
      <c r="B27" s="173">
        <v>25</v>
      </c>
      <c r="C27" s="174"/>
      <c r="D27" s="175"/>
      <c r="E27" s="175"/>
      <c r="F27" s="175"/>
      <c r="G27" s="175"/>
      <c r="H27" s="175"/>
      <c r="I27" s="175"/>
      <c r="J27" s="176"/>
      <c r="K27" s="177"/>
      <c r="M27" s="161" t="str">
        <v>Louis</v>
      </c>
      <c r="N27" s="161">
        <v>9</v>
      </c>
      <c r="O27" s="161">
        <v>0</v>
      </c>
      <c r="P27" s="161">
        <v>0</v>
      </c>
      <c r="Q27" s="161">
        <v>0</v>
      </c>
      <c r="R27" s="161">
        <v>0</v>
      </c>
      <c r="S27" s="161">
        <v>0</v>
      </c>
      <c r="T27" s="161">
        <v>9</v>
      </c>
      <c r="U27" s="161" t="str">
        <v>3-0</v>
      </c>
    </row>
    <row r="28" spans="2:21">
      <c r="B28" s="173">
        <v>26</v>
      </c>
      <c r="C28" s="174"/>
      <c r="D28" s="175"/>
      <c r="E28" s="175"/>
      <c r="F28" s="175"/>
      <c r="G28" s="175"/>
      <c r="H28" s="175"/>
      <c r="I28" s="175"/>
      <c r="J28" s="176"/>
      <c r="K28" s="177"/>
      <c r="M28" s="161" t="str">
        <v>Ruben</v>
      </c>
      <c r="N28" s="161">
        <v>15</v>
      </c>
      <c r="O28" s="161">
        <v>0</v>
      </c>
      <c r="P28" s="161">
        <v>0</v>
      </c>
      <c r="Q28" s="161">
        <v>0</v>
      </c>
      <c r="R28" s="161">
        <v>0</v>
      </c>
      <c r="S28" s="161">
        <v>0</v>
      </c>
      <c r="T28" s="161">
        <v>15</v>
      </c>
      <c r="U28" s="161" t="str">
        <v>4-0</v>
      </c>
    </row>
    <row r="29" spans="2:21">
      <c r="B29" s="173">
        <v>27</v>
      </c>
      <c r="C29" s="174"/>
      <c r="D29" s="175"/>
      <c r="E29" s="175"/>
      <c r="F29" s="175"/>
      <c r="G29" s="175"/>
      <c r="H29" s="175"/>
      <c r="I29" s="175"/>
      <c r="J29" s="176"/>
      <c r="K29" s="177"/>
      <c r="M29" s="161" t="str">
        <v>Karl</v>
      </c>
      <c r="N29" s="161">
        <v>12</v>
      </c>
      <c r="O29" s="161">
        <v>0</v>
      </c>
      <c r="P29" s="161">
        <v>0</v>
      </c>
      <c r="Q29" s="161">
        <v>0</v>
      </c>
      <c r="R29" s="161">
        <v>0</v>
      </c>
      <c r="S29" s="161">
        <v>0</v>
      </c>
      <c r="T29" s="161">
        <v>12</v>
      </c>
      <c r="U29" s="161" t="str">
        <v>3-1</v>
      </c>
    </row>
    <row r="30" spans="2:21">
      <c r="B30" s="173">
        <v>28</v>
      </c>
      <c r="C30" s="174"/>
      <c r="D30" s="175"/>
      <c r="E30" s="175"/>
      <c r="F30" s="175"/>
      <c r="G30" s="175"/>
      <c r="H30" s="175"/>
      <c r="I30" s="175"/>
      <c r="J30" s="176"/>
      <c r="K30" s="177"/>
      <c r="M30" s="161" t="str">
        <v>Seppe</v>
      </c>
      <c r="N30" s="161">
        <v>11</v>
      </c>
      <c r="O30" s="161">
        <v>0</v>
      </c>
      <c r="P30" s="161">
        <v>0</v>
      </c>
      <c r="Q30" s="161">
        <v>0</v>
      </c>
      <c r="R30" s="161">
        <v>0</v>
      </c>
      <c r="S30" s="161">
        <v>0</v>
      </c>
      <c r="T30" s="161">
        <v>11</v>
      </c>
      <c r="U30" s="161" t="str">
        <v>3-0</v>
      </c>
    </row>
    <row r="31" spans="2:21">
      <c r="B31" s="173">
        <v>29</v>
      </c>
      <c r="C31" s="174"/>
      <c r="D31" s="175"/>
      <c r="E31" s="175"/>
      <c r="F31" s="175"/>
      <c r="G31" s="175"/>
      <c r="H31" s="175"/>
      <c r="I31" s="175"/>
      <c r="J31" s="176"/>
      <c r="K31" s="177"/>
      <c r="M31" s="161" t="str">
        <v>deelnemer 17</v>
      </c>
      <c r="N31" s="161">
        <v>0</v>
      </c>
      <c r="O31" s="161">
        <v>0</v>
      </c>
      <c r="P31" s="161">
        <v>0</v>
      </c>
      <c r="Q31" s="161">
        <v>0</v>
      </c>
      <c r="R31" s="161">
        <v>0</v>
      </c>
      <c r="S31" s="161">
        <v>20</v>
      </c>
      <c r="T31" s="161">
        <v>20</v>
      </c>
      <c r="U31" s="161" t="str">
        <v>0-0</v>
      </c>
    </row>
    <row r="32" spans="2:21">
      <c r="B32" s="173">
        <v>30</v>
      </c>
      <c r="C32" s="174"/>
      <c r="D32" s="175"/>
      <c r="E32" s="175"/>
      <c r="F32" s="175"/>
      <c r="G32" s="175"/>
      <c r="H32" s="175"/>
      <c r="I32" s="175"/>
      <c r="J32" s="176"/>
      <c r="K32" s="177"/>
      <c r="M32" s="161" t="str">
        <v>deelnemer 18</v>
      </c>
      <c r="N32" s="161">
        <v>0</v>
      </c>
      <c r="O32" s="161">
        <v>0</v>
      </c>
      <c r="P32" s="161">
        <v>0</v>
      </c>
      <c r="Q32" s="161">
        <v>0</v>
      </c>
      <c r="R32" s="161">
        <v>0</v>
      </c>
      <c r="S32" s="161">
        <v>20</v>
      </c>
      <c r="T32" s="161">
        <v>20</v>
      </c>
      <c r="U32" s="161" t="str">
        <v>0-0</v>
      </c>
    </row>
    <row r="33" spans="2:21">
      <c r="B33" s="173">
        <v>31</v>
      </c>
      <c r="C33" s="174"/>
      <c r="D33" s="175"/>
      <c r="E33" s="175"/>
      <c r="F33" s="175"/>
      <c r="G33" s="175"/>
      <c r="H33" s="175"/>
      <c r="I33" s="175"/>
      <c r="J33" s="176"/>
      <c r="K33" s="177"/>
      <c r="M33" s="161" t="str">
        <v>deelnemer 19</v>
      </c>
      <c r="N33" s="161">
        <v>0</v>
      </c>
      <c r="O33" s="161">
        <v>0</v>
      </c>
      <c r="P33" s="161">
        <v>0</v>
      </c>
      <c r="Q33" s="161">
        <v>0</v>
      </c>
      <c r="R33" s="161">
        <v>0</v>
      </c>
      <c r="S33" s="161">
        <v>20</v>
      </c>
      <c r="T33" s="161">
        <v>20</v>
      </c>
      <c r="U33" s="161" t="str">
        <v>0-0</v>
      </c>
    </row>
    <row r="34" spans="2:21">
      <c r="B34" s="173">
        <v>32</v>
      </c>
      <c r="C34" s="174"/>
      <c r="D34" s="175"/>
      <c r="E34" s="175"/>
      <c r="F34" s="175"/>
      <c r="G34" s="175"/>
      <c r="H34" s="175"/>
      <c r="I34" s="175"/>
      <c r="J34" s="176"/>
      <c r="K34" s="177"/>
      <c r="M34" s="161" t="str">
        <v>deelnemer 20</v>
      </c>
      <c r="N34" s="161">
        <v>0</v>
      </c>
      <c r="O34" s="161">
        <v>0</v>
      </c>
      <c r="P34" s="161">
        <v>0</v>
      </c>
      <c r="Q34" s="161">
        <v>0</v>
      </c>
      <c r="R34" s="161">
        <v>0</v>
      </c>
      <c r="S34" s="161">
        <v>20</v>
      </c>
      <c r="T34" s="161">
        <v>20</v>
      </c>
      <c r="U34" s="161" t="str">
        <v>0-0</v>
      </c>
    </row>
    <row r="35" spans="2:21">
      <c r="B35" s="173">
        <v>33</v>
      </c>
      <c r="C35" s="174"/>
      <c r="D35" s="175"/>
      <c r="E35" s="175"/>
      <c r="F35" s="175"/>
      <c r="G35" s="175"/>
      <c r="H35" s="175"/>
      <c r="I35" s="175"/>
      <c r="J35" s="176"/>
      <c r="K35" s="177"/>
      <c r="M35" s="161" t="str">
        <v>deelnemer 21</v>
      </c>
      <c r="N35" s="161">
        <v>0</v>
      </c>
      <c r="O35" s="161">
        <v>0</v>
      </c>
      <c r="P35" s="161">
        <v>0</v>
      </c>
      <c r="Q35" s="161">
        <v>0</v>
      </c>
      <c r="R35" s="161">
        <v>0</v>
      </c>
      <c r="S35" s="161">
        <v>20</v>
      </c>
      <c r="T35" s="161">
        <v>20</v>
      </c>
      <c r="U35" s="161" t="str">
        <v>0-0</v>
      </c>
    </row>
    <row r="36" spans="2:21">
      <c r="B36" s="173">
        <v>34</v>
      </c>
      <c r="C36" s="174"/>
      <c r="D36" s="175"/>
      <c r="E36" s="175"/>
      <c r="F36" s="175"/>
      <c r="G36" s="175"/>
      <c r="H36" s="175"/>
      <c r="I36" s="175"/>
      <c r="J36" s="176"/>
      <c r="K36" s="177"/>
      <c r="M36" s="161" t="str">
        <v>deelnemer 22</v>
      </c>
      <c r="N36" s="161">
        <v>0</v>
      </c>
      <c r="O36" s="161">
        <v>0</v>
      </c>
      <c r="P36" s="161">
        <v>0</v>
      </c>
      <c r="Q36" s="161">
        <v>0</v>
      </c>
      <c r="R36" s="161">
        <v>0</v>
      </c>
      <c r="S36" s="161">
        <v>20</v>
      </c>
      <c r="T36" s="161">
        <v>20</v>
      </c>
      <c r="U36" s="161" t="str">
        <v>0-0</v>
      </c>
    </row>
    <row r="37" spans="2:21">
      <c r="B37" s="173">
        <v>35</v>
      </c>
      <c r="C37" s="174"/>
      <c r="D37" s="175"/>
      <c r="E37" s="175"/>
      <c r="F37" s="175"/>
      <c r="G37" s="175"/>
      <c r="H37" s="175"/>
      <c r="I37" s="175"/>
      <c r="J37" s="176"/>
      <c r="K37" s="177"/>
      <c r="M37" s="161" t="str">
        <v>deelnemer 23</v>
      </c>
      <c r="N37" s="161">
        <v>0</v>
      </c>
      <c r="O37" s="161">
        <v>0</v>
      </c>
      <c r="P37" s="161">
        <v>0</v>
      </c>
      <c r="Q37" s="161">
        <v>0</v>
      </c>
      <c r="R37" s="161">
        <v>0</v>
      </c>
      <c r="S37" s="161">
        <v>20</v>
      </c>
      <c r="T37" s="161">
        <v>20</v>
      </c>
      <c r="U37" s="161" t="str">
        <v>0-0</v>
      </c>
    </row>
    <row r="38" spans="2:21">
      <c r="B38" s="173">
        <v>36</v>
      </c>
      <c r="C38" s="174"/>
      <c r="D38" s="175"/>
      <c r="E38" s="175"/>
      <c r="F38" s="175"/>
      <c r="G38" s="175"/>
      <c r="H38" s="175"/>
      <c r="I38" s="175"/>
      <c r="J38" s="176"/>
      <c r="K38" s="177"/>
      <c r="M38" s="161" t="str">
        <v>deelnemer 24</v>
      </c>
      <c r="N38" s="161">
        <v>0</v>
      </c>
      <c r="O38" s="161">
        <v>0</v>
      </c>
      <c r="P38" s="161">
        <v>0</v>
      </c>
      <c r="Q38" s="161">
        <v>0</v>
      </c>
      <c r="R38" s="161">
        <v>0</v>
      </c>
      <c r="S38" s="161">
        <v>20</v>
      </c>
      <c r="T38" s="161">
        <v>20</v>
      </c>
      <c r="U38" s="161" t="str">
        <v>0-0</v>
      </c>
    </row>
    <row r="39" spans="2:21">
      <c r="B39" s="173">
        <v>37</v>
      </c>
      <c r="C39" s="174"/>
      <c r="D39" s="175"/>
      <c r="E39" s="175"/>
      <c r="F39" s="175"/>
      <c r="G39" s="175"/>
      <c r="H39" s="175"/>
      <c r="I39" s="175"/>
      <c r="J39" s="176"/>
      <c r="K39" s="177"/>
      <c r="M39" s="161" t="str">
        <v>deelnemer 25</v>
      </c>
      <c r="N39" s="161">
        <v>0</v>
      </c>
      <c r="O39" s="161">
        <v>0</v>
      </c>
      <c r="P39" s="161">
        <v>0</v>
      </c>
      <c r="Q39" s="161">
        <v>0</v>
      </c>
      <c r="R39" s="161">
        <v>0</v>
      </c>
      <c r="S39" s="161">
        <v>20</v>
      </c>
      <c r="T39" s="161">
        <v>20</v>
      </c>
      <c r="U39" s="161" t="str">
        <v>0-0</v>
      </c>
    </row>
    <row r="40" spans="2:21">
      <c r="B40" s="173">
        <v>38</v>
      </c>
      <c r="C40" s="174"/>
      <c r="D40" s="175"/>
      <c r="E40" s="175"/>
      <c r="F40" s="175"/>
      <c r="G40" s="175"/>
      <c r="H40" s="175"/>
      <c r="I40" s="175"/>
      <c r="J40" s="176"/>
      <c r="K40" s="177"/>
      <c r="M40" s="161" t="str">
        <v>deelnemer 26</v>
      </c>
      <c r="N40" s="161">
        <v>0</v>
      </c>
      <c r="O40" s="161">
        <v>0</v>
      </c>
      <c r="P40" s="161">
        <v>0</v>
      </c>
      <c r="Q40" s="161">
        <v>0</v>
      </c>
      <c r="R40" s="161">
        <v>0</v>
      </c>
      <c r="S40" s="161">
        <v>20</v>
      </c>
      <c r="T40" s="161">
        <v>20</v>
      </c>
      <c r="U40" s="161" t="str">
        <v>0-0</v>
      </c>
    </row>
    <row r="41" spans="2:21">
      <c r="B41" s="173">
        <v>39</v>
      </c>
      <c r="C41" s="174"/>
      <c r="D41" s="175"/>
      <c r="E41" s="175"/>
      <c r="F41" s="175"/>
      <c r="G41" s="175"/>
      <c r="H41" s="175"/>
      <c r="I41" s="175"/>
      <c r="J41" s="176"/>
      <c r="K41" s="177"/>
      <c r="M41" s="161" t="str">
        <v>deelnemer 27</v>
      </c>
      <c r="N41" s="161">
        <v>0</v>
      </c>
      <c r="O41" s="161">
        <v>0</v>
      </c>
      <c r="P41" s="161">
        <v>0</v>
      </c>
      <c r="Q41" s="161">
        <v>0</v>
      </c>
      <c r="R41" s="161">
        <v>0</v>
      </c>
      <c r="S41" s="161">
        <v>20</v>
      </c>
      <c r="T41" s="161">
        <v>20</v>
      </c>
      <c r="U41" s="161" t="str">
        <v>0-0</v>
      </c>
    </row>
    <row r="42" spans="2:21">
      <c r="B42" s="173">
        <v>40</v>
      </c>
      <c r="C42" s="174"/>
      <c r="D42" s="175"/>
      <c r="E42" s="175"/>
      <c r="F42" s="175"/>
      <c r="G42" s="175"/>
      <c r="H42" s="175"/>
      <c r="I42" s="175"/>
      <c r="J42" s="176"/>
      <c r="K42" s="177"/>
      <c r="M42" s="161" t="str">
        <v>deelnemer 28</v>
      </c>
      <c r="N42" s="161">
        <v>0</v>
      </c>
      <c r="O42" s="161">
        <v>0</v>
      </c>
      <c r="P42" s="161">
        <v>0</v>
      </c>
      <c r="Q42" s="161">
        <v>0</v>
      </c>
      <c r="R42" s="161">
        <v>0</v>
      </c>
      <c r="S42" s="161">
        <v>20</v>
      </c>
      <c r="T42" s="161">
        <v>20</v>
      </c>
      <c r="U42" s="161" t="str">
        <v>0-0</v>
      </c>
    </row>
    <row r="43" spans="2:21">
      <c r="B43" s="173">
        <v>41</v>
      </c>
      <c r="C43" s="174"/>
      <c r="D43" s="175"/>
      <c r="E43" s="175"/>
      <c r="F43" s="175"/>
      <c r="G43" s="175"/>
      <c r="H43" s="175"/>
      <c r="I43" s="175"/>
      <c r="J43" s="176"/>
      <c r="K43" s="177"/>
      <c r="M43" s="161" t="str">
        <v>deelnemer 29</v>
      </c>
      <c r="N43" s="161">
        <v>0</v>
      </c>
      <c r="O43" s="161">
        <v>0</v>
      </c>
      <c r="P43" s="161">
        <v>0</v>
      </c>
      <c r="Q43" s="161">
        <v>0</v>
      </c>
      <c r="R43" s="161">
        <v>0</v>
      </c>
      <c r="S43" s="161">
        <v>20</v>
      </c>
      <c r="T43" s="161">
        <v>20</v>
      </c>
      <c r="U43" s="161" t="str">
        <v>0-0</v>
      </c>
    </row>
    <row r="44" spans="2:21">
      <c r="B44" s="173">
        <v>42</v>
      </c>
      <c r="C44" s="174"/>
      <c r="D44" s="175"/>
      <c r="E44" s="175"/>
      <c r="F44" s="175"/>
      <c r="G44" s="175"/>
      <c r="H44" s="175"/>
      <c r="I44" s="175"/>
      <c r="J44" s="176"/>
      <c r="K44" s="177"/>
      <c r="M44" s="161" t="str">
        <v>deelnemer 30</v>
      </c>
      <c r="N44" s="161">
        <v>0</v>
      </c>
      <c r="O44" s="161">
        <v>0</v>
      </c>
      <c r="P44" s="161">
        <v>0</v>
      </c>
      <c r="Q44" s="161">
        <v>0</v>
      </c>
      <c r="R44" s="161">
        <v>0</v>
      </c>
      <c r="S44" s="161">
        <v>20</v>
      </c>
      <c r="T44" s="161">
        <v>20</v>
      </c>
      <c r="U44" s="161" t="str">
        <v>0-0</v>
      </c>
    </row>
    <row r="45" spans="2:21">
      <c r="B45" s="173">
        <v>43</v>
      </c>
      <c r="C45" s="174"/>
      <c r="D45" s="175"/>
      <c r="E45" s="175"/>
      <c r="F45" s="175"/>
      <c r="G45" s="175"/>
      <c r="H45" s="175"/>
      <c r="I45" s="175"/>
      <c r="J45" s="176"/>
      <c r="K45" s="177"/>
      <c r="M45" s="161" t="str">
        <v>deelnemer 31</v>
      </c>
      <c r="N45" s="161">
        <v>0</v>
      </c>
      <c r="O45" s="161">
        <v>0</v>
      </c>
      <c r="P45" s="161">
        <v>0</v>
      </c>
      <c r="Q45" s="161">
        <v>0</v>
      </c>
      <c r="R45" s="161">
        <v>0</v>
      </c>
      <c r="S45" s="161">
        <v>20</v>
      </c>
      <c r="T45" s="161">
        <v>20</v>
      </c>
      <c r="U45" s="161" t="str">
        <v>0-0</v>
      </c>
    </row>
    <row r="46" spans="2:21">
      <c r="B46" s="173">
        <v>44</v>
      </c>
      <c r="C46" s="174"/>
      <c r="D46" s="175"/>
      <c r="E46" s="175"/>
      <c r="F46" s="175"/>
      <c r="G46" s="175"/>
      <c r="H46" s="175"/>
      <c r="I46" s="175"/>
      <c r="J46" s="176"/>
      <c r="K46" s="177"/>
      <c r="M46" s="161" t="str">
        <v>deelnemer 32</v>
      </c>
      <c r="N46" s="161">
        <v>0</v>
      </c>
      <c r="O46" s="161">
        <v>0</v>
      </c>
      <c r="P46" s="161">
        <v>0</v>
      </c>
      <c r="Q46" s="161">
        <v>0</v>
      </c>
      <c r="R46" s="161">
        <v>0</v>
      </c>
      <c r="S46" s="161">
        <v>20</v>
      </c>
      <c r="T46" s="161">
        <v>20</v>
      </c>
      <c r="U46" s="161" t="str">
        <v>0-0</v>
      </c>
    </row>
    <row r="47" spans="2:21">
      <c r="B47" s="173">
        <v>45</v>
      </c>
      <c r="C47" s="174"/>
      <c r="D47" s="175"/>
      <c r="E47" s="175"/>
      <c r="F47" s="175"/>
      <c r="G47" s="175"/>
      <c r="H47" s="175"/>
      <c r="I47" s="175"/>
      <c r="J47" s="176"/>
      <c r="K47" s="177"/>
      <c r="M47" s="161" t="str">
        <v>deelnemer 33</v>
      </c>
      <c r="N47" s="161">
        <v>0</v>
      </c>
      <c r="O47" s="161">
        <v>0</v>
      </c>
      <c r="P47" s="161">
        <v>0</v>
      </c>
      <c r="Q47" s="161">
        <v>0</v>
      </c>
      <c r="R47" s="161">
        <v>0</v>
      </c>
      <c r="S47" s="161">
        <v>20</v>
      </c>
      <c r="T47" s="161">
        <v>20</v>
      </c>
      <c r="U47" s="161" t="str">
        <v>0-0</v>
      </c>
    </row>
    <row r="48" spans="2:21">
      <c r="B48" s="173">
        <v>46</v>
      </c>
      <c r="C48" s="174"/>
      <c r="D48" s="175"/>
      <c r="E48" s="175"/>
      <c r="F48" s="175"/>
      <c r="G48" s="175"/>
      <c r="H48" s="175"/>
      <c r="I48" s="175"/>
      <c r="J48" s="176"/>
      <c r="K48" s="177"/>
      <c r="M48" s="161" t="str">
        <v>deelnemer 34</v>
      </c>
      <c r="N48" s="161">
        <v>0</v>
      </c>
      <c r="O48" s="161">
        <v>0</v>
      </c>
      <c r="P48" s="161">
        <v>0</v>
      </c>
      <c r="Q48" s="161">
        <v>0</v>
      </c>
      <c r="R48" s="161">
        <v>0</v>
      </c>
      <c r="S48" s="161">
        <v>20</v>
      </c>
      <c r="T48" s="161">
        <v>20</v>
      </c>
      <c r="U48" s="161" t="str">
        <v>0-0</v>
      </c>
    </row>
    <row r="49" spans="2:21">
      <c r="B49" s="173">
        <v>47</v>
      </c>
      <c r="C49" s="174"/>
      <c r="D49" s="175"/>
      <c r="E49" s="175"/>
      <c r="F49" s="175"/>
      <c r="G49" s="175"/>
      <c r="H49" s="175"/>
      <c r="I49" s="175"/>
      <c r="J49" s="176"/>
      <c r="K49" s="177"/>
      <c r="M49" s="161" t="str">
        <v>deelnemer 35</v>
      </c>
      <c r="N49" s="161">
        <v>0</v>
      </c>
      <c r="O49" s="161">
        <v>0</v>
      </c>
      <c r="P49" s="161">
        <v>0</v>
      </c>
      <c r="Q49" s="161">
        <v>0</v>
      </c>
      <c r="R49" s="161">
        <v>0</v>
      </c>
      <c r="S49" s="161">
        <v>20</v>
      </c>
      <c r="T49" s="161">
        <v>20</v>
      </c>
      <c r="U49" s="161" t="str">
        <v>0-0</v>
      </c>
    </row>
    <row r="50" spans="2:21">
      <c r="B50" s="173">
        <v>48</v>
      </c>
      <c r="C50" s="174"/>
      <c r="D50" s="175"/>
      <c r="E50" s="175"/>
      <c r="F50" s="175"/>
      <c r="G50" s="175"/>
      <c r="H50" s="175"/>
      <c r="I50" s="175"/>
      <c r="J50" s="176"/>
      <c r="K50" s="177"/>
      <c r="M50" s="161" t="str">
        <v>deelnemer 36</v>
      </c>
      <c r="N50" s="161">
        <v>0</v>
      </c>
      <c r="O50" s="161">
        <v>0</v>
      </c>
      <c r="P50" s="161">
        <v>0</v>
      </c>
      <c r="Q50" s="161">
        <v>0</v>
      </c>
      <c r="R50" s="161">
        <v>0</v>
      </c>
      <c r="S50" s="161">
        <v>20</v>
      </c>
      <c r="T50" s="161">
        <v>20</v>
      </c>
      <c r="U50" s="161" t="str">
        <v>0-0</v>
      </c>
    </row>
    <row r="51" spans="2:21">
      <c r="B51" s="173">
        <v>49</v>
      </c>
      <c r="C51" s="174"/>
      <c r="D51" s="175"/>
      <c r="E51" s="175"/>
      <c r="F51" s="175"/>
      <c r="G51" s="175"/>
      <c r="H51" s="175"/>
      <c r="I51" s="175"/>
      <c r="J51" s="176"/>
      <c r="K51" s="177"/>
      <c r="M51" s="161" t="str">
        <v>deelnemer 37</v>
      </c>
      <c r="N51" s="161">
        <v>0</v>
      </c>
      <c r="O51" s="161">
        <v>0</v>
      </c>
      <c r="P51" s="161">
        <v>0</v>
      </c>
      <c r="Q51" s="161">
        <v>0</v>
      </c>
      <c r="R51" s="161">
        <v>0</v>
      </c>
      <c r="S51" s="161">
        <v>20</v>
      </c>
      <c r="T51" s="161">
        <v>20</v>
      </c>
      <c r="U51" s="161" t="str">
        <v>0-0</v>
      </c>
    </row>
    <row r="52" spans="2:21">
      <c r="B52" s="173">
        <v>50</v>
      </c>
      <c r="C52" s="174"/>
      <c r="D52" s="175"/>
      <c r="E52" s="175"/>
      <c r="F52" s="175"/>
      <c r="G52" s="175"/>
      <c r="H52" s="175"/>
      <c r="I52" s="175"/>
      <c r="J52" s="176"/>
      <c r="K52" s="177"/>
      <c r="M52" s="161" t="str">
        <v>deelnemer 38</v>
      </c>
      <c r="N52" s="161">
        <v>0</v>
      </c>
      <c r="O52" s="161">
        <v>0</v>
      </c>
      <c r="P52" s="161">
        <v>0</v>
      </c>
      <c r="Q52" s="161">
        <v>0</v>
      </c>
      <c r="R52" s="161">
        <v>0</v>
      </c>
      <c r="S52" s="161">
        <v>20</v>
      </c>
      <c r="T52" s="161">
        <v>20</v>
      </c>
      <c r="U52" s="161" t="str">
        <v>0-0</v>
      </c>
    </row>
    <row r="53" spans="2:21">
      <c r="B53" s="173">
        <v>51</v>
      </c>
      <c r="C53" s="174"/>
      <c r="D53" s="175"/>
      <c r="E53" s="175"/>
      <c r="F53" s="175"/>
      <c r="G53" s="175"/>
      <c r="H53" s="175"/>
      <c r="I53" s="175"/>
      <c r="J53" s="176"/>
      <c r="K53" s="177"/>
      <c r="M53" s="161" t="str">
        <v>deelnemer 39</v>
      </c>
      <c r="N53" s="161">
        <v>0</v>
      </c>
      <c r="O53" s="161">
        <v>0</v>
      </c>
      <c r="P53" s="161">
        <v>0</v>
      </c>
      <c r="Q53" s="161">
        <v>0</v>
      </c>
      <c r="R53" s="161">
        <v>0</v>
      </c>
      <c r="S53" s="161">
        <v>20</v>
      </c>
      <c r="T53" s="161">
        <v>20</v>
      </c>
      <c r="U53" s="161" t="str">
        <v>0-0</v>
      </c>
    </row>
    <row r="54" spans="2:21">
      <c r="B54" s="173">
        <v>52</v>
      </c>
      <c r="C54" s="174"/>
      <c r="D54" s="175"/>
      <c r="E54" s="175"/>
      <c r="F54" s="175"/>
      <c r="G54" s="175"/>
      <c r="H54" s="175"/>
      <c r="I54" s="175"/>
      <c r="J54" s="176"/>
      <c r="K54" s="177"/>
      <c r="M54" s="161" t="str">
        <v>deelnemer 40</v>
      </c>
      <c r="N54" s="161">
        <v>0</v>
      </c>
      <c r="O54" s="161">
        <v>0</v>
      </c>
      <c r="P54" s="161">
        <v>0</v>
      </c>
      <c r="Q54" s="161">
        <v>0</v>
      </c>
      <c r="R54" s="161">
        <v>0</v>
      </c>
      <c r="S54" s="161">
        <v>20</v>
      </c>
      <c r="T54" s="161">
        <v>20</v>
      </c>
      <c r="U54" s="161" t="str">
        <v>0-0</v>
      </c>
    </row>
    <row r="55" spans="2:21">
      <c r="B55" s="173">
        <v>53</v>
      </c>
      <c r="C55" s="174"/>
      <c r="D55" s="175"/>
      <c r="E55" s="175"/>
      <c r="F55" s="175"/>
      <c r="G55" s="175"/>
      <c r="H55" s="175"/>
      <c r="I55" s="175"/>
      <c r="J55" s="176"/>
      <c r="K55" s="177"/>
      <c r="M55" s="161" t="str">
        <v>deelnemer 41</v>
      </c>
      <c r="N55" s="161">
        <v>0</v>
      </c>
      <c r="O55" s="161">
        <v>0</v>
      </c>
      <c r="P55" s="161">
        <v>0</v>
      </c>
      <c r="Q55" s="161">
        <v>0</v>
      </c>
      <c r="R55" s="161">
        <v>0</v>
      </c>
      <c r="S55" s="161">
        <v>20</v>
      </c>
      <c r="T55" s="161">
        <v>20</v>
      </c>
      <c r="U55" s="161" t="str">
        <v>0-0</v>
      </c>
    </row>
    <row r="56" spans="2:21">
      <c r="B56" s="173">
        <v>54</v>
      </c>
      <c r="C56" s="174"/>
      <c r="D56" s="175"/>
      <c r="E56" s="175"/>
      <c r="F56" s="175"/>
      <c r="G56" s="175"/>
      <c r="H56" s="175"/>
      <c r="I56" s="175"/>
      <c r="J56" s="176"/>
      <c r="K56" s="177"/>
      <c r="M56" s="161" t="str">
        <v>deelnemer 42</v>
      </c>
      <c r="N56" s="161">
        <v>0</v>
      </c>
      <c r="O56" s="161">
        <v>0</v>
      </c>
      <c r="P56" s="161">
        <v>0</v>
      </c>
      <c r="Q56" s="161">
        <v>0</v>
      </c>
      <c r="R56" s="161">
        <v>0</v>
      </c>
      <c r="S56" s="161">
        <v>20</v>
      </c>
      <c r="T56" s="161">
        <v>20</v>
      </c>
      <c r="U56" s="161" t="str">
        <v>0-0</v>
      </c>
    </row>
    <row r="57" spans="2:21">
      <c r="B57" s="173">
        <v>55</v>
      </c>
      <c r="C57" s="174"/>
      <c r="D57" s="175"/>
      <c r="E57" s="175"/>
      <c r="F57" s="175"/>
      <c r="G57" s="175"/>
      <c r="H57" s="175"/>
      <c r="I57" s="175"/>
      <c r="J57" s="176"/>
      <c r="K57" s="177"/>
    </row>
    <row r="58" spans="2:21">
      <c r="B58" s="173">
        <v>56</v>
      </c>
      <c r="C58" s="174"/>
      <c r="D58" s="175"/>
      <c r="E58" s="175"/>
      <c r="F58" s="175"/>
      <c r="G58" s="175"/>
      <c r="H58" s="175"/>
      <c r="I58" s="175"/>
      <c r="J58" s="176"/>
      <c r="K58" s="177"/>
    </row>
    <row r="59" spans="2:21">
      <c r="B59" s="173">
        <v>57</v>
      </c>
      <c r="C59" s="174"/>
      <c r="D59" s="175"/>
      <c r="E59" s="175"/>
      <c r="F59" s="175"/>
      <c r="G59" s="175"/>
      <c r="H59" s="175"/>
      <c r="I59" s="175"/>
      <c r="J59" s="176"/>
      <c r="K59" s="177"/>
    </row>
    <row r="60" spans="2:21">
      <c r="B60" s="173">
        <v>58</v>
      </c>
      <c r="C60" s="174"/>
      <c r="D60" s="175"/>
      <c r="E60" s="175"/>
      <c r="F60" s="175"/>
      <c r="G60" s="175"/>
      <c r="H60" s="175"/>
      <c r="I60" s="175"/>
      <c r="J60" s="176"/>
      <c r="K60" s="177"/>
    </row>
    <row r="61" spans="2:21">
      <c r="B61" s="173">
        <v>59</v>
      </c>
      <c r="C61" s="174"/>
      <c r="D61" s="175"/>
      <c r="E61" s="175"/>
      <c r="F61" s="175"/>
      <c r="G61" s="175"/>
      <c r="H61" s="175"/>
      <c r="I61" s="175"/>
      <c r="J61" s="176"/>
      <c r="K61" s="177"/>
    </row>
    <row r="62" spans="2:21">
      <c r="B62" s="173">
        <v>60</v>
      </c>
      <c r="C62" s="174"/>
      <c r="D62" s="175"/>
      <c r="E62" s="175"/>
      <c r="F62" s="175"/>
      <c r="G62" s="175"/>
      <c r="H62" s="175"/>
      <c r="I62" s="175"/>
      <c r="J62" s="176"/>
      <c r="K62" s="177"/>
    </row>
    <row r="63" spans="2:21">
      <c r="B63" s="173">
        <v>61</v>
      </c>
      <c r="C63" s="174"/>
      <c r="D63" s="175"/>
      <c r="E63" s="175"/>
      <c r="F63" s="175"/>
      <c r="G63" s="175"/>
      <c r="H63" s="175"/>
      <c r="I63" s="175"/>
      <c r="J63" s="176"/>
      <c r="K63" s="177"/>
    </row>
    <row r="64" spans="2:21">
      <c r="B64" s="173">
        <v>62</v>
      </c>
      <c r="C64" s="174"/>
      <c r="D64" s="175"/>
      <c r="E64" s="175"/>
      <c r="F64" s="175"/>
      <c r="G64" s="175"/>
      <c r="H64" s="175"/>
      <c r="I64" s="175"/>
      <c r="J64" s="176"/>
      <c r="K64" s="177"/>
    </row>
    <row r="65" spans="2:11">
      <c r="B65" s="173">
        <v>63</v>
      </c>
      <c r="C65" s="174"/>
      <c r="D65" s="175"/>
      <c r="E65" s="175"/>
      <c r="F65" s="175"/>
      <c r="G65" s="175"/>
      <c r="H65" s="175"/>
      <c r="I65" s="175"/>
      <c r="J65" s="176"/>
      <c r="K65" s="177"/>
    </row>
    <row r="66" spans="2:11">
      <c r="B66" s="173">
        <v>64</v>
      </c>
      <c r="C66" s="174"/>
      <c r="D66" s="175"/>
      <c r="E66" s="175"/>
      <c r="F66" s="175"/>
      <c r="G66" s="175"/>
      <c r="H66" s="175"/>
      <c r="I66" s="175"/>
      <c r="J66" s="176"/>
      <c r="K66" s="177"/>
    </row>
    <row r="67" spans="2:11">
      <c r="B67" s="173">
        <v>65</v>
      </c>
      <c r="C67" s="174"/>
      <c r="D67" s="175"/>
      <c r="E67" s="175"/>
      <c r="F67" s="175"/>
      <c r="G67" s="175"/>
      <c r="H67" s="175"/>
      <c r="I67" s="175"/>
      <c r="J67" s="176"/>
      <c r="K67" s="177"/>
    </row>
    <row r="68" spans="2:11">
      <c r="B68" s="173">
        <v>66</v>
      </c>
      <c r="C68" s="174"/>
      <c r="D68" s="175"/>
      <c r="E68" s="175"/>
      <c r="F68" s="175"/>
      <c r="G68" s="175"/>
      <c r="H68" s="175"/>
      <c r="I68" s="175"/>
      <c r="J68" s="176"/>
      <c r="K68" s="177"/>
    </row>
    <row r="69" spans="2:11">
      <c r="B69" s="173">
        <v>67</v>
      </c>
      <c r="C69" s="174"/>
      <c r="D69" s="175"/>
      <c r="E69" s="175"/>
      <c r="F69" s="175"/>
      <c r="G69" s="175"/>
      <c r="H69" s="175"/>
      <c r="I69" s="175"/>
      <c r="J69" s="176"/>
      <c r="K69" s="177"/>
    </row>
    <row r="70" spans="2:11">
      <c r="B70" s="173">
        <v>68</v>
      </c>
      <c r="C70" s="174"/>
      <c r="D70" s="175"/>
      <c r="E70" s="175"/>
      <c r="F70" s="175"/>
      <c r="G70" s="175"/>
      <c r="H70" s="175"/>
      <c r="I70" s="175"/>
      <c r="J70" s="176"/>
      <c r="K70" s="177"/>
    </row>
    <row r="71" spans="2:11">
      <c r="B71" s="173">
        <v>69</v>
      </c>
      <c r="C71" s="174"/>
      <c r="D71" s="175"/>
      <c r="E71" s="175"/>
      <c r="F71" s="175"/>
      <c r="G71" s="175"/>
      <c r="H71" s="175"/>
      <c r="I71" s="175"/>
      <c r="J71" s="176"/>
      <c r="K71" s="177"/>
    </row>
    <row r="72" spans="2:11">
      <c r="B72" s="173">
        <v>70</v>
      </c>
      <c r="C72" s="174"/>
      <c r="D72" s="175"/>
      <c r="E72" s="175"/>
      <c r="F72" s="175"/>
      <c r="G72" s="175"/>
      <c r="H72" s="175"/>
      <c r="I72" s="175"/>
      <c r="J72" s="176"/>
      <c r="K72" s="177"/>
    </row>
    <row r="73" spans="2:11">
      <c r="B73" s="173">
        <v>71</v>
      </c>
      <c r="C73" s="174"/>
      <c r="D73" s="175"/>
      <c r="E73" s="175"/>
      <c r="F73" s="175"/>
      <c r="G73" s="175"/>
      <c r="H73" s="175"/>
      <c r="I73" s="175"/>
      <c r="J73" s="176"/>
      <c r="K73" s="177"/>
    </row>
    <row r="74" spans="2:11">
      <c r="B74" s="173">
        <v>72</v>
      </c>
      <c r="C74" s="174"/>
      <c r="D74" s="175"/>
      <c r="E74" s="175"/>
      <c r="F74" s="175"/>
      <c r="G74" s="175"/>
      <c r="H74" s="175"/>
      <c r="I74" s="175"/>
      <c r="J74" s="176"/>
      <c r="K74" s="177"/>
    </row>
    <row r="75" spans="2:11">
      <c r="B75" s="173">
        <v>73</v>
      </c>
      <c r="C75" s="174"/>
      <c r="D75" s="175"/>
      <c r="E75" s="175"/>
      <c r="F75" s="175"/>
      <c r="G75" s="175"/>
      <c r="H75" s="175"/>
      <c r="I75" s="175"/>
      <c r="J75" s="176"/>
      <c r="K75" s="177"/>
    </row>
    <row r="76" spans="2:11">
      <c r="B76" s="173">
        <v>74</v>
      </c>
      <c r="C76" s="174"/>
      <c r="D76" s="175"/>
      <c r="E76" s="175"/>
      <c r="F76" s="175"/>
      <c r="G76" s="175"/>
      <c r="H76" s="175"/>
      <c r="I76" s="175"/>
      <c r="J76" s="176"/>
      <c r="K76" s="177"/>
    </row>
    <row r="77" spans="2:11">
      <c r="B77" s="173">
        <v>75</v>
      </c>
      <c r="C77" s="174"/>
      <c r="D77" s="175"/>
      <c r="E77" s="175"/>
      <c r="F77" s="175"/>
      <c r="G77" s="175"/>
      <c r="H77" s="175"/>
      <c r="I77" s="175"/>
      <c r="J77" s="176"/>
      <c r="K77" s="177"/>
    </row>
  </sheetData>
  <autoFilter ref="C2:K2" xr:uid="{00000000-0009-0000-0000-000009000000}">
    <sortState xmlns:xlrd2="http://schemas.microsoft.com/office/spreadsheetml/2017/richdata2" ref="C3:K77">
      <sortCondition descending="1" ref="J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4" baseType="variant">
      <vt:variant>
        <vt:lpstr>Werkbladen</vt:lpstr>
      </vt:variant>
      <vt:variant>
        <vt:i4>10</vt:i4>
      </vt:variant>
      <vt:variant>
        <vt:lpstr>Benoemde bereiken</vt:lpstr>
      </vt:variant>
      <vt:variant>
        <vt:i4>9</vt:i4>
      </vt:variant>
    </vt:vector>
  </HeadingPairs>
  <TitlesOfParts>
    <vt:vector size="19" baseType="lpstr">
      <vt:lpstr>T</vt:lpstr>
      <vt:lpstr>Spelregels</vt:lpstr>
      <vt:lpstr>3rd Places</vt:lpstr>
      <vt:lpstr>Tornooi schema pronostiek</vt:lpstr>
      <vt:lpstr>Export</vt:lpstr>
      <vt:lpstr>Settings</vt:lpstr>
      <vt:lpstr>Berekening</vt:lpstr>
      <vt:lpstr>Blad1</vt:lpstr>
      <vt:lpstr>Overzicht pronostieken</vt:lpstr>
      <vt:lpstr>stand</vt:lpstr>
      <vt:lpstr>'Tornooi schema pronostiek'!Afdrukbereik</vt:lpstr>
      <vt:lpstr>db_fifarank</vt:lpstr>
      <vt:lpstr>gmt_delta</vt:lpstr>
      <vt:lpstr>itype</vt:lpstr>
      <vt:lpstr>lang</vt:lpstr>
      <vt:lpstr>lang_list</vt:lpstr>
      <vt:lpstr>lookup_3rd</vt:lpstr>
      <vt:lpstr>T</vt:lpstr>
      <vt:lpstr>tbl_lookup_3rd</vt:lpstr>
    </vt:vector>
  </TitlesOfParts>
  <Company>Excely.com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Eufa Euro 2024 Schedule</dc:title>
  <dc:subject/>
  <dc:creator>Denys Kozyr</dc:creator>
  <dc:description/>
  <cp:lastModifiedBy>Stijn Dolphen</cp:lastModifiedBy>
  <cp:revision>12</cp:revision>
  <cp:lastPrinted>2016-04-03T12:59:36Z</cp:lastPrinted>
  <dcterms:created xsi:type="dcterms:W3CDTF">2008-09-24T12:14:29Z</dcterms:created>
  <dcterms:modified xsi:type="dcterms:W3CDTF">2024-06-16T14:54:40Z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Excely.com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6d8dd80f-df62-4d05-8bb4-4c638e61cb1b_Enabled">
    <vt:lpwstr>true</vt:lpwstr>
  </property>
  <property fmtid="{D5CDD505-2E9C-101B-9397-08002B2CF9AE}" pid="10" name="MSIP_Label_6d8dd80f-df62-4d05-8bb4-4c638e61cb1b_SetDate">
    <vt:lpwstr>2024-06-14T17:26:05Z</vt:lpwstr>
  </property>
  <property fmtid="{D5CDD505-2E9C-101B-9397-08002B2CF9AE}" pid="11" name="MSIP_Label_6d8dd80f-df62-4d05-8bb4-4c638e61cb1b_Method">
    <vt:lpwstr>Standard</vt:lpwstr>
  </property>
  <property fmtid="{D5CDD505-2E9C-101B-9397-08002B2CF9AE}" pid="12" name="MSIP_Label_6d8dd80f-df62-4d05-8bb4-4c638e61cb1b_Name">
    <vt:lpwstr>non-sensitive</vt:lpwstr>
  </property>
  <property fmtid="{D5CDD505-2E9C-101B-9397-08002B2CF9AE}" pid="13" name="MSIP_Label_6d8dd80f-df62-4d05-8bb4-4c638e61cb1b_SiteId">
    <vt:lpwstr>5d4df24d-6769-4586-9455-dd6db3f30f0e</vt:lpwstr>
  </property>
  <property fmtid="{D5CDD505-2E9C-101B-9397-08002B2CF9AE}" pid="14" name="MSIP_Label_6d8dd80f-df62-4d05-8bb4-4c638e61cb1b_ActionId">
    <vt:lpwstr>86116fb9-3dd1-423f-8378-be45a5d33c41</vt:lpwstr>
  </property>
  <property fmtid="{D5CDD505-2E9C-101B-9397-08002B2CF9AE}" pid="15" name="MSIP_Label_6d8dd80f-df62-4d05-8bb4-4c638e61cb1b_ContentBits">
    <vt:lpwstr>0</vt:lpwstr>
  </property>
</Properties>
</file>