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20be3d59defa35/XenTegra Temp/Projects/TCO Desktops and Apps v2/Current Version/"/>
    </mc:Choice>
  </mc:AlternateContent>
  <xr:revisionPtr revIDLastSave="407" documentId="11_B55B03356E4005D1BE175D2538C7D71651C94D93" xr6:coauthVersionLast="47" xr6:coauthVersionMax="47" xr10:uidLastSave="{0BD8D52E-60E1-41B1-BFDD-29E31BBE7EFC}"/>
  <bookViews>
    <workbookView xWindow="-37320" yWindow="-19965" windowWidth="20325" windowHeight="19170" activeTab="1" xr2:uid="{00000000-000D-0000-FFFF-FFFF00000000}"/>
  </bookViews>
  <sheets>
    <sheet name="README" sheetId="10" r:id="rId1"/>
    <sheet name="Inputs" sheetId="1" r:id="rId2"/>
    <sheet name="Assumptions" sheetId="2" r:id="rId3"/>
    <sheet name="Observations_Analysis" sheetId="3" r:id="rId4"/>
    <sheet name="Informational_Inputs" sheetId="9" r:id="rId5"/>
    <sheet name="Summary" sheetId="4" r:id="rId6"/>
    <sheet name="Executive_PDF" sheetId="5" r:id="rId7"/>
    <sheet name="Appendix_Visuals" sheetId="8" r:id="rId8"/>
    <sheet name="_Calc" sheetId="6" r:id="rId9"/>
    <sheet name="_Checks" sheetId="7" r:id="rId10"/>
    <sheet name="_Wiring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B5" i="8"/>
  <c r="B22" i="9"/>
  <c r="B45" i="8" s="1"/>
  <c r="C41" i="8"/>
  <c r="B41" i="8"/>
  <c r="C40" i="8"/>
  <c r="B40" i="8"/>
  <c r="C39" i="8"/>
  <c r="B39" i="8"/>
  <c r="C38" i="8"/>
  <c r="B38" i="8"/>
  <c r="C37" i="8"/>
  <c r="B37" i="8"/>
  <c r="C36" i="8"/>
  <c r="B36" i="8"/>
  <c r="C31" i="8"/>
  <c r="B31" i="8"/>
  <c r="C30" i="8"/>
  <c r="B30" i="8"/>
  <c r="C29" i="8"/>
  <c r="B29" i="8"/>
  <c r="C28" i="8"/>
  <c r="B28" i="8"/>
  <c r="C27" i="8"/>
  <c r="B27" i="8"/>
  <c r="C5" i="7"/>
  <c r="C4" i="7"/>
  <c r="B4" i="7"/>
  <c r="E37" i="6"/>
  <c r="E34" i="6"/>
  <c r="D9" i="4" s="1"/>
  <c r="D34" i="6"/>
  <c r="C34" i="6" s="1"/>
  <c r="C9" i="4" s="1"/>
  <c r="B34" i="6"/>
  <c r="B9" i="4" s="1"/>
  <c r="B32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9" i="6"/>
  <c r="B5" i="7" s="1"/>
  <c r="B8" i="6"/>
  <c r="B6" i="6"/>
  <c r="B7" i="8" s="1"/>
  <c r="B5" i="6"/>
  <c r="B6" i="8" s="1"/>
  <c r="B4" i="6"/>
  <c r="B3" i="6"/>
  <c r="D12" i="4"/>
  <c r="A11" i="3"/>
  <c r="A8" i="3"/>
  <c r="A7" i="3"/>
  <c r="A6" i="3"/>
  <c r="A5" i="3"/>
  <c r="D32" i="6" l="1"/>
  <c r="C32" i="6" s="1"/>
  <c r="C7" i="4" s="1"/>
  <c r="C6" i="7"/>
  <c r="E32" i="6"/>
  <c r="D7" i="4" s="1"/>
  <c r="B7" i="6"/>
  <c r="B6" i="7"/>
  <c r="B25" i="5"/>
  <c r="B9" i="5"/>
  <c r="B16" i="8"/>
  <c r="D35" i="6"/>
  <c r="C35" i="6" s="1"/>
  <c r="C10" i="4" s="1"/>
  <c r="E35" i="6"/>
  <c r="D10" i="4" s="1"/>
  <c r="B10" i="6"/>
  <c r="B7" i="4"/>
  <c r="B14" i="8" s="1"/>
  <c r="B33" i="6" l="1"/>
  <c r="B8" i="4" s="1"/>
  <c r="E33" i="6"/>
  <c r="D8" i="4" s="1"/>
  <c r="D33" i="6"/>
  <c r="C33" i="6" s="1"/>
  <c r="C8" i="4" s="1"/>
  <c r="B35" i="6"/>
  <c r="B10" i="4" s="1"/>
  <c r="B23" i="5"/>
  <c r="B7" i="5"/>
  <c r="E36" i="6"/>
  <c r="D11" i="4" s="1"/>
  <c r="D36" i="6"/>
  <c r="A10" i="3"/>
  <c r="A9" i="3"/>
  <c r="B36" i="6"/>
  <c r="B45" i="6" s="1"/>
  <c r="B26" i="5" l="1"/>
  <c r="B10" i="5"/>
  <c r="B17" i="8"/>
  <c r="B24" i="5"/>
  <c r="B15" i="8"/>
  <c r="B8" i="5"/>
  <c r="B11" i="4"/>
  <c r="B18" i="8" s="1"/>
  <c r="C7" i="7"/>
  <c r="B37" i="6"/>
  <c r="B12" i="4" s="1"/>
  <c r="B19" i="8" s="1"/>
  <c r="D37" i="6"/>
  <c r="C37" i="6" s="1"/>
  <c r="C12" i="4" s="1"/>
  <c r="B7" i="7"/>
  <c r="B18" i="4"/>
  <c r="B18" i="5" s="1"/>
  <c r="C36" i="6"/>
  <c r="C8" i="7"/>
  <c r="B41" i="6" l="1"/>
  <c r="B8" i="7"/>
  <c r="A12" i="3"/>
  <c r="B3" i="4"/>
  <c r="B3" i="5" s="1"/>
  <c r="B46" i="6"/>
  <c r="B42" i="6"/>
  <c r="B4" i="4" s="1"/>
  <c r="B4" i="5" s="1"/>
  <c r="B28" i="5"/>
  <c r="B12" i="5"/>
  <c r="C11" i="4"/>
  <c r="B34" i="5"/>
  <c r="B33" i="5"/>
  <c r="B27" i="5"/>
  <c r="B11" i="5"/>
  <c r="B47" i="6" l="1"/>
  <c r="B16" i="4" s="1"/>
  <c r="B16" i="5" s="1"/>
  <c r="B48" i="6"/>
  <c r="B17" i="4" s="1"/>
  <c r="B17" i="5" s="1"/>
</calcChain>
</file>

<file path=xl/sharedStrings.xml><?xml version="1.0" encoding="utf-8"?>
<sst xmlns="http://schemas.openxmlformats.org/spreadsheetml/2006/main" count="1266" uniqueCount="630">
  <si>
    <t>Inputs – Current State Baseline</t>
  </si>
  <si>
    <t>Customer-provided inputs used to derive current-state costs</t>
  </si>
  <si>
    <t>Value</t>
  </si>
  <si>
    <t>Client Name</t>
  </si>
  <si>
    <t>Customer Champion</t>
  </si>
  <si>
    <t>XenTegra Engineer</t>
  </si>
  <si>
    <t>User Count</t>
  </si>
  <si>
    <t>Laptop Count</t>
  </si>
  <si>
    <t>Desktop Count</t>
  </si>
  <si>
    <t>Thin Client Count</t>
  </si>
  <si>
    <t>Category Roll-Ups (Annual USD)</t>
  </si>
  <si>
    <t>End-User Devices</t>
  </si>
  <si>
    <t>Support &amp; Operations</t>
  </si>
  <si>
    <t>Licensing</t>
  </si>
  <si>
    <t>Management &amp; Security</t>
  </si>
  <si>
    <t>VDI / DaaS / Virtualization</t>
  </si>
  <si>
    <t>Other / Overhead</t>
  </si>
  <si>
    <t>VDI Users Present?</t>
  </si>
  <si>
    <t>Unknown</t>
  </si>
  <si>
    <t>% of Users Using VDI</t>
  </si>
  <si>
    <t>Notes (optional)</t>
  </si>
  <si>
    <t>Assumptions – Defaults</t>
  </si>
  <si>
    <t>Default assumptions used when customer data is not provided</t>
  </si>
  <si>
    <t>Default Value</t>
  </si>
  <si>
    <t>Notes</t>
  </si>
  <si>
    <t>Laptop Refresh Cycle (Years)</t>
  </si>
  <si>
    <t>Editable per engagement</t>
  </si>
  <si>
    <t>Desktop Refresh Cycle (Years)</t>
  </si>
  <si>
    <t>Thin Client Refresh Cycle (Years)</t>
  </si>
  <si>
    <t>Avg Ticket Handling Time (Hours)</t>
  </si>
  <si>
    <t>Used for Support &amp; Ops derivation</t>
  </si>
  <si>
    <t>Deployment / Imaging Hours per Device</t>
  </si>
  <si>
    <t>Blended IT Labor Rate (Hourly USD)</t>
  </si>
  <si>
    <t>Tickets per Endpoint per Year</t>
  </si>
  <si>
    <t>Overhead % of Total Baseline Costs</t>
  </si>
  <si>
    <t>Applied to subtotal if overhead rollup missing</t>
  </si>
  <si>
    <t>Laptop Unit Cost (USD)</t>
  </si>
  <si>
    <t>Used for device derivation</t>
  </si>
  <si>
    <t>Desktop Unit Cost (USD)</t>
  </si>
  <si>
    <t>Thin Client Unit Cost (USD)</t>
  </si>
  <si>
    <t>Licensing Avg Cost per User (USD/Year)</t>
  </si>
  <si>
    <t>End-user software only</t>
  </si>
  <si>
    <t>Licensing Coverage %</t>
  </si>
  <si>
    <t>Portion of users covered</t>
  </si>
  <si>
    <t>Mgmt &amp; Security Cost per Endpoint (USD/Year)</t>
  </si>
  <si>
    <t>Tooling only</t>
  </si>
  <si>
    <t>VDI Platform Cost per VDI User (USD/Year)</t>
  </si>
  <si>
    <t>Used if VDI rollup missing</t>
  </si>
  <si>
    <t>Observations &amp; Analysis</t>
  </si>
  <si>
    <t>Present?</t>
  </si>
  <si>
    <t>Observation</t>
  </si>
  <si>
    <t>Source</t>
  </si>
  <si>
    <t>Yes</t>
  </si>
  <si>
    <t>This assessment includes managed corporate endpoints only (laptops, desktops, and thin clients) and excludes mobile devices, BYOD, shared/kiosk devices, and VDI-only users without corporate endpoints.</t>
  </si>
  <si>
    <t>Scope</t>
  </si>
  <si>
    <t>End-user device costs were derived using assumed unit costs and refresh cycles by device type, as customer-provided roll-up values were not available.</t>
  </si>
  <si>
    <t>Support and operations costs were estimated using assumed ticket volumes, handling time, and a blended labor rate, in the absence of customer-provided annual support cost data.</t>
  </si>
  <si>
    <t>Licensing costs were derived using assumed per-user licensing costs and coverage percentages, as customer-provided licensing totals were not available.</t>
  </si>
  <si>
    <t>Management and security tooling costs were estimated using assumed per-user or per-endpoint values due to the absence of customer-provided cost data.</t>
  </si>
  <si>
    <t>Mgmt &amp; Security</t>
  </si>
  <si>
    <t>A subset of users were identified as VDI users; associated VDI platform costs were included based on customer-provided or assumed values.</t>
  </si>
  <si>
    <t>VDI / DaaS</t>
  </si>
  <si>
    <t>VDI platform costs were estimated using assumed values due to the absence of customer-provided annual VDI cost data.</t>
  </si>
  <si>
    <t>Overhead costs were derived as a percentage of total baseline costs, as customer-provided overhead allocations were not available.</t>
  </si>
  <si>
    <t>Overhead</t>
  </si>
  <si>
    <t>Multiple cost categories in this assessment were derived using assumptions due to limited availability of customer-provided cost data.</t>
  </si>
  <si>
    <t>Global</t>
  </si>
  <si>
    <t>Total Annual Cost</t>
  </si>
  <si>
    <t>Cost per User (Annual)</t>
  </si>
  <si>
    <t>Category</t>
  </si>
  <si>
    <t>Annual Cost</t>
  </si>
  <si>
    <t>Source Detail</t>
  </si>
  <si>
    <t>VDI Incremental View (if applicable)</t>
  </si>
  <si>
    <t>Non-VDI User Cost (Annual)</t>
  </si>
  <si>
    <t>VDI User Cost (Annual)</t>
  </si>
  <si>
    <t>VDI Cost per VDI User (Annual)</t>
  </si>
  <si>
    <t>Current-State Cost Baseline — Executive Summary</t>
  </si>
  <si>
    <t>VDI Incremental View</t>
  </si>
  <si>
    <t>Cost Breakdown by Category</t>
  </si>
  <si>
    <t>Cost Source Confidence</t>
  </si>
  <si>
    <t>Derived</t>
  </si>
  <si>
    <t>Assumption</t>
  </si>
  <si>
    <t>_Calc – Engine (Do not edit)</t>
  </si>
  <si>
    <t>Metric</t>
  </si>
  <si>
    <t>Value Source</t>
  </si>
  <si>
    <t>Source Code</t>
  </si>
  <si>
    <t>User_Count</t>
  </si>
  <si>
    <t>Input</t>
  </si>
  <si>
    <t>Laptop_Count</t>
  </si>
  <si>
    <t>Desktop_Count</t>
  </si>
  <si>
    <t>ThinClient_Count</t>
  </si>
  <si>
    <t>Endpoint_Count</t>
  </si>
  <si>
    <t>VDI_Present</t>
  </si>
  <si>
    <t>VDI_Pct</t>
  </si>
  <si>
    <t>VDI_User_Count</t>
  </si>
  <si>
    <t>Assumptions (fixed references)</t>
  </si>
  <si>
    <t>Ref</t>
  </si>
  <si>
    <t>Assumptions!B3</t>
  </si>
  <si>
    <t>Assumptions!B4</t>
  </si>
  <si>
    <t>Assumptions!B5</t>
  </si>
  <si>
    <t>Assumptions!B11</t>
  </si>
  <si>
    <t>Assumptions!B12</t>
  </si>
  <si>
    <t>Assumptions!B13</t>
  </si>
  <si>
    <t>Assumptions!B9</t>
  </si>
  <si>
    <t>Assumptions!B6</t>
  </si>
  <si>
    <t>Assumptions!B7</t>
  </si>
  <si>
    <t>Assumptions!B8</t>
  </si>
  <si>
    <t>Assumptions!B14</t>
  </si>
  <si>
    <t>Assumptions!B15</t>
  </si>
  <si>
    <t>Assumptions!B16</t>
  </si>
  <si>
    <t>Assumptions!B17</t>
  </si>
  <si>
    <t>Assumptions!B10</t>
  </si>
  <si>
    <t>Totals</t>
  </si>
  <si>
    <t>VDI Analytics</t>
  </si>
  <si>
    <t>VDI Cost per VDI User</t>
  </si>
  <si>
    <t>Baseline Cost per User (Excl. VDI)</t>
  </si>
  <si>
    <t>_Checks – Readiness (v0.6)</t>
  </si>
  <si>
    <t>Check</t>
  </si>
  <si>
    <t>Status</t>
  </si>
  <si>
    <t>Detail</t>
  </si>
  <si>
    <t>User Count provided</t>
  </si>
  <si>
    <t>VDI % is valid (0–100%)</t>
  </si>
  <si>
    <t>Endpoint counts not negative</t>
  </si>
  <si>
    <t>No negative category costs</t>
  </si>
  <si>
    <t>Assumptions used (informational)</t>
  </si>
  <si>
    <t>Appendix — Supporting Visuals</t>
  </si>
  <si>
    <t>Endpoint Mix</t>
  </si>
  <si>
    <t>Device Type</t>
  </si>
  <si>
    <t>Count</t>
  </si>
  <si>
    <t>Laptops</t>
  </si>
  <si>
    <t>Desktops</t>
  </si>
  <si>
    <t>Thin Clients</t>
  </si>
  <si>
    <t>Cost per User by Category</t>
  </si>
  <si>
    <t>Cost per User</t>
  </si>
  <si>
    <t>Informational Context (Non‑Cost)</t>
  </si>
  <si>
    <t>VDI / DaaS Platform Footprint</t>
  </si>
  <si>
    <t>Platform</t>
  </si>
  <si>
    <t>Citrix</t>
  </si>
  <si>
    <t>Azure Virtual Desktop</t>
  </si>
  <si>
    <t>Windows 365</t>
  </si>
  <si>
    <t>Horizon</t>
  </si>
  <si>
    <t>Parallels</t>
  </si>
  <si>
    <t>Management Tool Landscape</t>
  </si>
  <si>
    <t>Tool</t>
  </si>
  <si>
    <t>Intune</t>
  </si>
  <si>
    <t>SCCM</t>
  </si>
  <si>
    <t>Workspace ONE</t>
  </si>
  <si>
    <t>Jamf</t>
  </si>
  <si>
    <t>ControlUp</t>
  </si>
  <si>
    <t>Nerdio</t>
  </si>
  <si>
    <t>Cloud EUC Presence Indicator</t>
  </si>
  <si>
    <t>Informational / Contextual Inputs (Non‑Cost)</t>
  </si>
  <si>
    <t>Environmental context and tooling presence (non-cost)</t>
  </si>
  <si>
    <t>VDI / DaaS Platform Presence</t>
  </si>
  <si>
    <t>Endpoint &amp; Management Tools</t>
  </si>
  <si>
    <t>Derived Indicators</t>
  </si>
  <si>
    <t>Cloud‑Hosted EUC Presence</t>
  </si>
  <si>
    <t>Derived from AVD or Windows 365 presence</t>
  </si>
  <si>
    <t>Environment Basics</t>
  </si>
  <si>
    <t>Derived - AVD or Win365 usage</t>
  </si>
  <si>
    <t>Summary – Current-State Baseline</t>
  </si>
  <si>
    <r>
      <t xml:space="preserve">VDI / DaaS Detail </t>
    </r>
    <r>
      <rPr>
        <b/>
        <i/>
        <sz val="11"/>
        <color rgb="FFFFFFFF"/>
        <rFont val="Calibri"/>
        <family val="2"/>
      </rPr>
      <t>(used for subset analytics not costs)</t>
    </r>
  </si>
  <si>
    <t>Acme</t>
  </si>
  <si>
    <t>Assessment Date (mm/dd/yyyy)</t>
  </si>
  <si>
    <t>Guy Incognito</t>
  </si>
  <si>
    <t>Stuart Donnelson</t>
  </si>
  <si>
    <t>Using Citrix on-premises</t>
  </si>
  <si>
    <t>No</t>
  </si>
  <si>
    <t>Total</t>
  </si>
  <si>
    <t>Old Mindmap…replace with corrections</t>
  </si>
  <si>
    <t>Summary</t>
  </si>
  <si>
    <t>CALC_VDI_Cost_Per_VDI_User</t>
  </si>
  <si>
    <t>Displayed VDI cost per VDI user</t>
  </si>
  <si>
    <t>B18</t>
  </si>
  <si>
    <t>OUT_VDI_Cost_Per_VDI_User</t>
  </si>
  <si>
    <t>OUT</t>
  </si>
  <si>
    <t>Outputs</t>
  </si>
  <si>
    <t>W-OUT-012</t>
  </si>
  <si>
    <t>CALC_VDI_User_Cost_Annual</t>
  </si>
  <si>
    <t>Displayed VDI user annual cost</t>
  </si>
  <si>
    <t>B17</t>
  </si>
  <si>
    <t>OUT_VDI_User_Cost</t>
  </si>
  <si>
    <t>W-OUT-011</t>
  </si>
  <si>
    <t>CALC_NonVDI_User_Cost_Annual</t>
  </si>
  <si>
    <t>Displayed non-VDI user annual cost</t>
  </si>
  <si>
    <t>B16</t>
  </si>
  <si>
    <t>OUT_NonVDI_User_Cost</t>
  </si>
  <si>
    <t>W-OUT-010</t>
  </si>
  <si>
    <t>_Calc!E*</t>
  </si>
  <si>
    <t>Displayed source detail for Overhead</t>
  </si>
  <si>
    <t>D12</t>
  </si>
  <si>
    <t>OUT_Category_Overhead_Detail</t>
  </si>
  <si>
    <t>W-OUT-D06</t>
  </si>
  <si>
    <t>_Calc!C*</t>
  </si>
  <si>
    <t>Displayed source label for Overhead</t>
  </si>
  <si>
    <t>C12</t>
  </si>
  <si>
    <t>OUT_Category_Overhead_Source</t>
  </si>
  <si>
    <t>W-OUT-S06</t>
  </si>
  <si>
    <t>CALC_*</t>
  </si>
  <si>
    <t>Displayed annual cost for Overhead</t>
  </si>
  <si>
    <t>B12</t>
  </si>
  <si>
    <t>OUT_Category_Overhead_Annual</t>
  </si>
  <si>
    <t>W-OUT-C06</t>
  </si>
  <si>
    <t>Displayed source detail for Virtualization</t>
  </si>
  <si>
    <t>D11</t>
  </si>
  <si>
    <t>OUT_Category_Virtualization_Detail</t>
  </si>
  <si>
    <t>W-OUT-D05</t>
  </si>
  <si>
    <t>Displayed source label for Virtualization</t>
  </si>
  <si>
    <t>C11</t>
  </si>
  <si>
    <t>OUT_Category_Virtualization_Source</t>
  </si>
  <si>
    <t>W-OUT-S05</t>
  </si>
  <si>
    <t>Displayed annual cost for Virtualization</t>
  </si>
  <si>
    <t>B11</t>
  </si>
  <si>
    <t>OUT_Category_Virtualization_Annual</t>
  </si>
  <si>
    <t>W-OUT-C05</t>
  </si>
  <si>
    <t>Displayed source detail for MgmtSec</t>
  </si>
  <si>
    <t>D10</t>
  </si>
  <si>
    <t>OUT_Category_MgmtSec_Detail</t>
  </si>
  <si>
    <t>W-OUT-D04</t>
  </si>
  <si>
    <t>Displayed source label for MgmtSec</t>
  </si>
  <si>
    <t>C10</t>
  </si>
  <si>
    <t>OUT_Category_MgmtSec_Source</t>
  </si>
  <si>
    <t>W-OUT-S04</t>
  </si>
  <si>
    <t>Displayed annual cost for MgmtSec</t>
  </si>
  <si>
    <t>B10</t>
  </si>
  <si>
    <t>OUT_Category_MgmtSec_Annual</t>
  </si>
  <si>
    <t>W-OUT-C04</t>
  </si>
  <si>
    <t>Displayed source detail for Licensing</t>
  </si>
  <si>
    <t>D9</t>
  </si>
  <si>
    <t>OUT_Category_Licensing_Detail</t>
  </si>
  <si>
    <t>W-OUT-D03</t>
  </si>
  <si>
    <t>Displayed source label for Licensing</t>
  </si>
  <si>
    <t>C9</t>
  </si>
  <si>
    <t>OUT_Category_Licensing_Source</t>
  </si>
  <si>
    <t>W-OUT-S03</t>
  </si>
  <si>
    <t>Displayed annual cost for Licensing</t>
  </si>
  <si>
    <t>B9</t>
  </si>
  <si>
    <t>OUT_Category_Licensing_Annual</t>
  </si>
  <si>
    <t>W-OUT-C03</t>
  </si>
  <si>
    <t>Displayed source detail for SupportOps</t>
  </si>
  <si>
    <t>D8</t>
  </si>
  <si>
    <t>OUT_Category_SupportOps_Detail</t>
  </si>
  <si>
    <t>W-OUT-D02</t>
  </si>
  <si>
    <t>Displayed source label for SupportOps</t>
  </si>
  <si>
    <t>C8</t>
  </si>
  <si>
    <t>OUT_Category_SupportOps_Source</t>
  </si>
  <si>
    <t>W-OUT-S02</t>
  </si>
  <si>
    <t>Displayed annual cost for SupportOps</t>
  </si>
  <si>
    <t>B8</t>
  </si>
  <si>
    <t>OUT_Category_SupportOps_Annual</t>
  </si>
  <si>
    <t>W-OUT-C02</t>
  </si>
  <si>
    <t>Displayed source detail for EndUserDevices</t>
  </si>
  <si>
    <t>D7</t>
  </si>
  <si>
    <t>OUT_Category_EndUserDevices_Detail</t>
  </si>
  <si>
    <t>W-OUT-D01</t>
  </si>
  <si>
    <t>Displayed source label for EndUserDevices</t>
  </si>
  <si>
    <t>C7</t>
  </si>
  <si>
    <t>OUT_Category_EndUserDevices_Source</t>
  </si>
  <si>
    <t>W-OUT-S01</t>
  </si>
  <si>
    <t>Displayed annual cost for EndUserDevices</t>
  </si>
  <si>
    <t>B7</t>
  </si>
  <si>
    <t>OUT_Category_EndUserDevices_Annual</t>
  </si>
  <si>
    <t>W-OUT-C01</t>
  </si>
  <si>
    <t>CALC_Cost_Per_User</t>
  </si>
  <si>
    <t>Displayed cost per user (annual)</t>
  </si>
  <si>
    <t>B4</t>
  </si>
  <si>
    <t>OUT_Cost_Per_User</t>
  </si>
  <si>
    <t>W-OUT-002</t>
  </si>
  <si>
    <t>CALC_Total_Annual_Cost</t>
  </si>
  <si>
    <t>Displayed total annual cost</t>
  </si>
  <si>
    <t>B3</t>
  </si>
  <si>
    <t>OUT_Total_Annual_Cost</t>
  </si>
  <si>
    <t>W-OUT-001</t>
  </si>
  <si>
    <t>Uses _Calc D32:D37 source codes</t>
  </si>
  <si>
    <t>Summary (optional)</t>
  </si>
  <si>
    <t>OUT_Assumptions_Used_Info</t>
  </si>
  <si>
    <t>_Calc!D32:D37</t>
  </si>
  <si>
    <t>Informational status: whether any categories used assumptions/derivation</t>
  </si>
  <si>
    <t>_Checks</t>
  </si>
  <si>
    <t>CHK_Assumptions_Used_Info</t>
  </si>
  <si>
    <t>CHK</t>
  </si>
  <si>
    <t>Checks</t>
  </si>
  <si>
    <t>W-CHK-005</t>
  </si>
  <si>
    <t>OUT_Readiness_Indicators</t>
  </si>
  <si>
    <t>CALC_EndUserDevices..CALC_Overhead</t>
  </si>
  <si>
    <t>Check status for non-negative category costs</t>
  </si>
  <si>
    <t>CHK_No_Negative_Category_Costs</t>
  </si>
  <si>
    <t>W-CHK-004</t>
  </si>
  <si>
    <t>CALC_Laptop_Count,CALC_Desktop_Count,CALC_ThinClient_Count</t>
  </si>
  <si>
    <t>Check status for non-negative endpoint counts</t>
  </si>
  <si>
    <t>B6</t>
  </si>
  <si>
    <t>CHK_Endpoint_Counts_Not_Negative</t>
  </si>
  <si>
    <t>W-CHK-003</t>
  </si>
  <si>
    <t>CALC_VDI_Pct</t>
  </si>
  <si>
    <t>Check status for VDI percent within 0–1</t>
  </si>
  <si>
    <t>B5</t>
  </si>
  <si>
    <t>CHK_VDI_Pct_Valid</t>
  </si>
  <si>
    <t>W-CHK-002</t>
  </si>
  <si>
    <t>CALC_User_Count</t>
  </si>
  <si>
    <t>Check status for user count provided</t>
  </si>
  <si>
    <t>CHK_User_Count_Provided</t>
  </si>
  <si>
    <t>W-CHK-001</t>
  </si>
  <si>
    <t>Summary, Exec_PDF</t>
  </si>
  <si>
    <t>CALC_Baseline_Cost_Per_User_Excl_VDI, CALC_VDI_Cost_Per_VDI_User</t>
  </si>
  <si>
    <t>VDI user annual cost (non-VDI + incremental VDI)</t>
  </si>
  <si>
    <t>B48</t>
  </si>
  <si>
    <t>_Calc</t>
  </si>
  <si>
    <t>CALC</t>
  </si>
  <si>
    <t>W-VDI-104</t>
  </si>
  <si>
    <t>CALC_Baseline_Cost_Per_User_Excl_VDI</t>
  </si>
  <si>
    <t>Non-VDI user annual cost (same as baseline excl VDI)</t>
  </si>
  <si>
    <t>B47</t>
  </si>
  <si>
    <t>W-VDI-103</t>
  </si>
  <si>
    <t>CALC_Total_Annual_Cost, CALC_Virtualization, CALC_User_Count</t>
  </si>
  <si>
    <t>Baseline cost per user excluding VDI category</t>
  </si>
  <si>
    <t>B46</t>
  </si>
  <si>
    <t>W-VDI-102</t>
  </si>
  <si>
    <t>CALC_Virtualization, CALC_VDI_User_Count</t>
  </si>
  <si>
    <t>Annual virtualization cost per VDI user</t>
  </si>
  <si>
    <t>B45</t>
  </si>
  <si>
    <t>W-VDI-101</t>
  </si>
  <si>
    <t>CALC_Total_Annual_Cost, CALC_User_Count</t>
  </si>
  <si>
    <t>Total annual cost per user</t>
  </si>
  <si>
    <t>B42</t>
  </si>
  <si>
    <t>W-TOT-002</t>
  </si>
  <si>
    <t>OUT_Total_Annual_Cost, CALC_Cost_Per_User</t>
  </si>
  <si>
    <t>CALC_EndUserDevices, CALC_SupportOps, CALC_Licensing, CALC_MgmtSec, CALC_Virtualization, CALC_Overhead</t>
  </si>
  <si>
    <t>Total annual baseline cost (all categories)</t>
  </si>
  <si>
    <t>B41</t>
  </si>
  <si>
    <t>W-TOT-001</t>
  </si>
  <si>
    <t>Inputs!B19 override else overhead % of subtotal</t>
  </si>
  <si>
    <t>CALC_Total_Annual_Cost, OUT_Category_Table</t>
  </si>
  <si>
    <t>INP_Rollup_Overhead_Annual, ASM_Overhead_Pct, CALC_EndUserDevices..CALC_Virtualization</t>
  </si>
  <si>
    <t>Annual cost for Other / Overhead</t>
  </si>
  <si>
    <t>B37</t>
  </si>
  <si>
    <t>CALC_Overhead</t>
  </si>
  <si>
    <t>Category Costs</t>
  </si>
  <si>
    <t>W-CAT-006</t>
  </si>
  <si>
    <t>Inputs!B18 override else derived</t>
  </si>
  <si>
    <t>CALC_Total_Annual_Cost, OUT_Category_Table, CALC_VDI_Cost_Per_VDI_User</t>
  </si>
  <si>
    <t>INP_Rollup_Virtualization_Annual, CALC_VDI_User_Count, ASM_VDI_Cost_Per_VDI_User</t>
  </si>
  <si>
    <t>Annual cost for VDI / DaaS / Virtualization</t>
  </si>
  <si>
    <t>B36</t>
  </si>
  <si>
    <t>CALC_Virtualization</t>
  </si>
  <si>
    <t>W-CAT-005</t>
  </si>
  <si>
    <t>Inputs!B17 override else derived</t>
  </si>
  <si>
    <t>INP_Rollup_MgmtSec_Annual, CALC_Endpoint_Count, ASM_MgmtSec_Cost_Per_Endpoint</t>
  </si>
  <si>
    <t>Annual cost for Management &amp; Security</t>
  </si>
  <si>
    <t>B35</t>
  </si>
  <si>
    <t>CALC_MgmtSec</t>
  </si>
  <si>
    <t>W-CAT-004</t>
  </si>
  <si>
    <t>Inputs!B16 override else derived</t>
  </si>
  <si>
    <t>INP_Rollup_Licensing_Annual, CALC_User_Count, ASM_Lic_Cost_Per_User, ASM_Lic_Coverage_Pct</t>
  </si>
  <si>
    <t>Annual cost for Licensing</t>
  </si>
  <si>
    <t>B34</t>
  </si>
  <si>
    <t>CALC_Licensing</t>
  </si>
  <si>
    <t>W-CAT-003</t>
  </si>
  <si>
    <t>Inputs!B15 override else derived</t>
  </si>
  <si>
    <t>INP_Rollup_SupportOps_Annual, CALC_Endpoint_Count, ASM_Tickets_Per_Endpoint, ASM_Avg_Ticket_Hours, ASM_Blended_Labor_Rate, ASM_Deploy_Hours_Per_Device</t>
  </si>
  <si>
    <t>Annual cost for Support &amp; Operations</t>
  </si>
  <si>
    <t>B33</t>
  </si>
  <si>
    <t>CALC_SupportOps</t>
  </si>
  <si>
    <t>W-CAT-002</t>
  </si>
  <si>
    <t>Uses Inputs!B14 override else derived from device counts + refresh + unit costs</t>
  </si>
  <si>
    <t>INP_Rollup_EndUserDevices_Annual, CALC_* counts, ASM_*</t>
  </si>
  <si>
    <t>Annual cost for End-User Devices</t>
  </si>
  <si>
    <t>B32</t>
  </si>
  <si>
    <t>CALC_EndUserDevices</t>
  </si>
  <si>
    <t>W-CAT-001</t>
  </si>
  <si>
    <t>Pass-through ref for stability</t>
  </si>
  <si>
    <t>None</t>
  </si>
  <si>
    <t>Multiple</t>
  </si>
  <si>
    <t>Engine reference for assumption: Overhead % of Total Baseline Costs</t>
  </si>
  <si>
    <t>B29</t>
  </si>
  <si>
    <t>CALC_Overhead_of_Total_Baseline_Costs</t>
  </si>
  <si>
    <t>Assumption Refs</t>
  </si>
  <si>
    <t>W-CALC-A29</t>
  </si>
  <si>
    <t>Engine reference for assumption: VDI Platform Cost per VDI User (USD/Year)</t>
  </si>
  <si>
    <t>B28</t>
  </si>
  <si>
    <t>CALC_VDI_Platform_Cost_per_VDI_User_USD_Year</t>
  </si>
  <si>
    <t>W-CALC-A28</t>
  </si>
  <si>
    <t>Engine reference for assumption: Mgmt &amp; Security Cost per Endpoint (USD/Year)</t>
  </si>
  <si>
    <t>B27</t>
  </si>
  <si>
    <t>CALC_Mgmt_Security_Cost_per_Endpoint_USD_Year</t>
  </si>
  <si>
    <t>W-CALC-A27</t>
  </si>
  <si>
    <t>Engine reference for assumption: Licensing Coverage %</t>
  </si>
  <si>
    <t>B26</t>
  </si>
  <si>
    <t>CALC_Licensing_Coverage</t>
  </si>
  <si>
    <t>W-CALC-A26</t>
  </si>
  <si>
    <t>Engine reference for assumption: Licensing Avg Cost per User (USD/Year)</t>
  </si>
  <si>
    <t>B25</t>
  </si>
  <si>
    <t>CALC_Licensing_Avg_Cost_per_User_USD_Year</t>
  </si>
  <si>
    <t>W-CALC-A25</t>
  </si>
  <si>
    <t>Engine reference for assumption: Blended IT Labor Rate (Hourly USD)</t>
  </si>
  <si>
    <t>B24</t>
  </si>
  <si>
    <t>CALC_Blended_IT_Labor_Rate_Hourly_USD</t>
  </si>
  <si>
    <t>W-CALC-A24</t>
  </si>
  <si>
    <t>Engine reference for assumption: Deployment / Imaging Hours per Device</t>
  </si>
  <si>
    <t>B23</t>
  </si>
  <si>
    <t>CALC_Deployment_Imaging_Hours_per_Device</t>
  </si>
  <si>
    <t>W-CALC-A23</t>
  </si>
  <si>
    <t>Engine reference for assumption: Avg Ticket Handling Time (Hours)</t>
  </si>
  <si>
    <t>B22</t>
  </si>
  <si>
    <t>CALC_Avg_Ticket_Handling_Time_Hours</t>
  </si>
  <si>
    <t>W-CALC-A22</t>
  </si>
  <si>
    <t>Engine reference for assumption: Tickets per Endpoint per Year</t>
  </si>
  <si>
    <t>B21</t>
  </si>
  <si>
    <t>CALC_Tickets_per_Endpoint_per_Year</t>
  </si>
  <si>
    <t>W-CALC-A21</t>
  </si>
  <si>
    <t>Engine reference for assumption: Thin Client Unit Cost (USD)</t>
  </si>
  <si>
    <t>B20</t>
  </si>
  <si>
    <t>CALC_Thin_Client_Unit_Cost_USD</t>
  </si>
  <si>
    <t>W-CALC-A20</t>
  </si>
  <si>
    <t>Engine reference for assumption: Desktop Unit Cost (USD)</t>
  </si>
  <si>
    <t>B19</t>
  </si>
  <si>
    <t>CALC_Desktop_Unit_Cost_USD</t>
  </si>
  <si>
    <t>W-CALC-A19</t>
  </si>
  <si>
    <t>Engine reference for assumption: Laptop Unit Cost (USD)</t>
  </si>
  <si>
    <t>CALC_Laptop_Unit_Cost_USD</t>
  </si>
  <si>
    <t>W-CALC-A18</t>
  </si>
  <si>
    <t>Engine reference for assumption: Thin Client Refresh Cycle (Years)</t>
  </si>
  <si>
    <t>CALC_Thin_Client_Refresh_Cycle_Years</t>
  </si>
  <si>
    <t>W-CALC-A17</t>
  </si>
  <si>
    <t>Engine reference for assumption: Desktop Refresh Cycle (Years)</t>
  </si>
  <si>
    <t>CALC_Desktop_Refresh_Cycle_Years</t>
  </si>
  <si>
    <t>W-CALC-A16</t>
  </si>
  <si>
    <t>Engine reference for assumption: Laptop Refresh Cycle (Years)</t>
  </si>
  <si>
    <t>B15</t>
  </si>
  <si>
    <t>CALC_Laptop_Refresh_Cycle_Years</t>
  </si>
  <si>
    <t>W-CALC-A15</t>
  </si>
  <si>
    <t>CALC_User_Count,CALC_VDI_Pct</t>
  </si>
  <si>
    <t>Estimated VDI user count</t>
  </si>
  <si>
    <t>CALC_VDI_User_Count</t>
  </si>
  <si>
    <t>VDI Detail</t>
  </si>
  <si>
    <t>W-CALC-008</t>
  </si>
  <si>
    <t>INP_VDI_Pct</t>
  </si>
  <si>
    <t>VDI percent of users</t>
  </si>
  <si>
    <t>W-CALC-007</t>
  </si>
  <si>
    <t>(informational)</t>
  </si>
  <si>
    <t>INP_VDI_Present</t>
  </si>
  <si>
    <t>VDI present indicator</t>
  </si>
  <si>
    <t>CALC_VDI_Present</t>
  </si>
  <si>
    <t>W-CALC-006</t>
  </si>
  <si>
    <t>CALC_EndUserDevices, CALC_SupportOps, CALC_MgmtSec</t>
  </si>
  <si>
    <t>Total endpoints</t>
  </si>
  <si>
    <t>CALC_Endpoint_Count</t>
  </si>
  <si>
    <t>Devices</t>
  </si>
  <si>
    <t>W-CALC-005</t>
  </si>
  <si>
    <t>CALC_Endpoint_Count, CALC_EndUserDevices</t>
  </si>
  <si>
    <t>INP_ThinClient_Count</t>
  </si>
  <si>
    <t>Thin client count used by engine</t>
  </si>
  <si>
    <t>CALC_ThinClient_Count</t>
  </si>
  <si>
    <t>Calc Inputs</t>
  </si>
  <si>
    <t>W-CALC-004</t>
  </si>
  <si>
    <t>INP_Desktop_Count</t>
  </si>
  <si>
    <t>Desktop count used by engine</t>
  </si>
  <si>
    <t>CALC_Desktop_Count</t>
  </si>
  <si>
    <t>W-CALC-003</t>
  </si>
  <si>
    <t>INP_Laptop_Count</t>
  </si>
  <si>
    <t>Laptop count used by engine</t>
  </si>
  <si>
    <t>CALC_Laptop_Count</t>
  </si>
  <si>
    <t>W-CALC-002</t>
  </si>
  <si>
    <t>CALC_Licensing, CALC_Cost_Per_User</t>
  </si>
  <si>
    <t>INP_User_Count</t>
  </si>
  <si>
    <t>User count value used by engine</t>
  </si>
  <si>
    <t>W-CALC-001</t>
  </si>
  <si>
    <t>Assumption value</t>
  </si>
  <si>
    <t>VDI platform cost per VDI user per year</t>
  </si>
  <si>
    <t>Assumptions</t>
  </si>
  <si>
    <t>ASM_VDI_Cost_Per_VDI_User</t>
  </si>
  <si>
    <t>ASM</t>
  </si>
  <si>
    <t>W-ASM-015</t>
  </si>
  <si>
    <t>Mgmt &amp; security cost per endpoint per year</t>
  </si>
  <si>
    <t>ASM_MgmtSec_Cost_Per_Endpoint</t>
  </si>
  <si>
    <t>W-ASM-014</t>
  </si>
  <si>
    <t>Portion of users covered by licensing cost</t>
  </si>
  <si>
    <t>ASM_Lic_Coverage_Pct</t>
  </si>
  <si>
    <t>W-ASM-013</t>
  </si>
  <si>
    <t>Average licensing cost per user per year</t>
  </si>
  <si>
    <t>B14</t>
  </si>
  <si>
    <t>ASM_Lic_Cost_Per_User</t>
  </si>
  <si>
    <t>W-ASM-012</t>
  </si>
  <si>
    <t>Thin client unit cost (USD)</t>
  </si>
  <si>
    <t>B13</t>
  </si>
  <si>
    <t>ASM_ThinClient_Unit_Cost</t>
  </si>
  <si>
    <t>W-ASM-011</t>
  </si>
  <si>
    <t>Desktop unit cost (USD)</t>
  </si>
  <si>
    <t>ASM_Desktop_Unit_Cost</t>
  </si>
  <si>
    <t>W-ASM-010</t>
  </si>
  <si>
    <t>Laptop unit cost (USD)</t>
  </si>
  <si>
    <t>ASM_Laptop_Unit_Cost</t>
  </si>
  <si>
    <t>W-ASM-009</t>
  </si>
  <si>
    <t>Overhead percentage applied to subtotal</t>
  </si>
  <si>
    <t>ASM_Overhead_Pct</t>
  </si>
  <si>
    <t>W-ASM-008</t>
  </si>
  <si>
    <t>Tickets per endpoint per year</t>
  </si>
  <si>
    <t>ASM_Tickets_Per_Endpoint</t>
  </si>
  <si>
    <t>W-ASM-007</t>
  </si>
  <si>
    <t>Blended IT labor rate (hourly USD)</t>
  </si>
  <si>
    <t>ASM_Blended_Labor_Rate</t>
  </si>
  <si>
    <t>W-ASM-006</t>
  </si>
  <si>
    <t>Deployment/imaging hours per device</t>
  </si>
  <si>
    <t>ASM_Deploy_Hours_Per_Device</t>
  </si>
  <si>
    <t>W-ASM-005</t>
  </si>
  <si>
    <t>Average handling time per ticket in hours</t>
  </si>
  <si>
    <t>ASM_Avg_Ticket_Hours</t>
  </si>
  <si>
    <t>W-ASM-004</t>
  </si>
  <si>
    <t>Thin client refresh cycle in years</t>
  </si>
  <si>
    <t>ASM_ThinClient_Refresh_Yrs</t>
  </si>
  <si>
    <t>W-ASM-003</t>
  </si>
  <si>
    <t>Desktop refresh cycle in years</t>
  </si>
  <si>
    <t>ASM_Desktop_Refresh_Yrs</t>
  </si>
  <si>
    <t>W-ASM-002</t>
  </si>
  <si>
    <t>Laptop refresh cycle in years</t>
  </si>
  <si>
    <t>ASM_Laptop_Refresh_Yrs</t>
  </si>
  <si>
    <t>W-ASM-001</t>
  </si>
  <si>
    <t>Displayed only (if surfaced)</t>
  </si>
  <si>
    <t>OUT_VDI_Notes</t>
  </si>
  <si>
    <t>Manual input</t>
  </si>
  <si>
    <t>Optional notes on VDI usage</t>
  </si>
  <si>
    <t>Inputs</t>
  </si>
  <si>
    <t>INP_VDI_Notes</t>
  </si>
  <si>
    <t>INP</t>
  </si>
  <si>
    <t>W-INP-022</t>
  </si>
  <si>
    <t>Used to estimate VDI subset</t>
  </si>
  <si>
    <t>CALC_VDI_Pct, CALC_VDI_User_Count</t>
  </si>
  <si>
    <t>Percentage of users using VDI (0–1)</t>
  </si>
  <si>
    <t>W-INP-021</t>
  </si>
  <si>
    <t>Currently informational; not used in cost formula</t>
  </si>
  <si>
    <t>Whether VDI users are present (Yes/No)</t>
  </si>
  <si>
    <t>W-INP-020</t>
  </si>
  <si>
    <t>Overrides derived overhead cost</t>
  </si>
  <si>
    <t>Manual input (optional)</t>
  </si>
  <si>
    <t>Customer-provided annual cost roll-up for Other / Overhead</t>
  </si>
  <si>
    <t>INP_Rollup_Overhead_Annual</t>
  </si>
  <si>
    <t>Category Rollups</t>
  </si>
  <si>
    <t>W-INP-015</t>
  </si>
  <si>
    <t>Overrides derived virtualization cost</t>
  </si>
  <si>
    <t>Customer-provided annual cost roll-up for VDI / DaaS / Virtualization</t>
  </si>
  <si>
    <t>INP_Rollup_Virtualization_Annual</t>
  </si>
  <si>
    <t>W-INP-014</t>
  </si>
  <si>
    <t>Overrides derived mgmt &amp; security cost</t>
  </si>
  <si>
    <t>Customer-provided annual cost roll-up for Management &amp; Security</t>
  </si>
  <si>
    <t>INP_Rollup_MgmtSec_Annual</t>
  </si>
  <si>
    <t>W-INP-013</t>
  </si>
  <si>
    <t>Overrides derived licensing cost</t>
  </si>
  <si>
    <t>Customer-provided annual cost roll-up for Licensing</t>
  </si>
  <si>
    <t>INP_Rollup_Licensing_Annual</t>
  </si>
  <si>
    <t>W-INP-012</t>
  </si>
  <si>
    <t>Overrides derived support cost</t>
  </si>
  <si>
    <t>Customer-provided annual cost roll-up for Support &amp; Operations</t>
  </si>
  <si>
    <t>INP_Rollup_SupportOps_Annual</t>
  </si>
  <si>
    <t>W-INP-011</t>
  </si>
  <si>
    <t>Overrides derived device lifecycle cost</t>
  </si>
  <si>
    <t>Customer-provided annual cost roll-up for End-User Devices</t>
  </si>
  <si>
    <t>INP_Rollup_EndUserDevices_Annual</t>
  </si>
  <si>
    <t>W-INP-010</t>
  </si>
  <si>
    <t>CALC_ThinClient_Count, CALC_Endpoint_Count, CALC_EndUserDevices</t>
  </si>
  <si>
    <t>Count of thin clients</t>
  </si>
  <si>
    <t>W-INP-004</t>
  </si>
  <si>
    <t>CALC_Desktop_Count, CALC_Endpoint_Count, CALC_EndUserDevices</t>
  </si>
  <si>
    <t>Count of desktops</t>
  </si>
  <si>
    <t>W-INP-003</t>
  </si>
  <si>
    <t>CALC_Laptop_Count, CALC_Endpoint_Count, CALC_EndUserDevices</t>
  </si>
  <si>
    <t>Count of laptops</t>
  </si>
  <si>
    <t>W-INP-002</t>
  </si>
  <si>
    <t>CALC_User_Count, CALC_Licensing, CALC_VDI_User_Count, CALC_Cost_Per_User</t>
  </si>
  <si>
    <t>Total number of users</t>
  </si>
  <si>
    <t>Basics</t>
  </si>
  <si>
    <t>W-INP-001</t>
  </si>
  <si>
    <t>Output_Surface</t>
  </si>
  <si>
    <t>Downstream_Consumers</t>
  </si>
  <si>
    <t>Upstream_Dependencies</t>
  </si>
  <si>
    <t>Formula_or_SourceLogic</t>
  </si>
  <si>
    <t>Definition</t>
  </si>
  <si>
    <t>Cell_or_NamedRange</t>
  </si>
  <si>
    <t>Sheet</t>
  </si>
  <si>
    <t>Node_Name</t>
  </si>
  <si>
    <t>Node_Type</t>
  </si>
  <si>
    <t>Domain</t>
  </si>
  <si>
    <t>Wire_ID</t>
  </si>
  <si>
    <t>'=_Calc!B45</t>
  </si>
  <si>
    <t>'=_Calc!B48</t>
  </si>
  <si>
    <t>'=_Calc!B47</t>
  </si>
  <si>
    <t>'=_Calc!E{31+cellrow-6}</t>
  </si>
  <si>
    <t>'=_Calc!C{31+cellrow-6}</t>
  </si>
  <si>
    <t>'= _Calc!B{31+cellrow-6}</t>
  </si>
  <si>
    <t>'=_Calc!B42</t>
  </si>
  <si>
    <t>'=_Calc!B41</t>
  </si>
  <si>
    <t>'=IF((IF(_Calc!D32&lt;&gt;1,1,0)+... )&gt;0,"INFO","OK")</t>
  </si>
  <si>
    <t>'=IF(MIN(_Calc!B32:'_Calc'!B37)&gt;=0,"PASS","FAIL")</t>
  </si>
  <si>
    <t>'=IF(AND(_Calc!B4&gt;=0,_Calc!B5&gt;=0,_Calc!B6&gt;=0),"PASS","FAIL")</t>
  </si>
  <si>
    <t>'=IF(AND(_Calc!B9&gt;=0,_Calc!B9&lt;=1),"PASS","FAIL")</t>
  </si>
  <si>
    <t>'=IF(_Calc!B3&gt;0,"PASS","FAIL")</t>
  </si>
  <si>
    <t>'=IF(B45&lt;&gt;"",B46+B45,"")</t>
  </si>
  <si>
    <t>'=B46</t>
  </si>
  <si>
    <t>'=IF(B3&gt;0,(B41-B36)/B3,"")</t>
  </si>
  <si>
    <t>'=IF(B10&gt;0,B36/B10,"")</t>
  </si>
  <si>
    <t>'=IF(B3&gt;0,B41/B3,"")</t>
  </si>
  <si>
    <t>'=SUM(B32:B37)</t>
  </si>
  <si>
    <t>'=_Calc!B37 formula</t>
  </si>
  <si>
    <t>'=_Calc!B36 formula</t>
  </si>
  <si>
    <t>'=_Calc!B35 formula</t>
  </si>
  <si>
    <t>'=_Calc!B34 formula</t>
  </si>
  <si>
    <t>'=_Calc!B33 formula</t>
  </si>
  <si>
    <t>'=_Calc!B32 formula</t>
  </si>
  <si>
    <t>'==Assumptions!B10</t>
  </si>
  <si>
    <t>'==Assumptions!B17</t>
  </si>
  <si>
    <t>'==Assumptions!B16</t>
  </si>
  <si>
    <t>'==Assumptions!B15</t>
  </si>
  <si>
    <t>'==Assumptions!B14</t>
  </si>
  <si>
    <t>'==Assumptions!B8</t>
  </si>
  <si>
    <t>'==Assumptions!B7</t>
  </si>
  <si>
    <t>'==Assumptions!B6</t>
  </si>
  <si>
    <t>'==Assumptions!B9</t>
  </si>
  <si>
    <t>'==Assumptions!B13</t>
  </si>
  <si>
    <t>'==Assumptions!B12</t>
  </si>
  <si>
    <t>'==Assumptions!B11</t>
  </si>
  <si>
    <t>'==Assumptions!B5</t>
  </si>
  <si>
    <t>'==Assumptions!B4</t>
  </si>
  <si>
    <t>'==Assumptions!B3</t>
  </si>
  <si>
    <t>'=IFERROR(B3*B9,0)</t>
  </si>
  <si>
    <t>'=Inputs!B23</t>
  </si>
  <si>
    <t>'=Inputs!B22</t>
  </si>
  <si>
    <t>'=SUM(B4:B6)</t>
  </si>
  <si>
    <t>'=Inputs!B11</t>
  </si>
  <si>
    <t>'=Inputs!B10</t>
  </si>
  <si>
    <t>'=Inputs!B9</t>
  </si>
  <si>
    <t>'=Inputs!B8</t>
  </si>
  <si>
    <t>Citrix LTSR version 2507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</si>
</sst>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"/>
  </numFmts>
  <fonts count="2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8"/>
      <color rgb="FF002D56"/>
      <name val="Calibri"/>
    </font>
    <font>
      <b/>
      <sz val="11"/>
      <color rgb="FF002D56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2"/>
      <color rgb="FF002D56"/>
      <name val="Calibri"/>
    </font>
    <font>
      <i/>
      <sz val="11"/>
      <color rgb="FF75787B"/>
      <name val="Calibri"/>
    </font>
    <font>
      <b/>
      <sz val="24"/>
      <color rgb="FF002D56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i/>
      <sz val="11"/>
      <color rgb="FFFFFFFF"/>
      <name val="Calibri"/>
      <family val="2"/>
    </font>
    <font>
      <b/>
      <sz val="11"/>
      <color rgb="FF002D56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24"/>
      <color rgb="FFFF000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D56"/>
      </patternFill>
    </fill>
    <fill>
      <patternFill patternType="solid">
        <fgColor rgb="FF00B5E2"/>
      </patternFill>
    </fill>
    <fill>
      <patternFill patternType="solid">
        <fgColor rgb="FFE6F7FD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75787B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75787B"/>
      </left>
      <right style="thin">
        <color rgb="FF75787B"/>
      </right>
      <top style="thin">
        <color rgb="FF75787B"/>
      </top>
      <bottom style="thin">
        <color rgb="FF75787B"/>
      </bottom>
      <diagonal/>
    </border>
    <border>
      <left style="thin">
        <color rgb="FF75787B"/>
      </left>
      <right style="thin">
        <color rgb="FF75787B"/>
      </right>
      <top style="thin">
        <color rgb="FF75787B"/>
      </top>
      <bottom/>
      <diagonal/>
    </border>
    <border>
      <left style="thin">
        <color rgb="FF75787B"/>
      </left>
      <right style="thin">
        <color rgb="FF75787B"/>
      </right>
      <top style="thick">
        <color auto="1"/>
      </top>
      <bottom style="thin">
        <color rgb="FF75787B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1" fillId="0" borderId="0" xfId="0" applyFont="1"/>
    <xf numFmtId="1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0" xfId="0" applyNumberFormat="1"/>
    <xf numFmtId="0" fontId="2" fillId="0" borderId="1" xfId="0" applyFont="1" applyBorder="1"/>
    <xf numFmtId="9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top" wrapText="1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165" fontId="7" fillId="0" borderId="4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165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165" fontId="0" fillId="0" borderId="0" xfId="0" applyNumberFormat="1" applyAlignment="1">
      <alignment vertical="top" wrapText="1"/>
    </xf>
    <xf numFmtId="0" fontId="8" fillId="0" borderId="0" xfId="0" applyFont="1" applyAlignment="1">
      <alignment vertical="center" wrapText="1"/>
    </xf>
    <xf numFmtId="0" fontId="6" fillId="2" borderId="5" xfId="0" applyFont="1" applyFill="1" applyBorder="1" applyAlignment="1">
      <alignment vertical="center"/>
    </xf>
    <xf numFmtId="0" fontId="0" fillId="0" borderId="4" xfId="0" applyBorder="1"/>
    <xf numFmtId="165" fontId="0" fillId="0" borderId="4" xfId="0" applyNumberFormat="1" applyBorder="1"/>
    <xf numFmtId="0" fontId="7" fillId="5" borderId="1" xfId="0" applyFont="1" applyFill="1" applyBorder="1" applyAlignment="1">
      <alignment vertical="top" wrapText="1"/>
    </xf>
    <xf numFmtId="0" fontId="10" fillId="0" borderId="0" xfId="0" applyFont="1" applyAlignment="1">
      <alignment horizontal="left" vertical="center"/>
    </xf>
    <xf numFmtId="0" fontId="11" fillId="2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right" vertical="center" wrapText="1"/>
    </xf>
    <xf numFmtId="9" fontId="7" fillId="4" borderId="4" xfId="0" applyNumberFormat="1" applyFont="1" applyFill="1" applyBorder="1" applyAlignment="1">
      <alignment horizontal="right" vertical="center" wrapText="1"/>
    </xf>
    <xf numFmtId="165" fontId="7" fillId="4" borderId="4" xfId="0" applyNumberFormat="1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164" fontId="7" fillId="4" borderId="4" xfId="0" applyNumberFormat="1" applyFont="1" applyFill="1" applyBorder="1" applyAlignment="1">
      <alignment horizontal="left" vertical="center" wrapText="1"/>
    </xf>
    <xf numFmtId="1" fontId="7" fillId="4" borderId="4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4" fillId="0" borderId="4" xfId="0" applyFont="1" applyBorder="1" applyAlignment="1">
      <alignment horizontal="left" vertical="center" wrapText="1"/>
    </xf>
    <xf numFmtId="165" fontId="0" fillId="0" borderId="3" xfId="0" applyNumberFormat="1" applyBorder="1" applyAlignment="1">
      <alignment vertical="top" wrapText="1"/>
    </xf>
    <xf numFmtId="0" fontId="14" fillId="0" borderId="4" xfId="0" applyFont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vertical="top" wrapText="1"/>
    </xf>
    <xf numFmtId="0" fontId="0" fillId="4" borderId="4" xfId="0" applyFill="1" applyBorder="1" applyAlignment="1">
      <alignment vertical="center" wrapText="1"/>
    </xf>
    <xf numFmtId="1" fontId="7" fillId="0" borderId="4" xfId="0" applyNumberFormat="1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6" fillId="0" borderId="4" xfId="0" applyFont="1" applyBorder="1" applyAlignment="1">
      <alignment horizontal="right" vertical="center" wrapText="1"/>
    </xf>
    <xf numFmtId="0" fontId="16" fillId="0" borderId="6" xfId="0" applyFont="1" applyBorder="1" applyAlignment="1">
      <alignment vertical="center" wrapText="1"/>
    </xf>
    <xf numFmtId="0" fontId="7" fillId="4" borderId="4" xfId="0" applyFont="1" applyFill="1" applyBorder="1" applyAlignment="1">
      <alignment vertical="top" wrapText="1"/>
    </xf>
    <xf numFmtId="0" fontId="17" fillId="0" borderId="0" xfId="0" applyFont="1"/>
    <xf numFmtId="1" fontId="18" fillId="4" borderId="4" xfId="0" applyNumberFormat="1" applyFont="1" applyFill="1" applyBorder="1" applyAlignment="1">
      <alignment horizontal="right" vertical="center" wrapText="1"/>
    </xf>
    <xf numFmtId="2" fontId="18" fillId="4" borderId="4" xfId="0" applyNumberFormat="1" applyFont="1" applyFill="1" applyBorder="1" applyAlignment="1">
      <alignment horizontal="right" vertical="center" wrapText="1"/>
    </xf>
    <xf numFmtId="165" fontId="18" fillId="4" borderId="4" xfId="0" applyNumberFormat="1" applyFont="1" applyFill="1" applyBorder="1" applyAlignment="1">
      <alignment horizontal="right" vertical="center" wrapText="1"/>
    </xf>
    <xf numFmtId="9" fontId="18" fillId="4" borderId="4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19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5787B"/>
      <color rgb="FF0000FF"/>
      <color rgb="FFE6F7FD"/>
      <color rgb="FFF4F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VDI vs Non-VDI User Cost (Annual)</a:t>
            </a:r>
          </a:p>
        </c:rich>
      </c:tx>
      <c:layout>
        <c:manualLayout>
          <c:xMode val="edge"/>
          <c:yMode val="edge"/>
          <c:x val="0.22677165354330706"/>
          <c:y val="5.479452054794520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64-4A98-A366-FBF70AE5A9BB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64-4A98-A366-FBF70AE5A9BB}"/>
              </c:ext>
            </c:extLst>
          </c:dPt>
          <c:cat>
            <c:strRef>
              <c:f>Executive_PDF!$A$16:$A$17</c:f>
              <c:strCache>
                <c:ptCount val="2"/>
                <c:pt idx="0">
                  <c:v>Non-VDI User Cost (Annual)</c:v>
                </c:pt>
                <c:pt idx="1">
                  <c:v>VDI User Cost (Annual)</c:v>
                </c:pt>
              </c:strCache>
            </c:strRef>
          </c:cat>
          <c:val>
            <c:numRef>
              <c:f>Executive_PDF!$B$16:$B$17</c:f>
              <c:numCache>
                <c:formatCode>"$"#,##0</c:formatCode>
                <c:ptCount val="2"/>
                <c:pt idx="0">
                  <c:v>1150.2933333333335</c:v>
                </c:pt>
                <c:pt idx="1">
                  <c:v>1320.9600000000003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2-417C-A9A2-14D15D5A6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User Type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Cost (USD)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Cost by Category</a:t>
            </a:r>
          </a:p>
        </c:rich>
      </c:tx>
      <c:layout>
        <c:manualLayout>
          <c:xMode val="edge"/>
          <c:yMode val="edge"/>
          <c:x val="0.2838744056580273"/>
          <c:y val="5.868866644446613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79-457B-8A67-C210A3BE7372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79-457B-8A67-C210A3BE737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F79-457B-8A67-C210A3BE7372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F79-457B-8A67-C210A3BE7372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F79-457B-8A67-C210A3BE7372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F79-457B-8A67-C210A3BE7372}"/>
              </c:ext>
            </c:extLst>
          </c:dPt>
          <c:cat>
            <c:strRef>
              <c:f>Executive_PDF!$A$23:$A$28</c:f>
              <c:strCache>
                <c:ptCount val="6"/>
                <c:pt idx="0">
                  <c:v>End-User Devices</c:v>
                </c:pt>
                <c:pt idx="1">
                  <c:v>Support &amp; Operations</c:v>
                </c:pt>
                <c:pt idx="2">
                  <c:v>Licensing</c:v>
                </c:pt>
                <c:pt idx="3">
                  <c:v>Management &amp; Security</c:v>
                </c:pt>
                <c:pt idx="4">
                  <c:v>VDI / DaaS / Virtualization</c:v>
                </c:pt>
                <c:pt idx="5">
                  <c:v>Other / Overhead</c:v>
                </c:pt>
              </c:strCache>
            </c:strRef>
          </c:cat>
          <c:val>
            <c:numRef>
              <c:f>Executive_PDF!$B$23:$B$28</c:f>
              <c:numCache>
                <c:formatCode>"$"#,##0</c:formatCode>
                <c:ptCount val="6"/>
                <c:pt idx="0">
                  <c:v>733333.33333333337</c:v>
                </c:pt>
                <c:pt idx="1">
                  <c:v>160000</c:v>
                </c:pt>
                <c:pt idx="2">
                  <c:v>800000</c:v>
                </c:pt>
                <c:pt idx="3">
                  <c:v>440000</c:v>
                </c:pt>
                <c:pt idx="4">
                  <c:v>256000</c:v>
                </c:pt>
                <c:pt idx="5">
                  <c:v>167253.33333333337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A-460B-9877-819137932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Cost (USD)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Composition by Source</a:t>
            </a:r>
          </a:p>
        </c:rich>
      </c:tx>
      <c:layout>
        <c:manualLayout>
          <c:xMode val="edge"/>
          <c:yMode val="edge"/>
          <c:x val="0.35769382579091857"/>
          <c:y val="3.3226923483746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91910946047517"/>
          <c:y val="4.7856399301082084E-2"/>
          <c:w val="0.72695262539696348"/>
          <c:h val="0.67899635682671156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F6-429A-A903-7C5FCDA84DE5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F6-429A-A903-7C5FCDA84DE5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2F6-429A-A903-7C5FCDA84DE5}"/>
              </c:ext>
            </c:extLst>
          </c:dPt>
          <c:cat>
            <c:strRef>
              <c:f>Executive_PDF!$A$32:$A$34</c:f>
              <c:strCache>
                <c:ptCount val="3"/>
                <c:pt idx="0">
                  <c:v>Source</c:v>
                </c:pt>
                <c:pt idx="1">
                  <c:v>Derived</c:v>
                </c:pt>
                <c:pt idx="2">
                  <c:v>Assumption</c:v>
                </c:pt>
              </c:strCache>
            </c:strRef>
          </c:cat>
          <c:val>
            <c:numRef>
              <c:f>Executive_PDF!$B$32:$B$34</c:f>
              <c:numCache>
                <c:formatCode>"$"#,##0</c:formatCode>
                <c:ptCount val="3"/>
                <c:pt idx="0" formatCode="General">
                  <c:v>0</c:v>
                </c:pt>
                <c:pt idx="1">
                  <c:v>2300586.666666667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8-40FA-B4B9-54A92DF7C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Type</a:t>
                </a:r>
              </a:p>
            </c:rich>
          </c:tx>
          <c:layout>
            <c:manualLayout>
              <c:xMode val="edge"/>
              <c:yMode val="edge"/>
              <c:x val="0.47247052770777315"/>
              <c:y val="0.8240020969849771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Cost (USD)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115919660119054"/>
          <c:y val="0.89646281175167042"/>
          <c:w val="0.27972192866157408"/>
          <c:h val="5.5831641733809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Endpoint Mix by Device Type</a:t>
            </a:r>
          </a:p>
        </c:rich>
      </c:tx>
      <c:layout>
        <c:manualLayout>
          <c:xMode val="edge"/>
          <c:yMode val="edge"/>
          <c:x val="0.59887283019126525"/>
          <c:y val="3.481288076588337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Appendix_Visuals!$B$4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DC4-467A-B0EB-3C3D1DAEA7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DC4-467A-B0EB-3C3D1DAEA7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DC4-467A-B0EB-3C3D1DAEA79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Appendix_Visuals!$A$5:$A$7</c:f>
              <c:strCache>
                <c:ptCount val="3"/>
                <c:pt idx="0">
                  <c:v>Laptops</c:v>
                </c:pt>
                <c:pt idx="1">
                  <c:v>Desktops</c:v>
                </c:pt>
                <c:pt idx="2">
                  <c:v>Thin Clients</c:v>
                </c:pt>
              </c:strCache>
            </c:strRef>
          </c:cat>
          <c:val>
            <c:numRef>
              <c:f>Appendix_Visuals!$B$5:$B$7</c:f>
              <c:numCache>
                <c:formatCode>General</c:formatCode>
                <c:ptCount val="3"/>
                <c:pt idx="0" formatCode="0">
                  <c:v>1500</c:v>
                </c:pt>
                <c:pt idx="1">
                  <c:v>200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0-471C-BA25-3CC29B27EB9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64443576406735"/>
          <c:y val="0.41187914173913637"/>
          <c:w val="0.13491170000616762"/>
          <c:h val="0.1762414424045558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Annual Cost per User by Category</a:t>
            </a:r>
          </a:p>
        </c:rich>
      </c:tx>
      <c:layout>
        <c:manualLayout>
          <c:xMode val="edge"/>
          <c:yMode val="edge"/>
          <c:x val="0.28192903052472773"/>
          <c:y val="5.031075839929457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Appendix_Visuals!$B$13</c:f>
              <c:strCache>
                <c:ptCount val="1"/>
                <c:pt idx="0">
                  <c:v>Cost per User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E3-4ADB-AB47-08F82DDE79A6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E3-4ADB-AB47-08F82DDE79A6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E3-4ADB-AB47-08F82DDE79A6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DE3-4ADB-AB47-08F82DDE79A6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DE3-4ADB-AB47-08F82DDE79A6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DE3-4ADB-AB47-08F82DDE79A6}"/>
              </c:ext>
            </c:extLst>
          </c:dPt>
          <c:cat>
            <c:strRef>
              <c:f>Appendix_Visuals!$A$14:$A$19</c:f>
              <c:strCache>
                <c:ptCount val="6"/>
                <c:pt idx="0">
                  <c:v>End-User Devices</c:v>
                </c:pt>
                <c:pt idx="1">
                  <c:v>Support &amp; Operations</c:v>
                </c:pt>
                <c:pt idx="2">
                  <c:v>Licensing</c:v>
                </c:pt>
                <c:pt idx="3">
                  <c:v>Management &amp; Security</c:v>
                </c:pt>
                <c:pt idx="4">
                  <c:v>VDI / DaaS / Virtualization</c:v>
                </c:pt>
                <c:pt idx="5">
                  <c:v>Other / Overhead</c:v>
                </c:pt>
              </c:strCache>
            </c:strRef>
          </c:cat>
          <c:val>
            <c:numRef>
              <c:f>Appendix_Visuals!$B$14:$B$19</c:f>
              <c:numCache>
                <c:formatCode>"$"#,##0</c:formatCode>
                <c:ptCount val="6"/>
                <c:pt idx="0">
                  <c:v>366.66666666666669</c:v>
                </c:pt>
                <c:pt idx="1">
                  <c:v>80</c:v>
                </c:pt>
                <c:pt idx="2">
                  <c:v>400</c:v>
                </c:pt>
                <c:pt idx="3">
                  <c:v>220</c:v>
                </c:pt>
                <c:pt idx="4">
                  <c:v>128</c:v>
                </c:pt>
                <c:pt idx="5">
                  <c:v>83.626666666666679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1-4DE4-BA81-D6D00246C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per User (USD)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</xdr:colOff>
      <xdr:row>0</xdr:row>
      <xdr:rowOff>57148</xdr:rowOff>
    </xdr:from>
    <xdr:to>
      <xdr:col>44</xdr:col>
      <xdr:colOff>400050</xdr:colOff>
      <xdr:row>140</xdr:row>
      <xdr:rowOff>95249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8040661-963A-BD9E-600B-F673901432AF}"/>
            </a:ext>
          </a:extLst>
        </xdr:cNvPr>
        <xdr:cNvSpPr/>
      </xdr:nvSpPr>
      <xdr:spPr>
        <a:xfrm>
          <a:off x="666749" y="57148"/>
          <a:ext cx="26555701" cy="2670810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428624</xdr:colOff>
      <xdr:row>2</xdr:row>
      <xdr:rowOff>171450</xdr:rowOff>
    </xdr:from>
    <xdr:to>
      <xdr:col>14</xdr:col>
      <xdr:colOff>238125</xdr:colOff>
      <xdr:row>135</xdr:row>
      <xdr:rowOff>123825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A741D553-FC73-AEDB-37EC-C326F5D5DDCC}"/>
            </a:ext>
          </a:extLst>
        </xdr:cNvPr>
        <xdr:cNvSpPr txBox="1">
          <a:spLocks noChangeArrowheads="1"/>
        </xdr:cNvSpPr>
      </xdr:nvSpPr>
      <xdr:spPr bwMode="auto">
        <a:xfrm>
          <a:off x="3476624" y="552450"/>
          <a:ext cx="5295901" cy="25288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4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README — How to Use This Assessment Workbook</a:t>
          </a:r>
          <a:endParaRPr lang="en-US" sz="14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This workbook is a Current-State Desktop &amp; Application Cost Assessment tool.</a:t>
          </a:r>
          <a:endParaRPr lang="en-US" sz="1100" b="1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Its sole purpose is to: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Capture how your environment works today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Quantify baseline annual costs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Identify data gaps and assumptions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Produce a fact-based snapshot of the current end-user computing (EUC) environment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Important: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57200" marR="0" indent="-228600">
            <a:lnSpc>
              <a:spcPct val="115000"/>
            </a:lnSpc>
            <a:buNone/>
          </a:pPr>
          <a:r>
            <a:rPr lang="en-US" sz="1100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This tool does not recommend solutions, calculate ROI, or compare vendors.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57200" marR="0" indent="-228600">
            <a:lnSpc>
              <a:spcPct val="115000"/>
            </a:lnSpc>
            <a:spcAft>
              <a:spcPts val="800"/>
            </a:spcAft>
            <a:buNone/>
          </a:pPr>
          <a:r>
            <a:rPr lang="en-US" sz="1100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It is intentionally neutral and designed to reflect reality — not promote change.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Who This Workbook Is For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This workbook is intended to be completed collaboratively by: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The customer (environment details, staffing, tooling)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The assessment engineer or consultant (validation, assumptions, calculations)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You do not need to be an Excel expert to use this tool.</a:t>
          </a:r>
        </a:p>
        <a:p>
          <a:pPr marL="45720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What This Workbook </a:t>
          </a:r>
          <a:r>
            <a:rPr lang="en-US" sz="1100" b="1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Is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solidFill>
                <a:srgbClr val="47D45A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✔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baseline cost reflection</a:t>
          </a:r>
          <a:b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</a:br>
          <a:r>
            <a:rPr lang="en-US" sz="1100" kern="100">
              <a:solidFill>
                <a:srgbClr val="47D45A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✔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structured discovery tool</a:t>
          </a:r>
          <a:b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</a:br>
          <a:r>
            <a:rPr lang="en-US" sz="1100" kern="100">
              <a:solidFill>
                <a:srgbClr val="47D45A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✔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data-quality validation mechanism</a:t>
          </a:r>
          <a:b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</a:br>
          <a:r>
            <a:rPr lang="en-US" sz="1100" kern="100">
              <a:solidFill>
                <a:srgbClr val="47D45A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✔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neutral assessment foundation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What This Workbook Is </a:t>
          </a:r>
          <a:r>
            <a:rPr lang="en-US" sz="1100" b="1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Not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solidFill>
                <a:srgbClr val="EE0000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✖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solution recommendation</a:t>
          </a:r>
          <a:b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</a:br>
          <a:r>
            <a:rPr lang="en-US" sz="1100" kern="100">
              <a:solidFill>
                <a:srgbClr val="EE0000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✖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vendor comparison</a:t>
          </a:r>
          <a:b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</a:br>
          <a:r>
            <a:rPr lang="en-US" sz="1100" kern="100">
              <a:solidFill>
                <a:srgbClr val="EE0000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✖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pricing quote</a:t>
          </a:r>
          <a:b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</a:br>
          <a:r>
            <a:rPr lang="en-US" sz="1100" kern="100">
              <a:solidFill>
                <a:srgbClr val="EE0000"/>
              </a:solidFill>
              <a:effectLst/>
              <a:latin typeface="Segoe UI Symbol" panose="020B0502040204020203" pitchFamily="34" charset="0"/>
              <a:ea typeface="Aptos" panose="020B0004020202020204" pitchFamily="34" charset="0"/>
              <a:cs typeface="Segoe UI Symbol" panose="020B0502040204020203" pitchFamily="34" charset="0"/>
            </a:rPr>
            <a:t>✖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A future-state or ROI model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High-Level Workflow (Start to Finish)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Follow these steps in order.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Skipping steps may result in inaccurate outputs.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Step 1 — Read This Page First</a:t>
          </a:r>
          <a:endParaRPr lang="en-US" sz="1100" b="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This tab explains: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What the workbook does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How data flows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What inputs are required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How results are generated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Step 2 — Complete the Inputs Sheet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Go to the Inputs tab and enter known values.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Blue-shaded cells indicate user input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Enter values only where you are confident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If a value is unknown, leave it blank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Leaving a field blank is acceptable.</a:t>
          </a:r>
        </a:p>
        <a:p>
          <a:pPr marL="228600" marR="0" lvl="0" indent="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The workbook will handle unknowns using documented assumptions.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Step 3 — Review the Assumptions Sheet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Go to the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Assumptions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tab.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This sheet: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Lists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default values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used when inputs are missing</a:t>
          </a:r>
        </a:p>
        <a:p>
          <a:pPr marL="400050" marR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Documents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industry-standard assumptions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Provides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context and rationale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for each assumption</a:t>
          </a:r>
        </a:p>
        <a:p>
          <a:pPr marL="400050" marR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If an assumption does not accurately reflect your environment:</a:t>
          </a:r>
        </a:p>
        <a:p>
          <a:pPr marL="400050" marR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Discuss it with the assessment engineer</a:t>
          </a:r>
        </a:p>
        <a:p>
          <a:pPr marL="400050" marR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Update it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only if you have supporting data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Step 4 — Observe Data Gaps &amp; Flags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As inputs are completed, the workbook automatically: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Identifies missing or inconsistent data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Flags areas requiring validation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Aggregates observations for review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These appear as: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Readiness indicators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Data gap summaries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Observations &amp; analysis notes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Step 5 — Review the Summary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Once required inputs are complete: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Navigate to the Summary tab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Review the calculated annual costs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Validate totals and category breakdowns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This page is read-only and driven entirely by the calculation engine.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How the Workbook Calculates Results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All calculations are performed in locked calculation sheets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Inputs and assumptions flow through a governed calculation engine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No formulas should be edited outside designated input areas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Outputs are deterministic and repeatable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If the same inputs are provided again, the same results will be produced.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Rules &amp; Guardrails</a:t>
          </a:r>
          <a:endParaRPr lang="en-US" sz="1100" b="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To preserve accuracy and trust: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edit calculation sheets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override formulas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force values just to “make it complete”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treat assumptions as facts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If something looks incorrect: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Re-check the source input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Validate the assumption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Document the concern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When the Assessment Is “Ready”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The workbook will indicate readiness when: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Required inputs are complete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Critical assumptions are acknowledged</a:t>
          </a:r>
        </a:p>
        <a:p>
          <a:pPr marL="400050" marR="0" lvl="0" indent="-171450">
            <a:lnSpc>
              <a:spcPct val="115000"/>
            </a:lnSpc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No blocking data gaps remain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Only then should results be shared externally.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523875</xdr:colOff>
      <xdr:row>3</xdr:row>
      <xdr:rowOff>0</xdr:rowOff>
    </xdr:from>
    <xdr:to>
      <xdr:col>23</xdr:col>
      <xdr:colOff>581025</xdr:colOff>
      <xdr:row>70</xdr:row>
      <xdr:rowOff>161925</xdr:rowOff>
    </xdr:to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CD940CD9-6005-50FA-A5E1-AE901B883FF9}"/>
            </a:ext>
          </a:extLst>
        </xdr:cNvPr>
        <xdr:cNvSpPr txBox="1">
          <a:spLocks noChangeArrowheads="1"/>
        </xdr:cNvSpPr>
      </xdr:nvSpPr>
      <xdr:spPr bwMode="auto">
        <a:xfrm>
          <a:off x="9058275" y="571500"/>
          <a:ext cx="5543550" cy="12925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US" sz="1400" b="1">
              <a:effectLst/>
              <a:latin typeface="+mn-lt"/>
              <a:ea typeface="+mn-ea"/>
              <a:cs typeface="+mn-cs"/>
            </a:rPr>
            <a:t>README — How to Use This Assessment Workbook (option 2)</a:t>
          </a:r>
          <a:endParaRPr lang="en-US" sz="1100" b="1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What this workbook is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1714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current-state EUC cost baseline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. It captures how things work </a:t>
          </a:r>
          <a:r>
            <a:rPr lang="en-US" sz="1100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today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, quantifies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annualized baseline costs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, and documents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data gaps + assumptions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What this workbook is NOT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Font typeface="Arial" panose="020B0604020202020204" pitchFamily="34" charset="0"/>
            <a:buChar char="•"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Not a solution recommendation, not a vendor comparison, not an ROI model, not a quote.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How to use it (in order)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342900" marR="0" lvl="0" indent="-342900">
            <a:lnSpc>
              <a:spcPct val="115000"/>
            </a:lnSpc>
            <a:spcAft>
              <a:spcPts val="800"/>
            </a:spcAft>
            <a:buFont typeface="+mj-lt"/>
            <a:buAutoNum type="arabicPeriod"/>
            <a:tabLst>
              <a:tab pos="457200" algn="l"/>
            </a:tabLst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Inputs tab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Enter known values in designated input cells.</a:t>
          </a: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If unknown,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leave blank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(don’t guess).</a:t>
          </a:r>
        </a:p>
        <a:p>
          <a:pPr marL="342900" marR="0" lvl="0" indent="-342900">
            <a:lnSpc>
              <a:spcPct val="115000"/>
            </a:lnSpc>
            <a:spcAft>
              <a:spcPts val="800"/>
            </a:spcAft>
            <a:buFont typeface="+mj-lt"/>
            <a:buAutoNum type="arabicPeriod"/>
            <a:tabLst>
              <a:tab pos="457200" algn="l"/>
            </a:tabLst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Assumptions tab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Review defaults used when inputs are blank.</a:t>
          </a: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Change only when you have supporting data and agreement.</a:t>
          </a:r>
        </a:p>
        <a:p>
          <a:pPr marL="342900" marR="0" lvl="0" indent="-342900">
            <a:lnSpc>
              <a:spcPct val="115000"/>
            </a:lnSpc>
            <a:spcAft>
              <a:spcPts val="800"/>
            </a:spcAft>
            <a:buFont typeface="+mj-lt"/>
            <a:buAutoNum type="arabicPeriod"/>
            <a:tabLst>
              <a:tab pos="457200" algn="l"/>
            </a:tabLst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Observations / Data Gaps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Review flags that indicate missing or inconsistent data.</a:t>
          </a: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Use these to drive follow-up questions and validation.</a:t>
          </a:r>
        </a:p>
        <a:p>
          <a:pPr marL="342900" marR="0" lvl="0" indent="-342900">
            <a:lnSpc>
              <a:spcPct val="115000"/>
            </a:lnSpc>
            <a:spcAft>
              <a:spcPts val="800"/>
            </a:spcAft>
            <a:buFont typeface="+mj-lt"/>
            <a:buAutoNum type="arabicPeriod"/>
            <a:tabLst>
              <a:tab pos="457200" algn="l"/>
            </a:tabLst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Summary tab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Review calculated annual costs and category totals.</a:t>
          </a:r>
        </a:p>
        <a:p>
          <a:pPr marL="742950" marR="0" lvl="1" indent="-285750">
            <a:lnSpc>
              <a:spcPct val="115000"/>
            </a:lnSpc>
            <a:spcAft>
              <a:spcPts val="800"/>
            </a:spcAft>
            <a:buSzPts val="1000"/>
            <a:buFont typeface="Courier New" panose="02070309020205020404" pitchFamily="49" charset="0"/>
            <a:buChar char="o"/>
            <a:tabLst>
              <a:tab pos="9144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Results are driven by the engine—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overwrite outputs</a:t>
          </a: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Rules (to keep results credible)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edit calculation sheets or formulas.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enter values just to “make it complete.”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Do not treat assumptions as fact.  Must validate whenever possible.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If something looks wrong: </a:t>
          </a:r>
        </a:p>
        <a:p>
          <a:pPr marL="228600" marR="0" lvl="0" indent="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None/>
            <a:tabLst>
              <a:tab pos="457200" algn="l"/>
            </a:tabLst>
          </a:pPr>
          <a:r>
            <a:rPr lang="en-US" sz="1100" b="1" i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check the input → check the assumption → then review flags.</a:t>
          </a:r>
        </a:p>
        <a:p>
          <a:pPr marL="228600" marR="0" lvl="0" indent="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None/>
            <a:tabLst>
              <a:tab pos="457200" algn="l"/>
            </a:tabLst>
          </a:pP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When results are ready to share</a:t>
          </a:r>
          <a:endParaRPr lang="en-US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Share externally only when: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Required inputs are complete,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and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No blocking data gaps remain, </a:t>
          </a:r>
          <a:r>
            <a:rPr lang="en-US" sz="1100" b="1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and</a:t>
          </a:r>
        </a:p>
        <a:p>
          <a:pPr marL="400050" marR="0" lvl="0" indent="-171450">
            <a:lnSpc>
              <a:spcPct val="115000"/>
            </a:lnSpc>
            <a:spcAft>
              <a:spcPts val="800"/>
            </a:spcAft>
            <a:buSzPts val="1000"/>
            <a:buFont typeface="Arial" panose="020B0604020202020204" pitchFamily="34" charset="0"/>
            <a:buChar char="•"/>
            <a:tabLst>
              <a:tab pos="457200" algn="l"/>
            </a:tabLst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Assumptions have been reviewed/acknowledged.</a:t>
          </a:r>
        </a:p>
        <a:p>
          <a:pPr marL="0" marR="0">
            <a:lnSpc>
              <a:spcPct val="115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24</xdr:col>
      <xdr:colOff>238124</xdr:colOff>
      <xdr:row>2</xdr:row>
      <xdr:rowOff>190499</xdr:rowOff>
    </xdr:from>
    <xdr:to>
      <xdr:col>39</xdr:col>
      <xdr:colOff>609599</xdr:colOff>
      <xdr:row>134</xdr:row>
      <xdr:rowOff>9525</xdr:rowOff>
    </xdr:to>
    <xdr:sp macro="" textlink="">
      <xdr:nvSpPr>
        <xdr:cNvPr id="10243" name="Text Box 3">
          <a:extLst>
            <a:ext uri="{FF2B5EF4-FFF2-40B4-BE49-F238E27FC236}">
              <a16:creationId xmlns:a16="http://schemas.microsoft.com/office/drawing/2014/main" id="{F6427F8E-E644-65D8-D1DF-CC4D1285C874}"/>
            </a:ext>
          </a:extLst>
        </xdr:cNvPr>
        <xdr:cNvSpPr txBox="1">
          <a:spLocks noChangeArrowheads="1"/>
        </xdr:cNvSpPr>
      </xdr:nvSpPr>
      <xdr:spPr bwMode="auto">
        <a:xfrm>
          <a:off x="14868524" y="571499"/>
          <a:ext cx="9515475" cy="249650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r>
            <a:rPr lang="en-US" sz="1400" b="1">
              <a:effectLst/>
              <a:latin typeface="+mn-lt"/>
              <a:ea typeface="+mn-ea"/>
              <a:cs typeface="+mn-cs"/>
            </a:rPr>
            <a:t>README — How to Use This Assessment Workbook (with</a:t>
          </a:r>
          <a:r>
            <a:rPr lang="en-US" sz="1400" b="1" baseline="0">
              <a:effectLst/>
              <a:latin typeface="+mn-lt"/>
              <a:ea typeface="+mn-ea"/>
              <a:cs typeface="+mn-cs"/>
            </a:rPr>
            <a:t> callouts)</a:t>
          </a:r>
          <a:endParaRPr lang="en-US" sz="1400" b="1">
            <a:effectLst/>
            <a:latin typeface="+mn-lt"/>
            <a:ea typeface="+mn-ea"/>
            <a:cs typeface="+mn-cs"/>
          </a:endParaRPr>
        </a:p>
        <a:p>
          <a:endParaRPr lang="en-US" sz="1100" b="1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What this workbook is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A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current-state EUC cost baseline</a:t>
          </a:r>
          <a:r>
            <a:rPr lang="en-US" sz="1100">
              <a:effectLst/>
              <a:latin typeface="+mn-lt"/>
              <a:ea typeface="+mn-ea"/>
              <a:cs typeface="+mn-cs"/>
            </a:rPr>
            <a:t>. It captures how things work </a:t>
          </a:r>
          <a:r>
            <a:rPr lang="en-US" sz="1100" i="1">
              <a:effectLst/>
              <a:latin typeface="+mn-lt"/>
              <a:ea typeface="+mn-ea"/>
              <a:cs typeface="+mn-cs"/>
            </a:rPr>
            <a:t>today</a:t>
          </a:r>
          <a:r>
            <a:rPr lang="en-US" sz="1100">
              <a:effectLst/>
              <a:latin typeface="+mn-lt"/>
              <a:ea typeface="+mn-ea"/>
              <a:cs typeface="+mn-cs"/>
            </a:rPr>
            <a:t>, quantifies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annualized baseline costs</a:t>
          </a:r>
          <a:r>
            <a:rPr lang="en-US" sz="1100">
              <a:effectLst/>
              <a:latin typeface="+mn-lt"/>
              <a:ea typeface="+mn-ea"/>
              <a:cs typeface="+mn-cs"/>
            </a:rPr>
            <a:t>, and documents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data gaps + assumptions</a:t>
          </a:r>
          <a:r>
            <a:rPr lang="en-US" sz="1100"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What this workbook is NOT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Not a solution recommendation, not a vendor comparison, not an ROI model, not a quote.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How to use it (in order)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effectLst/>
              <a:latin typeface="+mn-lt"/>
              <a:ea typeface="+mn-ea"/>
              <a:cs typeface="+mn-cs"/>
            </a:rPr>
            <a:t>Inputs tab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Enter known values in designated input cells.</a:t>
          </a: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If unknown,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leave blank</a:t>
          </a:r>
          <a:r>
            <a:rPr lang="en-US" sz="1100">
              <a:effectLst/>
              <a:latin typeface="+mn-lt"/>
              <a:ea typeface="+mn-ea"/>
              <a:cs typeface="+mn-cs"/>
            </a:rPr>
            <a:t> (don’t guess).</a:t>
          </a:r>
        </a:p>
        <a:p>
          <a:pPr lvl="0"/>
          <a:r>
            <a:rPr lang="en-US" sz="1100" b="1">
              <a:effectLst/>
              <a:latin typeface="+mn-lt"/>
              <a:ea typeface="+mn-ea"/>
              <a:cs typeface="+mn-cs"/>
            </a:rPr>
            <a:t>Assumptions tab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Review defaults used when inputs are blank.</a:t>
          </a: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Change only when you have supporting data and agreement.</a:t>
          </a:r>
        </a:p>
        <a:p>
          <a:pPr lvl="0"/>
          <a:r>
            <a:rPr lang="en-US" sz="1100" b="1">
              <a:effectLst/>
              <a:latin typeface="+mn-lt"/>
              <a:ea typeface="+mn-ea"/>
              <a:cs typeface="+mn-cs"/>
            </a:rPr>
            <a:t>Observations / Data Gaps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Review flags that indicate missing or inconsistent data.</a:t>
          </a: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Use these to drive follow-up questions and validation.</a:t>
          </a:r>
        </a:p>
        <a:p>
          <a:pPr lvl="0"/>
          <a:r>
            <a:rPr lang="en-US" sz="1100" b="1">
              <a:effectLst/>
              <a:latin typeface="+mn-lt"/>
              <a:ea typeface="+mn-ea"/>
              <a:cs typeface="+mn-cs"/>
            </a:rPr>
            <a:t>Summary tab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Review calculated annual costs and category totals.</a:t>
          </a: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Results are driven by the engine—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do not overwrite outputs</a:t>
          </a:r>
          <a:r>
            <a:rPr lang="en-US" sz="1100"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Rules (to keep results credible)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Do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not</a:t>
          </a:r>
          <a:r>
            <a:rPr lang="en-US" sz="1100">
              <a:effectLst/>
              <a:latin typeface="+mn-lt"/>
              <a:ea typeface="+mn-ea"/>
              <a:cs typeface="+mn-cs"/>
            </a:rPr>
            <a:t> edit calculation sheets or formulas.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Do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not</a:t>
          </a:r>
          <a:r>
            <a:rPr lang="en-US" sz="1100">
              <a:effectLst/>
              <a:latin typeface="+mn-lt"/>
              <a:ea typeface="+mn-ea"/>
              <a:cs typeface="+mn-cs"/>
            </a:rPr>
            <a:t> enter values just to “make it complete.”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Do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not</a:t>
          </a:r>
          <a:r>
            <a:rPr lang="en-US" sz="1100">
              <a:effectLst/>
              <a:latin typeface="+mn-lt"/>
              <a:ea typeface="+mn-ea"/>
              <a:cs typeface="+mn-cs"/>
            </a:rPr>
            <a:t> treat assumptions as fact.  Must validate whenever possible.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If something looks wrong: </a:t>
          </a:r>
        </a:p>
        <a:p>
          <a:pPr lvl="1"/>
          <a:r>
            <a:rPr lang="en-US" sz="1100">
              <a:effectLst/>
              <a:latin typeface="+mn-lt"/>
              <a:ea typeface="+mn-ea"/>
              <a:cs typeface="+mn-cs"/>
            </a:rPr>
            <a:t>check the input → check the assumption → then review flags.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When results are ready to share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Share externally only when: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Required inputs are complete,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and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No blocking data gaps remain,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and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Assumptions have been reviewed/acknowledged.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Perfect. We’ll stay disciplined and do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Step 2 only</a:t>
          </a:r>
          <a:r>
            <a:rPr lang="en-US" sz="1100">
              <a:effectLst/>
              <a:latin typeface="+mn-lt"/>
              <a:ea typeface="+mn-ea"/>
              <a:cs typeface="+mn-cs"/>
            </a:rPr>
            <a:t>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Neutral / Unbiased view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Step 2 is about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adding visual callouts</a:t>
          </a:r>
          <a:r>
            <a:rPr lang="en-US" sz="1100">
              <a:effectLst/>
              <a:latin typeface="+mn-lt"/>
              <a:ea typeface="+mn-ea"/>
              <a:cs typeface="+mn-cs"/>
            </a:rPr>
            <a:t> (tips and warnings) to the Read Me so a first-time user can’t miss: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what’s safe to do,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what’s risky,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and when to stop and ask for help.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This is a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usability and risk-reduction layer</a:t>
          </a:r>
          <a:r>
            <a:rPr lang="en-US" sz="1100">
              <a:effectLst/>
              <a:latin typeface="+mn-lt"/>
              <a:ea typeface="+mn-ea"/>
              <a:cs typeface="+mn-cs"/>
            </a:rPr>
            <a:t>, not new content. The words largely already exist; we’re just making them impossible to ignore.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Devil’s advocate view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Too many callouts can feel patronizing or cluttered, especially for engineers. So we should: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limit to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3–4 total callouts</a:t>
          </a:r>
          <a:r>
            <a:rPr lang="en-US" sz="1100">
              <a:effectLst/>
              <a:latin typeface="+mn-lt"/>
              <a:ea typeface="+mn-ea"/>
              <a:cs typeface="+mn-cs"/>
            </a:rPr>
            <a:t>, and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place them only at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decision points</a:t>
          </a:r>
          <a:r>
            <a:rPr lang="en-US" sz="1100">
              <a:effectLst/>
              <a:latin typeface="+mn-lt"/>
              <a:ea typeface="+mn-ea"/>
              <a:cs typeface="+mn-cs"/>
            </a:rPr>
            <a:t> (input, assumptions, summary, readiness).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Anything beyond that belongs in the full runbook, not the Read Me.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Encouraging / Positive view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This is exactly how you prevent “Excel vandalism.” Clear visual warnings + light guidance dramatically reduce bad data and make the tool safer to hand off.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Step 2 — Executive Read Me with Callout Boxes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Below is the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same 1-page Read Me</a:t>
          </a:r>
          <a:r>
            <a:rPr lang="en-US" sz="1100">
              <a:effectLst/>
              <a:latin typeface="+mn-lt"/>
              <a:ea typeface="+mn-ea"/>
              <a:cs typeface="+mn-cs"/>
            </a:rPr>
            <a:t>, now annotated with </a:t>
          </a: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ℹ️ Tips</a:t>
          </a:r>
          <a:r>
            <a:rPr lang="en-US" sz="1100">
              <a:effectLst/>
              <a:latin typeface="+mn-lt"/>
              <a:ea typeface="+mn-ea"/>
              <a:cs typeface="+mn-cs"/>
            </a:rPr>
            <a:t> and </a:t>
          </a: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⚠️ Warnings</a:t>
          </a:r>
          <a:r>
            <a:rPr lang="en-US" sz="1100">
              <a:effectLst/>
              <a:latin typeface="+mn-lt"/>
              <a:ea typeface="+mn-ea"/>
              <a:cs typeface="+mn-cs"/>
            </a:rPr>
            <a:t> you can format as shaded boxes, icons, or side notes in Excel.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You can copy this verbatim and then style the callouts visually.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What this workbook is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A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current-state EUC cost baseline</a:t>
          </a:r>
          <a:r>
            <a:rPr lang="en-US" sz="1100">
              <a:effectLst/>
              <a:latin typeface="+mn-lt"/>
              <a:ea typeface="+mn-ea"/>
              <a:cs typeface="+mn-cs"/>
            </a:rPr>
            <a:t>. It captures how things work </a:t>
          </a:r>
          <a:r>
            <a:rPr lang="en-US" sz="1100" i="1">
              <a:effectLst/>
              <a:latin typeface="+mn-lt"/>
              <a:ea typeface="+mn-ea"/>
              <a:cs typeface="+mn-cs"/>
            </a:rPr>
            <a:t>today</a:t>
          </a:r>
          <a:r>
            <a:rPr lang="en-US" sz="1100">
              <a:effectLst/>
              <a:latin typeface="+mn-lt"/>
              <a:ea typeface="+mn-ea"/>
              <a:cs typeface="+mn-cs"/>
            </a:rPr>
            <a:t>, quantifies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annualized baseline costs</a:t>
          </a:r>
          <a:r>
            <a:rPr lang="en-US" sz="1100">
              <a:effectLst/>
              <a:latin typeface="+mn-lt"/>
              <a:ea typeface="+mn-ea"/>
              <a:cs typeface="+mn-cs"/>
            </a:rPr>
            <a:t>, and documents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data gaps + assumptions</a:t>
          </a:r>
          <a:r>
            <a:rPr lang="en-US" sz="1100"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Warning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This workbook does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not</a:t>
          </a:r>
          <a:r>
            <a:rPr lang="en-US" sz="1100">
              <a:effectLst/>
              <a:latin typeface="+mn-lt"/>
              <a:ea typeface="+mn-ea"/>
              <a:cs typeface="+mn-cs"/>
            </a:rPr>
            <a:t> recommend solutions, compare vendors, or calculate ROI.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Those activities happen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after</a:t>
          </a:r>
          <a:r>
            <a:rPr lang="en-US" sz="1100">
              <a:effectLst/>
              <a:latin typeface="+mn-lt"/>
              <a:ea typeface="+mn-ea"/>
              <a:cs typeface="+mn-cs"/>
            </a:rPr>
            <a:t> a baseline is established.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How to use it (in order)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1) Inputs tab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Enter known values in designated input cells.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ℹ️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Tip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If a value is unknown,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leave it blank</a:t>
          </a:r>
          <a:r>
            <a:rPr lang="en-US" sz="1100">
              <a:effectLst/>
              <a:latin typeface="+mn-lt"/>
              <a:ea typeface="+mn-ea"/>
              <a:cs typeface="+mn-cs"/>
            </a:rPr>
            <a:t>. The workbook will apply a documented assumption.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Warning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Do not guess or “force” values to move forward. Incorrect inputs undermine all downstream results.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2) Assumptions tab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Review default values used when inputs are blank.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ℹ️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Tip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Assumptions reflect industry norms and common enterprise patterns.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Warning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Assumptions are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not facts</a:t>
          </a:r>
          <a:r>
            <a:rPr lang="en-US" sz="1100">
              <a:effectLst/>
              <a:latin typeface="+mn-lt"/>
              <a:ea typeface="+mn-ea"/>
              <a:cs typeface="+mn-cs"/>
            </a:rPr>
            <a:t>. Change them only when you have supporting data and agreement.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3) Observations / Data Gaps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Review flags indicating missing, inconsistent, or high-risk inputs.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ℹ️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Tip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These flags are intentional—they guide follow-up questions and validation.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Warning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Clearing a flag by entering an unverified value is worse than leaving it open.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4) Summary tab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Review calculated annual costs and category totals.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Warning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This page is output-only.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Do not overwrite results or formulas.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Rules (to keep results credible)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Do Not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Edit calculation sheets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Override formulas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Enter placeholder values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Treat assumptions as confirmed data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ℹ️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If something looks wrong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Re-check the input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Review the assumption used</a:t>
          </a:r>
        </a:p>
        <a:p>
          <a:pPr lvl="0"/>
          <a:r>
            <a:rPr lang="en-US" sz="1100">
              <a:effectLst/>
              <a:latin typeface="+mn-lt"/>
              <a:ea typeface="+mn-ea"/>
              <a:cs typeface="+mn-cs"/>
            </a:rPr>
            <a:t>Look at data gap flags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When results are ready to share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✔ Required inputs completed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✔ Critical assumptions reviewed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✔ No blocking data gaps remain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⚠️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Warning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Sharing results before this point risks misinterpretation and loss of credibility.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Need help?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ℹ️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Tip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If you’re unsure what a field means or which value applies, pause and validate with the assessment engineer before continuing.</a:t>
          </a:r>
        </a:p>
        <a:p>
          <a:br>
            <a:rPr lang="en-US" sz="1100">
              <a:effectLst/>
              <a:latin typeface="+mn-lt"/>
              <a:ea typeface="+mn-ea"/>
              <a:cs typeface="+mn-cs"/>
            </a:rPr>
          </a:b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effectLst/>
              <a:latin typeface="+mn-lt"/>
              <a:ea typeface="+mn-ea"/>
              <a:cs typeface="+mn-cs"/>
            </a:rPr>
            <a:t>Summary</a:t>
          </a:r>
          <a:endParaRPr lang="en-US" sz="1100">
            <a:effectLst/>
            <a:latin typeface="+mn-lt"/>
            <a:ea typeface="+mn-ea"/>
            <a:cs typeface="+mn-cs"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This workbook exists to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establish truth</a:t>
          </a:r>
          <a:r>
            <a:rPr lang="en-US" sz="1100">
              <a:effectLst/>
              <a:latin typeface="+mn-lt"/>
              <a:ea typeface="+mn-ea"/>
              <a:cs typeface="+mn-cs"/>
            </a:rPr>
            <a:t>, not advocate change.</a:t>
          </a:r>
          <a:br>
            <a:rPr lang="en-US" sz="1100">
              <a:effectLst/>
              <a:latin typeface="+mn-lt"/>
              <a:ea typeface="+mn-ea"/>
              <a:cs typeface="+mn-cs"/>
            </a:rPr>
          </a:br>
          <a:r>
            <a:rPr lang="en-US" sz="1100">
              <a:effectLst/>
              <a:latin typeface="+mn-lt"/>
              <a:ea typeface="+mn-ea"/>
              <a:cs typeface="+mn-cs"/>
            </a:rPr>
            <a:t>Accurate inputs produce defensible outcomes.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50</xdr:col>
      <xdr:colOff>352424</xdr:colOff>
      <xdr:row>2</xdr:row>
      <xdr:rowOff>38099</xdr:rowOff>
    </xdr:from>
    <xdr:to>
      <xdr:col>70</xdr:col>
      <xdr:colOff>438150</xdr:colOff>
      <xdr:row>198</xdr:row>
      <xdr:rowOff>155943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4EDFC2-B72A-6237-5F9E-5B26B860D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32424" y="419099"/>
          <a:ext cx="12277726" cy="376653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2190750</xdr:colOff>
      <xdr:row>2</xdr:row>
      <xdr:rowOff>19049</xdr:rowOff>
    </xdr:from>
    <xdr:ext cx="6953250" cy="3476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2209800</xdr:colOff>
      <xdr:row>21</xdr:row>
      <xdr:rowOff>76200</xdr:rowOff>
    </xdr:from>
    <xdr:ext cx="6924675" cy="346233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2209800</xdr:colOff>
      <xdr:row>40</xdr:row>
      <xdr:rowOff>95249</xdr:rowOff>
    </xdr:from>
    <xdr:ext cx="6899956" cy="383857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304800</xdr:colOff>
      <xdr:row>2</xdr:row>
      <xdr:rowOff>200024</xdr:rowOff>
    </xdr:from>
    <xdr:ext cx="7296150" cy="36480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314325</xdr:colOff>
      <xdr:row>22</xdr:row>
      <xdr:rowOff>219074</xdr:rowOff>
    </xdr:from>
    <xdr:ext cx="7258050" cy="36290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14E0-8582-403D-818D-49CC2ADBAA99}">
  <dimension ref="AX7"/>
  <sheetViews>
    <sheetView zoomScale="115" zoomScaleNormal="115" workbookViewId="0">
      <selection activeCell="AY23" sqref="AY23"/>
    </sheetView>
  </sheetViews>
  <sheetFormatPr defaultRowHeight="15" x14ac:dyDescent="0.25"/>
  <sheetData>
    <row r="7" spans="50:50" ht="31.5" x14ac:dyDescent="0.5">
      <c r="AX7" s="67" t="s">
        <v>169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showGridLines="0" tabSelected="1" workbookViewId="0">
      <pane ySplit="7" topLeftCell="A8" activePane="bottomLeft" state="frozen"/>
      <selection pane="bottomLeft" activeCell="B3" sqref="B3"/>
    </sheetView>
  </sheetViews>
  <sheetFormatPr defaultRowHeight="15" x14ac:dyDescent="0.25"/>
  <cols>
    <col min="1" max="1" width="67.5703125" customWidth="1"/>
    <col min="2" max="2" width="45" customWidth="1"/>
    <col min="3" max="3" width="55" customWidth="1"/>
    <col min="4" max="4" width="12" customWidth="1"/>
  </cols>
  <sheetData>
    <row r="1" spans="1:4" ht="31.5" x14ac:dyDescent="0.25">
      <c r="A1" s="52" t="s">
        <v>0</v>
      </c>
      <c r="B1" s="30"/>
      <c r="C1" s="30"/>
      <c r="D1" s="30"/>
    </row>
    <row r="2" spans="1:4" ht="23.25" customHeight="1" x14ac:dyDescent="0.25">
      <c r="A2" s="45" t="s">
        <v>1</v>
      </c>
      <c r="B2" s="45"/>
      <c r="C2" s="30"/>
      <c r="D2" s="30"/>
    </row>
    <row r="3" spans="1:4" ht="15" customHeight="1" x14ac:dyDescent="0.25">
      <c r="A3" s="56" t="s">
        <v>3</v>
      </c>
      <c r="B3" s="49" t="s">
        <v>162</v>
      </c>
      <c r="C3" s="30"/>
      <c r="D3" s="30"/>
    </row>
    <row r="4" spans="1:4" ht="15" customHeight="1" x14ac:dyDescent="0.25">
      <c r="A4" s="58" t="s">
        <v>163</v>
      </c>
      <c r="B4" s="50">
        <v>46052</v>
      </c>
      <c r="C4" s="30"/>
      <c r="D4" s="30"/>
    </row>
    <row r="5" spans="1:4" ht="15" customHeight="1" x14ac:dyDescent="0.25">
      <c r="A5" s="56" t="s">
        <v>4</v>
      </c>
      <c r="B5" s="59" t="s">
        <v>164</v>
      </c>
      <c r="C5" s="30"/>
      <c r="D5" s="30"/>
    </row>
    <row r="6" spans="1:4" ht="15" customHeight="1" x14ac:dyDescent="0.25">
      <c r="A6" s="56" t="s">
        <v>5</v>
      </c>
      <c r="B6" s="59" t="s">
        <v>165</v>
      </c>
      <c r="C6" s="30"/>
      <c r="D6" s="30"/>
    </row>
    <row r="7" spans="1:4" ht="15" customHeight="1" x14ac:dyDescent="0.25">
      <c r="A7" s="45" t="s">
        <v>158</v>
      </c>
      <c r="B7" s="29"/>
      <c r="C7" s="30"/>
      <c r="D7" s="30"/>
    </row>
    <row r="8" spans="1:4" ht="15" customHeight="1" x14ac:dyDescent="0.25">
      <c r="A8" s="28" t="s">
        <v>6</v>
      </c>
      <c r="B8" s="51">
        <v>2000</v>
      </c>
      <c r="C8" s="30"/>
      <c r="D8" s="30"/>
    </row>
    <row r="9" spans="1:4" ht="15" customHeight="1" x14ac:dyDescent="0.25">
      <c r="A9" s="28" t="s">
        <v>7</v>
      </c>
      <c r="B9" s="51">
        <v>1500</v>
      </c>
      <c r="C9" s="31"/>
      <c r="D9" s="30"/>
    </row>
    <row r="10" spans="1:4" ht="15" customHeight="1" x14ac:dyDescent="0.25">
      <c r="A10" s="28" t="s">
        <v>8</v>
      </c>
      <c r="B10" s="51">
        <v>200</v>
      </c>
      <c r="C10" s="31"/>
      <c r="D10" s="30"/>
    </row>
    <row r="11" spans="1:4" ht="15" customHeight="1" x14ac:dyDescent="0.25">
      <c r="A11" s="28" t="s">
        <v>9</v>
      </c>
      <c r="B11" s="51">
        <v>500</v>
      </c>
      <c r="C11" s="31"/>
      <c r="D11" s="30"/>
    </row>
    <row r="12" spans="1:4" ht="15" customHeight="1" x14ac:dyDescent="0.25">
      <c r="A12" s="16"/>
      <c r="B12" s="16"/>
      <c r="C12" s="30"/>
      <c r="D12" s="30"/>
    </row>
    <row r="13" spans="1:4" ht="15" customHeight="1" x14ac:dyDescent="0.25">
      <c r="A13" s="45" t="s">
        <v>10</v>
      </c>
      <c r="B13" s="29"/>
      <c r="C13" s="30"/>
      <c r="D13" s="30"/>
    </row>
    <row r="14" spans="1:4" ht="15" customHeight="1" x14ac:dyDescent="0.25">
      <c r="A14" s="28" t="s">
        <v>11</v>
      </c>
      <c r="B14" s="48"/>
      <c r="C14" s="31"/>
      <c r="D14" s="30"/>
    </row>
    <row r="15" spans="1:4" ht="15" customHeight="1" x14ac:dyDescent="0.25">
      <c r="A15" s="28" t="s">
        <v>12</v>
      </c>
      <c r="B15" s="48"/>
      <c r="C15" s="31"/>
      <c r="D15" s="30"/>
    </row>
    <row r="16" spans="1:4" ht="15" customHeight="1" x14ac:dyDescent="0.25">
      <c r="A16" s="28" t="s">
        <v>13</v>
      </c>
      <c r="B16" s="48"/>
      <c r="C16" s="31"/>
      <c r="D16" s="30"/>
    </row>
    <row r="17" spans="1:4" ht="15" customHeight="1" x14ac:dyDescent="0.25">
      <c r="A17" s="28" t="s">
        <v>14</v>
      </c>
      <c r="B17" s="48"/>
      <c r="C17" s="31"/>
      <c r="D17" s="30"/>
    </row>
    <row r="18" spans="1:4" ht="15" customHeight="1" x14ac:dyDescent="0.25">
      <c r="A18" s="28" t="s">
        <v>15</v>
      </c>
      <c r="B18" s="48">
        <v>256000</v>
      </c>
      <c r="C18" s="31"/>
      <c r="D18" s="30"/>
    </row>
    <row r="19" spans="1:4" ht="15" customHeight="1" x14ac:dyDescent="0.25">
      <c r="A19" s="28" t="s">
        <v>16</v>
      </c>
      <c r="B19" s="48"/>
      <c r="C19" s="31"/>
      <c r="D19" s="30"/>
    </row>
    <row r="20" spans="1:4" ht="15" customHeight="1" x14ac:dyDescent="0.25">
      <c r="A20" s="30"/>
      <c r="B20" s="30"/>
      <c r="C20" s="30"/>
      <c r="D20" s="30"/>
    </row>
    <row r="21" spans="1:4" x14ac:dyDescent="0.25">
      <c r="A21" s="45" t="s">
        <v>161</v>
      </c>
      <c r="B21" s="29"/>
      <c r="C21" s="31"/>
      <c r="D21" s="30"/>
    </row>
    <row r="22" spans="1:4" ht="15" customHeight="1" x14ac:dyDescent="0.25">
      <c r="A22" s="28" t="s">
        <v>17</v>
      </c>
      <c r="B22" s="46" t="s">
        <v>52</v>
      </c>
      <c r="C22" s="31"/>
      <c r="D22" s="30"/>
    </row>
    <row r="23" spans="1:4" ht="15" customHeight="1" x14ac:dyDescent="0.25">
      <c r="A23" s="28" t="s">
        <v>19</v>
      </c>
      <c r="B23" s="47">
        <v>0.75</v>
      </c>
      <c r="C23" s="31"/>
      <c r="D23" s="30"/>
    </row>
    <row r="24" spans="1:4" ht="15" customHeight="1" x14ac:dyDescent="0.25">
      <c r="A24" s="28" t="s">
        <v>20</v>
      </c>
      <c r="B24" s="59" t="s">
        <v>166</v>
      </c>
      <c r="C24" s="31"/>
      <c r="D24" s="30"/>
    </row>
    <row r="25" spans="1:4" x14ac:dyDescent="0.25">
      <c r="A25" s="30"/>
      <c r="B25" s="30"/>
    </row>
    <row r="26" spans="1:4" x14ac:dyDescent="0.25">
      <c r="A26" s="30"/>
      <c r="B26" s="30"/>
    </row>
    <row r="27" spans="1:4" x14ac:dyDescent="0.25">
      <c r="A27" s="30"/>
      <c r="B27" s="30"/>
    </row>
    <row r="28" spans="1:4" x14ac:dyDescent="0.25">
      <c r="A28" s="30"/>
      <c r="B28" s="30"/>
    </row>
    <row r="29" spans="1:4" x14ac:dyDescent="0.25">
      <c r="A29" s="30"/>
      <c r="B29" s="30"/>
    </row>
    <row r="30" spans="1:4" x14ac:dyDescent="0.25">
      <c r="A30" s="30"/>
      <c r="B30" s="30"/>
    </row>
    <row r="31" spans="1:4" x14ac:dyDescent="0.25">
      <c r="A31" s="30"/>
      <c r="B31" s="30"/>
    </row>
  </sheetData>
  <dataValidations count="1">
    <dataValidation type="list" sqref="B22" xr:uid="{00000000-0002-0000-0000-000000000000}">
      <formula1>"Yes,No,Unknown"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9"/>
  <sheetViews>
    <sheetView showGridLines="0" workbookViewId="0">
      <pane ySplit="2" topLeftCell="A3" activePane="bottomLeft" state="frozen"/>
      <selection pane="bottomLeft" activeCell="C31" sqref="C31"/>
    </sheetView>
  </sheetViews>
  <sheetFormatPr defaultRowHeight="15" x14ac:dyDescent="0.25"/>
  <cols>
    <col min="1" max="1" width="46" customWidth="1"/>
    <col min="2" max="2" width="18" customWidth="1"/>
    <col min="3" max="3" width="60.7109375" customWidth="1"/>
    <col min="4" max="4" width="18" customWidth="1"/>
  </cols>
  <sheetData>
    <row r="1" spans="1:4" ht="31.5" x14ac:dyDescent="0.25">
      <c r="A1" s="44" t="s">
        <v>21</v>
      </c>
    </row>
    <row r="2" spans="1:4" ht="30" customHeight="1" x14ac:dyDescent="0.25">
      <c r="A2" s="29" t="s">
        <v>22</v>
      </c>
      <c r="B2" s="29" t="s">
        <v>23</v>
      </c>
      <c r="C2" s="29" t="s">
        <v>24</v>
      </c>
    </row>
    <row r="3" spans="1:4" ht="15" customHeight="1" x14ac:dyDescent="0.25">
      <c r="A3" s="33" t="s">
        <v>25</v>
      </c>
      <c r="B3" s="68">
        <v>3</v>
      </c>
      <c r="C3" s="43" t="s">
        <v>26</v>
      </c>
      <c r="D3" s="31"/>
    </row>
    <row r="4" spans="1:4" ht="15" customHeight="1" x14ac:dyDescent="0.25">
      <c r="A4" s="33" t="s">
        <v>27</v>
      </c>
      <c r="B4" s="68">
        <v>3</v>
      </c>
      <c r="C4" s="43" t="s">
        <v>26</v>
      </c>
      <c r="D4" s="31"/>
    </row>
    <row r="5" spans="1:4" ht="15" customHeight="1" x14ac:dyDescent="0.25">
      <c r="A5" s="33" t="s">
        <v>28</v>
      </c>
      <c r="B5" s="68">
        <v>5</v>
      </c>
      <c r="C5" s="43" t="s">
        <v>26</v>
      </c>
      <c r="D5" s="31"/>
    </row>
    <row r="6" spans="1:4" ht="15" customHeight="1" x14ac:dyDescent="0.25">
      <c r="A6" s="33" t="s">
        <v>29</v>
      </c>
      <c r="B6" s="69">
        <v>0.5</v>
      </c>
      <c r="C6" s="43" t="s">
        <v>30</v>
      </c>
      <c r="D6" s="31"/>
    </row>
    <row r="7" spans="1:4" ht="15" customHeight="1" x14ac:dyDescent="0.25">
      <c r="A7" s="33" t="s">
        <v>31</v>
      </c>
      <c r="B7" s="69">
        <v>1.5</v>
      </c>
      <c r="C7" s="43" t="s">
        <v>30</v>
      </c>
      <c r="D7" s="31"/>
    </row>
    <row r="8" spans="1:4" ht="15" customHeight="1" x14ac:dyDescent="0.25">
      <c r="A8" s="33" t="s">
        <v>32</v>
      </c>
      <c r="B8" s="70">
        <v>50</v>
      </c>
      <c r="C8" s="43" t="s">
        <v>30</v>
      </c>
      <c r="D8" s="31"/>
    </row>
    <row r="9" spans="1:4" ht="15" customHeight="1" x14ac:dyDescent="0.25">
      <c r="A9" s="33" t="s">
        <v>33</v>
      </c>
      <c r="B9" s="69">
        <v>2</v>
      </c>
      <c r="C9" s="43" t="s">
        <v>30</v>
      </c>
      <c r="D9" s="31"/>
    </row>
    <row r="10" spans="1:4" x14ac:dyDescent="0.25">
      <c r="A10" s="33" t="s">
        <v>34</v>
      </c>
      <c r="B10" s="71">
        <v>7.0000000000000007E-2</v>
      </c>
      <c r="C10" s="43" t="s">
        <v>35</v>
      </c>
      <c r="D10" s="31"/>
    </row>
    <row r="11" spans="1:4" ht="15" customHeight="1" x14ac:dyDescent="0.25">
      <c r="A11" s="33" t="s">
        <v>36</v>
      </c>
      <c r="B11" s="70">
        <v>1200</v>
      </c>
      <c r="C11" s="43" t="s">
        <v>37</v>
      </c>
      <c r="D11" s="31"/>
    </row>
    <row r="12" spans="1:4" ht="15" customHeight="1" x14ac:dyDescent="0.25">
      <c r="A12" s="33" t="s">
        <v>38</v>
      </c>
      <c r="B12" s="70">
        <v>1100</v>
      </c>
      <c r="C12" s="43" t="s">
        <v>37</v>
      </c>
      <c r="D12" s="31"/>
    </row>
    <row r="13" spans="1:4" ht="15" customHeight="1" x14ac:dyDescent="0.25">
      <c r="A13" s="33" t="s">
        <v>39</v>
      </c>
      <c r="B13" s="70">
        <v>600</v>
      </c>
      <c r="C13" s="43" t="s">
        <v>37</v>
      </c>
      <c r="D13" s="31"/>
    </row>
    <row r="14" spans="1:4" ht="15" customHeight="1" x14ac:dyDescent="0.25">
      <c r="A14" s="33" t="s">
        <v>40</v>
      </c>
      <c r="B14" s="70">
        <v>400</v>
      </c>
      <c r="C14" s="43" t="s">
        <v>41</v>
      </c>
      <c r="D14" s="31"/>
    </row>
    <row r="15" spans="1:4" ht="15" customHeight="1" x14ac:dyDescent="0.25">
      <c r="A15" s="33" t="s">
        <v>42</v>
      </c>
      <c r="B15" s="71">
        <v>1</v>
      </c>
      <c r="C15" s="43" t="s">
        <v>43</v>
      </c>
      <c r="D15" s="31"/>
    </row>
    <row r="16" spans="1:4" ht="15" customHeight="1" x14ac:dyDescent="0.25">
      <c r="A16" s="33" t="s">
        <v>44</v>
      </c>
      <c r="B16" s="70">
        <v>200</v>
      </c>
      <c r="C16" s="43" t="s">
        <v>45</v>
      </c>
      <c r="D16" s="31"/>
    </row>
    <row r="17" spans="1:4" ht="15" customHeight="1" x14ac:dyDescent="0.25">
      <c r="A17" s="33" t="s">
        <v>46</v>
      </c>
      <c r="B17" s="70">
        <v>800</v>
      </c>
      <c r="C17" s="43" t="s">
        <v>47</v>
      </c>
      <c r="D17" s="31"/>
    </row>
    <row r="18" spans="1:4" ht="15" customHeight="1" x14ac:dyDescent="0.25">
      <c r="B18" s="16"/>
    </row>
    <row r="19" spans="1:4" ht="15" customHeight="1" x14ac:dyDescent="0.25">
      <c r="B19" s="16"/>
    </row>
    <row r="20" spans="1:4" ht="15" customHeight="1" x14ac:dyDescent="0.25">
      <c r="B20" s="16"/>
    </row>
    <row r="21" spans="1:4" ht="15" customHeight="1" x14ac:dyDescent="0.25">
      <c r="B21" s="16"/>
    </row>
    <row r="22" spans="1:4" ht="15" customHeight="1" x14ac:dyDescent="0.25">
      <c r="B22" s="16"/>
    </row>
    <row r="23" spans="1:4" ht="15" customHeight="1" x14ac:dyDescent="0.25">
      <c r="B23" s="16"/>
    </row>
    <row r="24" spans="1:4" ht="15" customHeight="1" x14ac:dyDescent="0.25">
      <c r="B24" s="16"/>
    </row>
    <row r="25" spans="1:4" ht="15" customHeight="1" x14ac:dyDescent="0.25">
      <c r="B25" s="16"/>
    </row>
    <row r="26" spans="1:4" ht="15" customHeight="1" x14ac:dyDescent="0.25">
      <c r="B26" s="16"/>
    </row>
    <row r="27" spans="1:4" ht="15" customHeight="1" x14ac:dyDescent="0.25">
      <c r="B27" s="16"/>
    </row>
    <row r="28" spans="1:4" ht="15" customHeight="1" x14ac:dyDescent="0.25">
      <c r="B28" s="16"/>
    </row>
    <row r="29" spans="1:4" ht="15" customHeight="1" x14ac:dyDescent="0.25">
      <c r="B29" s="16"/>
    </row>
    <row r="30" spans="1:4" ht="15" customHeight="1" x14ac:dyDescent="0.25">
      <c r="B30" s="16"/>
    </row>
    <row r="31" spans="1:4" ht="15" customHeight="1" x14ac:dyDescent="0.25">
      <c r="B31" s="16"/>
    </row>
    <row r="32" spans="1:4" ht="15" customHeight="1" x14ac:dyDescent="0.25">
      <c r="B32" s="16"/>
    </row>
    <row r="33" spans="2:2" ht="15" customHeight="1" x14ac:dyDescent="0.25">
      <c r="B33" s="16"/>
    </row>
    <row r="34" spans="2:2" ht="15" customHeight="1" x14ac:dyDescent="0.25">
      <c r="B34" s="16"/>
    </row>
    <row r="35" spans="2:2" ht="15" customHeight="1" x14ac:dyDescent="0.25">
      <c r="B35" s="16"/>
    </row>
    <row r="36" spans="2:2" ht="15" customHeight="1" x14ac:dyDescent="0.25">
      <c r="B36" s="16"/>
    </row>
    <row r="37" spans="2:2" ht="15" customHeight="1" x14ac:dyDescent="0.25">
      <c r="B37" s="16"/>
    </row>
    <row r="38" spans="2:2" ht="15" customHeight="1" x14ac:dyDescent="0.25">
      <c r="B38" s="16"/>
    </row>
    <row r="39" spans="2:2" ht="15" customHeight="1" x14ac:dyDescent="0.25">
      <c r="B39" s="16"/>
    </row>
    <row r="40" spans="2:2" ht="15" customHeight="1" x14ac:dyDescent="0.25">
      <c r="B40" s="16"/>
    </row>
    <row r="41" spans="2:2" ht="15" customHeight="1" x14ac:dyDescent="0.25">
      <c r="B41" s="16"/>
    </row>
    <row r="42" spans="2:2" ht="15" customHeight="1" x14ac:dyDescent="0.25">
      <c r="B42" s="16"/>
    </row>
    <row r="43" spans="2:2" ht="15" customHeight="1" x14ac:dyDescent="0.25">
      <c r="B43" s="16"/>
    </row>
    <row r="44" spans="2:2" ht="15" customHeight="1" x14ac:dyDescent="0.25">
      <c r="B44" s="16"/>
    </row>
    <row r="45" spans="2:2" ht="15" customHeight="1" x14ac:dyDescent="0.25">
      <c r="B45" s="16"/>
    </row>
    <row r="46" spans="2:2" ht="15" customHeight="1" x14ac:dyDescent="0.25">
      <c r="B46" s="16"/>
    </row>
    <row r="47" spans="2:2" ht="15" customHeight="1" x14ac:dyDescent="0.25">
      <c r="B47" s="16"/>
    </row>
    <row r="48" spans="2:2" ht="15" customHeight="1" x14ac:dyDescent="0.25">
      <c r="B48" s="16"/>
    </row>
    <row r="49" spans="2:2" ht="15" customHeight="1" x14ac:dyDescent="0.25">
      <c r="B49" s="16"/>
    </row>
    <row r="50" spans="2:2" ht="15" customHeight="1" x14ac:dyDescent="0.25">
      <c r="B50" s="16"/>
    </row>
    <row r="51" spans="2:2" ht="15" customHeight="1" x14ac:dyDescent="0.25">
      <c r="B51" s="16"/>
    </row>
    <row r="52" spans="2:2" ht="15" customHeight="1" x14ac:dyDescent="0.25">
      <c r="B52" s="16"/>
    </row>
    <row r="53" spans="2:2" ht="15" customHeight="1" x14ac:dyDescent="0.25">
      <c r="B53" s="16"/>
    </row>
    <row r="54" spans="2:2" ht="15" customHeight="1" x14ac:dyDescent="0.25">
      <c r="B54" s="16"/>
    </row>
    <row r="55" spans="2:2" ht="15" customHeight="1" x14ac:dyDescent="0.25">
      <c r="B55" s="16"/>
    </row>
    <row r="56" spans="2:2" ht="15" customHeight="1" x14ac:dyDescent="0.25">
      <c r="B56" s="16"/>
    </row>
    <row r="57" spans="2:2" ht="15" customHeight="1" x14ac:dyDescent="0.25">
      <c r="B57" s="16"/>
    </row>
    <row r="58" spans="2:2" ht="15" customHeight="1" x14ac:dyDescent="0.25">
      <c r="B58" s="16"/>
    </row>
    <row r="59" spans="2:2" ht="15" customHeight="1" x14ac:dyDescent="0.25">
      <c r="B59" s="16"/>
    </row>
    <row r="60" spans="2:2" ht="15" customHeight="1" x14ac:dyDescent="0.25">
      <c r="B60" s="16"/>
    </row>
    <row r="61" spans="2:2" ht="15" customHeight="1" x14ac:dyDescent="0.25">
      <c r="B61" s="16"/>
    </row>
    <row r="62" spans="2:2" ht="15" customHeight="1" x14ac:dyDescent="0.25">
      <c r="B62" s="16"/>
    </row>
    <row r="63" spans="2:2" ht="15" customHeight="1" x14ac:dyDescent="0.25">
      <c r="B63" s="16"/>
    </row>
    <row r="64" spans="2:2" ht="15" customHeight="1" x14ac:dyDescent="0.25">
      <c r="B64" s="16"/>
    </row>
    <row r="65" spans="2:2" ht="15" customHeight="1" x14ac:dyDescent="0.25">
      <c r="B65" s="16"/>
    </row>
    <row r="66" spans="2:2" ht="15" customHeight="1" x14ac:dyDescent="0.25">
      <c r="B66" s="16"/>
    </row>
    <row r="67" spans="2:2" ht="15" customHeight="1" x14ac:dyDescent="0.25">
      <c r="B67" s="16"/>
    </row>
    <row r="68" spans="2:2" ht="15" customHeight="1" x14ac:dyDescent="0.25">
      <c r="B68" s="16"/>
    </row>
    <row r="69" spans="2:2" ht="15" customHeight="1" x14ac:dyDescent="0.25">
      <c r="B69" s="16"/>
    </row>
    <row r="70" spans="2:2" ht="15" customHeight="1" x14ac:dyDescent="0.25">
      <c r="B70" s="16"/>
    </row>
    <row r="71" spans="2:2" ht="15" customHeight="1" x14ac:dyDescent="0.25">
      <c r="B71" s="16"/>
    </row>
    <row r="72" spans="2:2" ht="15" customHeight="1" x14ac:dyDescent="0.25">
      <c r="B72" s="16"/>
    </row>
    <row r="73" spans="2:2" ht="15" customHeight="1" x14ac:dyDescent="0.25">
      <c r="B73" s="16"/>
    </row>
    <row r="74" spans="2:2" ht="15" customHeight="1" x14ac:dyDescent="0.25">
      <c r="B74" s="16"/>
    </row>
    <row r="75" spans="2:2" ht="15" customHeight="1" x14ac:dyDescent="0.25">
      <c r="B75" s="16"/>
    </row>
    <row r="76" spans="2:2" ht="15" customHeight="1" x14ac:dyDescent="0.25">
      <c r="B76" s="16"/>
    </row>
    <row r="77" spans="2:2" ht="15" customHeight="1" x14ac:dyDescent="0.25">
      <c r="B77" s="16"/>
    </row>
    <row r="78" spans="2:2" ht="15" customHeight="1" x14ac:dyDescent="0.25">
      <c r="B78" s="16"/>
    </row>
    <row r="79" spans="2:2" ht="15" customHeight="1" x14ac:dyDescent="0.25">
      <c r="B79" s="16"/>
    </row>
    <row r="80" spans="2:2" ht="15" customHeight="1" x14ac:dyDescent="0.25">
      <c r="B80" s="16"/>
    </row>
    <row r="81" spans="2:2" ht="15" customHeight="1" x14ac:dyDescent="0.25">
      <c r="B81" s="16"/>
    </row>
    <row r="82" spans="2:2" ht="15" customHeight="1" x14ac:dyDescent="0.25">
      <c r="B82" s="16"/>
    </row>
    <row r="83" spans="2:2" ht="15" customHeight="1" x14ac:dyDescent="0.25">
      <c r="B83" s="16"/>
    </row>
    <row r="84" spans="2:2" ht="15" customHeight="1" x14ac:dyDescent="0.25">
      <c r="B84" s="16"/>
    </row>
    <row r="85" spans="2:2" ht="15" customHeight="1" x14ac:dyDescent="0.25">
      <c r="B85" s="16"/>
    </row>
    <row r="86" spans="2:2" ht="15" customHeight="1" x14ac:dyDescent="0.25">
      <c r="B86" s="16"/>
    </row>
    <row r="87" spans="2:2" ht="15" customHeight="1" x14ac:dyDescent="0.25">
      <c r="B87" s="16"/>
    </row>
    <row r="88" spans="2:2" ht="15" customHeight="1" x14ac:dyDescent="0.25">
      <c r="B88" s="16"/>
    </row>
    <row r="89" spans="2:2" ht="15" customHeight="1" x14ac:dyDescent="0.25">
      <c r="B89" s="16"/>
    </row>
    <row r="90" spans="2:2" ht="15" customHeight="1" x14ac:dyDescent="0.25">
      <c r="B90" s="16"/>
    </row>
    <row r="91" spans="2:2" ht="15" customHeight="1" x14ac:dyDescent="0.25">
      <c r="B91" s="16"/>
    </row>
    <row r="92" spans="2:2" ht="15" customHeight="1" x14ac:dyDescent="0.25">
      <c r="B92" s="16"/>
    </row>
    <row r="93" spans="2:2" ht="15" customHeight="1" x14ac:dyDescent="0.25">
      <c r="B93" s="16"/>
    </row>
    <row r="94" spans="2:2" ht="15" customHeight="1" x14ac:dyDescent="0.25">
      <c r="B94" s="16"/>
    </row>
    <row r="95" spans="2:2" ht="15" customHeight="1" x14ac:dyDescent="0.25">
      <c r="B95" s="16"/>
    </row>
    <row r="96" spans="2:2" ht="15" customHeight="1" x14ac:dyDescent="0.25">
      <c r="B96" s="16"/>
    </row>
    <row r="97" spans="2:2" ht="15" customHeight="1" x14ac:dyDescent="0.25">
      <c r="B97" s="16"/>
    </row>
    <row r="98" spans="2:2" ht="15" customHeight="1" x14ac:dyDescent="0.25">
      <c r="B98" s="16"/>
    </row>
    <row r="99" spans="2:2" ht="15" customHeight="1" x14ac:dyDescent="0.25">
      <c r="B99" s="16"/>
    </row>
    <row r="100" spans="2:2" ht="15" customHeight="1" x14ac:dyDescent="0.25">
      <c r="B100" s="16"/>
    </row>
    <row r="101" spans="2:2" ht="15" customHeight="1" x14ac:dyDescent="0.25">
      <c r="B101" s="16"/>
    </row>
    <row r="102" spans="2:2" ht="15" customHeight="1" x14ac:dyDescent="0.25">
      <c r="B102" s="16"/>
    </row>
    <row r="103" spans="2:2" ht="15" customHeight="1" x14ac:dyDescent="0.25">
      <c r="B103" s="16"/>
    </row>
    <row r="104" spans="2:2" ht="15" customHeight="1" x14ac:dyDescent="0.25">
      <c r="B104" s="16"/>
    </row>
    <row r="105" spans="2:2" ht="15" customHeight="1" x14ac:dyDescent="0.25">
      <c r="B105" s="16"/>
    </row>
    <row r="106" spans="2:2" ht="15" customHeight="1" x14ac:dyDescent="0.25">
      <c r="B106" s="16"/>
    </row>
    <row r="107" spans="2:2" ht="15" customHeight="1" x14ac:dyDescent="0.25">
      <c r="B107" s="16"/>
    </row>
    <row r="108" spans="2:2" ht="15" customHeight="1" x14ac:dyDescent="0.25">
      <c r="B108" s="16"/>
    </row>
    <row r="109" spans="2:2" ht="15" customHeight="1" x14ac:dyDescent="0.25">
      <c r="B109" s="16"/>
    </row>
    <row r="110" spans="2:2" ht="15" customHeight="1" x14ac:dyDescent="0.25">
      <c r="B110" s="16"/>
    </row>
    <row r="111" spans="2:2" ht="15" customHeight="1" x14ac:dyDescent="0.25">
      <c r="B111" s="16"/>
    </row>
    <row r="112" spans="2:2" ht="15" customHeight="1" x14ac:dyDescent="0.25">
      <c r="B112" s="16"/>
    </row>
    <row r="113" spans="2:2" ht="15" customHeight="1" x14ac:dyDescent="0.25">
      <c r="B113" s="16"/>
    </row>
    <row r="114" spans="2:2" ht="15" customHeight="1" x14ac:dyDescent="0.25">
      <c r="B114" s="16"/>
    </row>
    <row r="115" spans="2:2" ht="15" customHeight="1" x14ac:dyDescent="0.25">
      <c r="B115" s="16"/>
    </row>
    <row r="116" spans="2:2" ht="15" customHeight="1" x14ac:dyDescent="0.25">
      <c r="B116" s="16"/>
    </row>
    <row r="117" spans="2:2" ht="15" customHeight="1" x14ac:dyDescent="0.25">
      <c r="B117" s="16"/>
    </row>
    <row r="118" spans="2:2" ht="15" customHeight="1" x14ac:dyDescent="0.25">
      <c r="B118" s="16"/>
    </row>
    <row r="119" spans="2:2" ht="15" customHeight="1" x14ac:dyDescent="0.25">
      <c r="B119" s="16"/>
    </row>
    <row r="120" spans="2:2" ht="15" customHeight="1" x14ac:dyDescent="0.25">
      <c r="B120" s="16"/>
    </row>
    <row r="121" spans="2:2" ht="15" customHeight="1" x14ac:dyDescent="0.25">
      <c r="B121" s="16"/>
    </row>
    <row r="122" spans="2:2" ht="15" customHeight="1" x14ac:dyDescent="0.25">
      <c r="B122" s="16"/>
    </row>
    <row r="123" spans="2:2" ht="15" customHeight="1" x14ac:dyDescent="0.25">
      <c r="B123" s="16"/>
    </row>
    <row r="124" spans="2:2" ht="15" customHeight="1" x14ac:dyDescent="0.25">
      <c r="B124" s="16"/>
    </row>
    <row r="125" spans="2:2" ht="15" customHeight="1" x14ac:dyDescent="0.25">
      <c r="B125" s="16"/>
    </row>
    <row r="126" spans="2:2" ht="15" customHeight="1" x14ac:dyDescent="0.25">
      <c r="B126" s="16"/>
    </row>
    <row r="127" spans="2:2" ht="15" customHeight="1" x14ac:dyDescent="0.25">
      <c r="B127" s="16"/>
    </row>
    <row r="128" spans="2:2" ht="15" customHeight="1" x14ac:dyDescent="0.25">
      <c r="B128" s="16"/>
    </row>
    <row r="129" spans="2:2" ht="15" customHeight="1" x14ac:dyDescent="0.25">
      <c r="B129" s="16"/>
    </row>
    <row r="130" spans="2:2" ht="15" customHeight="1" x14ac:dyDescent="0.25">
      <c r="B130" s="16"/>
    </row>
    <row r="131" spans="2:2" ht="15" customHeight="1" x14ac:dyDescent="0.25">
      <c r="B131" s="16"/>
    </row>
    <row r="132" spans="2:2" ht="15" customHeight="1" x14ac:dyDescent="0.25">
      <c r="B132" s="16"/>
    </row>
    <row r="133" spans="2:2" ht="15" customHeight="1" x14ac:dyDescent="0.25">
      <c r="B133" s="16"/>
    </row>
    <row r="134" spans="2:2" ht="15" customHeight="1" x14ac:dyDescent="0.25">
      <c r="B134" s="16"/>
    </row>
    <row r="135" spans="2:2" ht="15" customHeight="1" x14ac:dyDescent="0.25">
      <c r="B135" s="16"/>
    </row>
    <row r="136" spans="2:2" ht="15" customHeight="1" x14ac:dyDescent="0.25">
      <c r="B136" s="16"/>
    </row>
    <row r="137" spans="2:2" ht="15" customHeight="1" x14ac:dyDescent="0.25">
      <c r="B137" s="16"/>
    </row>
    <row r="138" spans="2:2" ht="15" customHeight="1" x14ac:dyDescent="0.25">
      <c r="B138" s="16"/>
    </row>
    <row r="139" spans="2:2" ht="15" customHeight="1" x14ac:dyDescent="0.25">
      <c r="B139" s="16"/>
    </row>
    <row r="140" spans="2:2" ht="15" customHeight="1" x14ac:dyDescent="0.25">
      <c r="B140" s="16"/>
    </row>
    <row r="141" spans="2:2" ht="15" customHeight="1" x14ac:dyDescent="0.25">
      <c r="B141" s="16"/>
    </row>
    <row r="142" spans="2:2" ht="15" customHeight="1" x14ac:dyDescent="0.25">
      <c r="B142" s="16"/>
    </row>
    <row r="143" spans="2:2" ht="15" customHeight="1" x14ac:dyDescent="0.25">
      <c r="B143" s="16"/>
    </row>
    <row r="144" spans="2:2" ht="15" customHeight="1" x14ac:dyDescent="0.25">
      <c r="B144" s="16"/>
    </row>
    <row r="145" spans="2:2" ht="15" customHeight="1" x14ac:dyDescent="0.25">
      <c r="B145" s="16"/>
    </row>
    <row r="146" spans="2:2" ht="15" customHeight="1" x14ac:dyDescent="0.25">
      <c r="B146" s="16"/>
    </row>
    <row r="147" spans="2:2" ht="15" customHeight="1" x14ac:dyDescent="0.25">
      <c r="B147" s="16"/>
    </row>
    <row r="148" spans="2:2" ht="15" customHeight="1" x14ac:dyDescent="0.25">
      <c r="B148" s="16"/>
    </row>
    <row r="149" spans="2:2" ht="15" customHeight="1" x14ac:dyDescent="0.25">
      <c r="B149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showGridLines="0" workbookViewId="0">
      <selection activeCell="C4" sqref="C4:C12"/>
    </sheetView>
  </sheetViews>
  <sheetFormatPr defaultRowHeight="15" x14ac:dyDescent="0.25"/>
  <cols>
    <col min="1" max="1" width="12" customWidth="1"/>
    <col min="2" max="2" width="95" customWidth="1"/>
    <col min="3" max="3" width="22" customWidth="1"/>
  </cols>
  <sheetData>
    <row r="1" spans="1:3" ht="31.5" x14ac:dyDescent="0.25">
      <c r="A1" s="44" t="s">
        <v>48</v>
      </c>
    </row>
    <row r="3" spans="1:3" x14ac:dyDescent="0.25">
      <c r="A3" s="36" t="s">
        <v>49</v>
      </c>
      <c r="B3" s="36" t="s">
        <v>50</v>
      </c>
      <c r="C3" s="36" t="s">
        <v>51</v>
      </c>
    </row>
    <row r="4" spans="1:3" ht="30" x14ac:dyDescent="0.25">
      <c r="A4" s="55" t="s">
        <v>52</v>
      </c>
      <c r="B4" s="19" t="s">
        <v>53</v>
      </c>
      <c r="C4" s="19" t="s">
        <v>54</v>
      </c>
    </row>
    <row r="5" spans="1:3" ht="30" x14ac:dyDescent="0.25">
      <c r="A5" s="55" t="str">
        <f>IF(Inputs!B14&lt;&gt;"","No","Yes")</f>
        <v>Yes</v>
      </c>
      <c r="B5" s="19" t="s">
        <v>55</v>
      </c>
      <c r="C5" s="19" t="s">
        <v>11</v>
      </c>
    </row>
    <row r="6" spans="1:3" ht="30" x14ac:dyDescent="0.25">
      <c r="A6" s="55" t="str">
        <f>IF(Inputs!B15&lt;&gt;"","No","Yes")</f>
        <v>Yes</v>
      </c>
      <c r="B6" s="19" t="s">
        <v>56</v>
      </c>
      <c r="C6" s="19" t="s">
        <v>12</v>
      </c>
    </row>
    <row r="7" spans="1:3" ht="30" x14ac:dyDescent="0.25">
      <c r="A7" s="55" t="str">
        <f>IF(Inputs!B16&lt;&gt;"","No","Yes")</f>
        <v>Yes</v>
      </c>
      <c r="B7" s="19" t="s">
        <v>57</v>
      </c>
      <c r="C7" s="19" t="s">
        <v>13</v>
      </c>
    </row>
    <row r="8" spans="1:3" ht="30" x14ac:dyDescent="0.25">
      <c r="A8" s="55" t="str">
        <f>IF(Inputs!B17&lt;&gt;"","No","Yes")</f>
        <v>Yes</v>
      </c>
      <c r="B8" s="19" t="s">
        <v>58</v>
      </c>
      <c r="C8" s="19" t="s">
        <v>59</v>
      </c>
    </row>
    <row r="9" spans="1:3" ht="30" x14ac:dyDescent="0.25">
      <c r="A9" s="55" t="str">
        <f>IF(OR(Inputs!B18&lt;&gt;"",_Calc!B10&gt;0),"Yes","No")</f>
        <v>Yes</v>
      </c>
      <c r="B9" s="19" t="s">
        <v>60</v>
      </c>
      <c r="C9" s="19" t="s">
        <v>61</v>
      </c>
    </row>
    <row r="10" spans="1:3" ht="30" x14ac:dyDescent="0.25">
      <c r="A10" s="55" t="str">
        <f>IF(AND(Inputs!B18="",_Calc!B10&gt;0),"Yes","No")</f>
        <v>No</v>
      </c>
      <c r="B10" s="19" t="s">
        <v>62</v>
      </c>
      <c r="C10" s="19" t="s">
        <v>61</v>
      </c>
    </row>
    <row r="11" spans="1:3" ht="30" x14ac:dyDescent="0.25">
      <c r="A11" s="55" t="str">
        <f>IF(Inputs!B19&lt;&gt;"","No","Yes")</f>
        <v>Yes</v>
      </c>
      <c r="B11" s="19" t="s">
        <v>63</v>
      </c>
      <c r="C11" s="19" t="s">
        <v>64</v>
      </c>
    </row>
    <row r="12" spans="1:3" ht="30" x14ac:dyDescent="0.25">
      <c r="A12" s="55" t="str">
        <f>IF((IF(_Calc!D32&lt;&gt;1,1,0)+IF(_Calc!D33&lt;&gt;1,1,0)+IF(_Calc!D34&lt;&gt;1,1,0)+IF(_Calc!D35&lt;&gt;1,1,0)+IF(_Calc!D36&lt;&gt;1,1,0)+IF(_Calc!D37&lt;&gt;1,1,0))&gt;=3,"Yes","No")</f>
        <v>Yes</v>
      </c>
      <c r="B12" s="19" t="s">
        <v>65</v>
      </c>
      <c r="C12" s="19" t="s">
        <v>66</v>
      </c>
    </row>
  </sheetData>
  <dataValidations count="1">
    <dataValidation type="list" sqref="A4 A5 A6 A7 A8 A9 A10 A11 A12" xr:uid="{00000000-0002-0000-0200-000000000000}">
      <formula1>"Yes,No,Unknown"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5"/>
  <sheetViews>
    <sheetView showGridLines="0" workbookViewId="0">
      <pane ySplit="4" topLeftCell="A5" activePane="bottomLeft" state="frozen"/>
      <selection pane="bottomLeft" activeCell="B32" sqref="B32"/>
    </sheetView>
  </sheetViews>
  <sheetFormatPr defaultRowHeight="15" x14ac:dyDescent="0.25"/>
  <cols>
    <col min="1" max="1" width="34" customWidth="1"/>
    <col min="2" max="2" width="18" customWidth="1"/>
    <col min="3" max="3" width="64" customWidth="1"/>
  </cols>
  <sheetData>
    <row r="1" spans="1:3" ht="30" customHeight="1" x14ac:dyDescent="0.25">
      <c r="A1" s="32" t="s">
        <v>151</v>
      </c>
      <c r="B1" s="31"/>
      <c r="C1" s="31"/>
    </row>
    <row r="2" spans="1:3" ht="30" customHeight="1" x14ac:dyDescent="0.25">
      <c r="A2" s="34" t="s">
        <v>152</v>
      </c>
      <c r="B2" s="31"/>
      <c r="C2" s="31"/>
    </row>
    <row r="3" spans="1:3" ht="15" customHeight="1" x14ac:dyDescent="0.25">
      <c r="A3" s="35" t="s">
        <v>153</v>
      </c>
      <c r="B3" s="35"/>
      <c r="C3" s="35"/>
    </row>
    <row r="4" spans="1:3" ht="15" customHeight="1" x14ac:dyDescent="0.25">
      <c r="A4" s="36" t="s">
        <v>136</v>
      </c>
      <c r="B4" s="36" t="s">
        <v>49</v>
      </c>
      <c r="C4" s="36" t="s">
        <v>24</v>
      </c>
    </row>
    <row r="5" spans="1:3" ht="15" customHeight="1" x14ac:dyDescent="0.25">
      <c r="A5" s="37" t="s">
        <v>137</v>
      </c>
      <c r="B5" s="66" t="s">
        <v>52</v>
      </c>
      <c r="C5" s="60" t="s">
        <v>629</v>
      </c>
    </row>
    <row r="6" spans="1:3" ht="15" customHeight="1" x14ac:dyDescent="0.25">
      <c r="A6" s="37" t="s">
        <v>138</v>
      </c>
      <c r="B6" s="66" t="s">
        <v>167</v>
      </c>
      <c r="C6" s="37"/>
    </row>
    <row r="7" spans="1:3" ht="15" customHeight="1" x14ac:dyDescent="0.25">
      <c r="A7" s="37" t="s">
        <v>139</v>
      </c>
      <c r="B7" s="66" t="s">
        <v>52</v>
      </c>
      <c r="C7" s="60" t="s">
        <v>139</v>
      </c>
    </row>
    <row r="8" spans="1:3" ht="15" customHeight="1" x14ac:dyDescent="0.25">
      <c r="A8" s="37" t="s">
        <v>140</v>
      </c>
      <c r="B8" s="66" t="s">
        <v>167</v>
      </c>
      <c r="C8" s="37"/>
    </row>
    <row r="9" spans="1:3" ht="15" customHeight="1" x14ac:dyDescent="0.25">
      <c r="A9" s="37" t="s">
        <v>141</v>
      </c>
      <c r="B9" s="66" t="s">
        <v>167</v>
      </c>
      <c r="C9" s="37"/>
    </row>
    <row r="10" spans="1:3" ht="15" customHeight="1" x14ac:dyDescent="0.25">
      <c r="A10" s="31"/>
      <c r="B10" s="31"/>
      <c r="C10" s="31"/>
    </row>
    <row r="11" spans="1:3" ht="15" customHeight="1" x14ac:dyDescent="0.25">
      <c r="A11" s="35" t="s">
        <v>154</v>
      </c>
      <c r="B11" s="35"/>
      <c r="C11" s="35"/>
    </row>
    <row r="12" spans="1:3" ht="15" customHeight="1" x14ac:dyDescent="0.25">
      <c r="A12" s="36" t="s">
        <v>143</v>
      </c>
      <c r="B12" s="36" t="s">
        <v>49</v>
      </c>
      <c r="C12" s="36" t="s">
        <v>24</v>
      </c>
    </row>
    <row r="13" spans="1:3" ht="15" customHeight="1" x14ac:dyDescent="0.25">
      <c r="A13" s="37" t="s">
        <v>144</v>
      </c>
      <c r="B13" s="66" t="s">
        <v>18</v>
      </c>
      <c r="C13" s="37"/>
    </row>
    <row r="14" spans="1:3" ht="15" customHeight="1" x14ac:dyDescent="0.25">
      <c r="A14" s="37" t="s">
        <v>145</v>
      </c>
      <c r="B14" s="66" t="s">
        <v>18</v>
      </c>
      <c r="C14" s="37"/>
    </row>
    <row r="15" spans="1:3" ht="15" customHeight="1" x14ac:dyDescent="0.25">
      <c r="A15" s="37" t="s">
        <v>146</v>
      </c>
      <c r="B15" s="66" t="s">
        <v>18</v>
      </c>
      <c r="C15" s="37"/>
    </row>
    <row r="16" spans="1:3" ht="15" customHeight="1" x14ac:dyDescent="0.25">
      <c r="A16" s="37" t="s">
        <v>147</v>
      </c>
      <c r="B16" s="66" t="s">
        <v>18</v>
      </c>
      <c r="C16" s="37"/>
    </row>
    <row r="17" spans="1:3" ht="15" customHeight="1" x14ac:dyDescent="0.25">
      <c r="A17" s="37" t="s">
        <v>148</v>
      </c>
      <c r="B17" s="66" t="s">
        <v>18</v>
      </c>
      <c r="C17" s="37"/>
    </row>
    <row r="18" spans="1:3" ht="15" customHeight="1" x14ac:dyDescent="0.25">
      <c r="A18" s="37" t="s">
        <v>149</v>
      </c>
      <c r="B18" s="66" t="s">
        <v>18</v>
      </c>
      <c r="C18" s="37"/>
    </row>
    <row r="19" spans="1:3" ht="15" customHeight="1" x14ac:dyDescent="0.25">
      <c r="A19" s="31"/>
      <c r="B19" s="31"/>
      <c r="C19" s="31"/>
    </row>
    <row r="20" spans="1:3" ht="15" customHeight="1" x14ac:dyDescent="0.25">
      <c r="A20" s="31"/>
      <c r="B20" s="31"/>
      <c r="C20" s="31"/>
    </row>
    <row r="21" spans="1:3" ht="15" customHeight="1" x14ac:dyDescent="0.25">
      <c r="A21" s="36" t="s">
        <v>155</v>
      </c>
      <c r="B21" s="36"/>
      <c r="C21" s="36"/>
    </row>
    <row r="22" spans="1:3" ht="15" customHeight="1" x14ac:dyDescent="0.25">
      <c r="A22" s="37" t="s">
        <v>156</v>
      </c>
      <c r="B22" s="37" t="str">
        <f>IF(OR(B6="Yes",B7="Yes"),"Present","Not Identified")</f>
        <v>Present</v>
      </c>
      <c r="C22" s="37" t="s">
        <v>157</v>
      </c>
    </row>
    <row r="23" spans="1:3" x14ac:dyDescent="0.25">
      <c r="A23" s="41"/>
      <c r="B23" s="41"/>
      <c r="C23" s="41"/>
    </row>
    <row r="24" spans="1:3" ht="15" customHeight="1" x14ac:dyDescent="0.25">
      <c r="A24" s="31"/>
      <c r="B24" s="31"/>
      <c r="C24" s="31"/>
    </row>
    <row r="25" spans="1:3" ht="15" customHeight="1" x14ac:dyDescent="0.25">
      <c r="A25" s="31"/>
      <c r="B25" s="31"/>
      <c r="C25" s="31"/>
    </row>
  </sheetData>
  <dataValidations disablePrompts="1" count="1">
    <dataValidation type="list" sqref="B5 B6 B7 B8 B9 B13 B14 B15 B16 B17 B18" xr:uid="{00000000-0002-0000-0800-000000000000}">
      <formula1>"Yes,No,Unknown"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showGridLines="0" workbookViewId="0">
      <selection activeCell="A24" sqref="A24"/>
    </sheetView>
  </sheetViews>
  <sheetFormatPr defaultRowHeight="15" x14ac:dyDescent="0.25"/>
  <cols>
    <col min="1" max="1" width="44" customWidth="1"/>
    <col min="2" max="2" width="20" customWidth="1"/>
    <col min="3" max="3" width="22.85546875" customWidth="1"/>
    <col min="4" max="4" width="52.140625" customWidth="1"/>
  </cols>
  <sheetData>
    <row r="1" spans="1:4" ht="31.5" x14ac:dyDescent="0.25">
      <c r="A1" s="44" t="s">
        <v>160</v>
      </c>
    </row>
    <row r="3" spans="1:4" ht="18.75" x14ac:dyDescent="0.25">
      <c r="A3" s="54" t="s">
        <v>67</v>
      </c>
      <c r="B3" s="38">
        <f>_Calc!B41</f>
        <v>2556586.666666667</v>
      </c>
    </row>
    <row r="4" spans="1:4" ht="18.75" x14ac:dyDescent="0.25">
      <c r="A4" s="54" t="s">
        <v>68</v>
      </c>
      <c r="B4" s="38">
        <f>_Calc!B42</f>
        <v>1278.2933333333335</v>
      </c>
    </row>
    <row r="6" spans="1:4" x14ac:dyDescent="0.25">
      <c r="A6" s="29" t="s">
        <v>69</v>
      </c>
      <c r="B6" s="29" t="s">
        <v>70</v>
      </c>
      <c r="C6" s="29" t="s">
        <v>51</v>
      </c>
      <c r="D6" s="29" t="s">
        <v>71</v>
      </c>
    </row>
    <row r="7" spans="1:4" x14ac:dyDescent="0.25">
      <c r="A7" s="5" t="s">
        <v>11</v>
      </c>
      <c r="B7" s="10">
        <f>_Calc!B32</f>
        <v>733333.33333333337</v>
      </c>
      <c r="C7" s="5" t="str">
        <f>_Calc!C32</f>
        <v>Derived</v>
      </c>
      <c r="D7" s="5" t="str">
        <f>_Calc!E32</f>
        <v>Derived from device counts + assumptions</v>
      </c>
    </row>
    <row r="8" spans="1:4" x14ac:dyDescent="0.25">
      <c r="A8" s="5" t="s">
        <v>12</v>
      </c>
      <c r="B8" s="10">
        <f>_Calc!B33</f>
        <v>160000</v>
      </c>
      <c r="C8" s="5" t="str">
        <f>_Calc!C33</f>
        <v>Derived</v>
      </c>
      <c r="D8" s="5" t="str">
        <f>_Calc!E33</f>
        <v>Derived from endpoint counts + assumptions</v>
      </c>
    </row>
    <row r="9" spans="1:4" x14ac:dyDescent="0.25">
      <c r="A9" s="5" t="s">
        <v>13</v>
      </c>
      <c r="B9" s="10">
        <f>_Calc!B34</f>
        <v>800000</v>
      </c>
      <c r="C9" s="5" t="str">
        <f>_Calc!C34</f>
        <v>Derived</v>
      </c>
      <c r="D9" s="5" t="str">
        <f>_Calc!E34</f>
        <v>Derived from user count + assumptions</v>
      </c>
    </row>
    <row r="10" spans="1:4" x14ac:dyDescent="0.25">
      <c r="A10" s="5" t="s">
        <v>14</v>
      </c>
      <c r="B10" s="10">
        <f>_Calc!B35</f>
        <v>440000</v>
      </c>
      <c r="C10" s="5" t="str">
        <f>_Calc!C35</f>
        <v>Derived</v>
      </c>
      <c r="D10" s="5" t="str">
        <f>_Calc!E35</f>
        <v>Derived from endpoint counts + assumptions</v>
      </c>
    </row>
    <row r="11" spans="1:4" x14ac:dyDescent="0.25">
      <c r="A11" s="5" t="s">
        <v>15</v>
      </c>
      <c r="B11" s="10">
        <f>_Calc!B36</f>
        <v>256000</v>
      </c>
      <c r="C11" s="5" t="str">
        <f>_Calc!C36</f>
        <v>Input</v>
      </c>
      <c r="D11" s="5" t="str">
        <f>_Calc!E36</f>
        <v>Customer roll-up provided</v>
      </c>
    </row>
    <row r="12" spans="1:4" x14ac:dyDescent="0.25">
      <c r="A12" s="5" t="s">
        <v>16</v>
      </c>
      <c r="B12" s="10">
        <f>_Calc!B37</f>
        <v>167253.33333333337</v>
      </c>
      <c r="C12" s="5" t="str">
        <f>_Calc!C37</f>
        <v>Derived</v>
      </c>
      <c r="D12" s="5" t="str">
        <f>_Calc!E37</f>
        <v>Derived as % of subtotal (assumption-driven)</v>
      </c>
    </row>
    <row r="15" spans="1:4" x14ac:dyDescent="0.25">
      <c r="A15" s="29" t="s">
        <v>72</v>
      </c>
      <c r="B15" s="29"/>
    </row>
    <row r="16" spans="1:4" x14ac:dyDescent="0.25">
      <c r="A16" s="28" t="s">
        <v>73</v>
      </c>
      <c r="B16" s="57">
        <f>_Calc!B47</f>
        <v>1150.2933333333335</v>
      </c>
    </row>
    <row r="17" spans="1:2" x14ac:dyDescent="0.25">
      <c r="A17" s="28" t="s">
        <v>74</v>
      </c>
      <c r="B17" s="57">
        <f>_Calc!B48</f>
        <v>1320.9600000000003</v>
      </c>
    </row>
    <row r="18" spans="1:2" x14ac:dyDescent="0.25">
      <c r="A18" s="28" t="s">
        <v>75</v>
      </c>
      <c r="B18" s="57">
        <f>_Calc!B45</f>
        <v>170.66666666666666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"/>
  <sheetViews>
    <sheetView showGridLines="0" workbookViewId="0">
      <selection activeCell="A42" sqref="A42"/>
    </sheetView>
  </sheetViews>
  <sheetFormatPr defaultRowHeight="15" x14ac:dyDescent="0.25"/>
  <cols>
    <col min="1" max="1" width="42" customWidth="1"/>
    <col min="2" max="2" width="22" customWidth="1"/>
    <col min="3" max="3" width="2" customWidth="1"/>
    <col min="4" max="4" width="36" customWidth="1"/>
    <col min="5" max="5" width="18" customWidth="1"/>
    <col min="6" max="6" width="2" customWidth="1"/>
  </cols>
  <sheetData>
    <row r="1" spans="1:2" ht="31.5" x14ac:dyDescent="0.25">
      <c r="A1" s="53" t="s">
        <v>76</v>
      </c>
    </row>
    <row r="3" spans="1:2" x14ac:dyDescent="0.25">
      <c r="A3" s="20" t="s">
        <v>67</v>
      </c>
      <c r="B3" s="21">
        <f>Summary!B3</f>
        <v>2556586.666666667</v>
      </c>
    </row>
    <row r="4" spans="1:2" x14ac:dyDescent="0.25">
      <c r="A4" s="20" t="s">
        <v>68</v>
      </c>
      <c r="B4" s="21">
        <f>Summary!B4</f>
        <v>1278.2933333333335</v>
      </c>
    </row>
    <row r="6" spans="1:2" x14ac:dyDescent="0.25">
      <c r="A6" s="22" t="s">
        <v>69</v>
      </c>
      <c r="B6" s="22" t="s">
        <v>70</v>
      </c>
    </row>
    <row r="7" spans="1:2" x14ac:dyDescent="0.25">
      <c r="A7" s="23" t="s">
        <v>11</v>
      </c>
      <c r="B7" s="24">
        <f>Summary!B7</f>
        <v>733333.33333333337</v>
      </c>
    </row>
    <row r="8" spans="1:2" x14ac:dyDescent="0.25">
      <c r="A8" s="23" t="s">
        <v>12</v>
      </c>
      <c r="B8" s="24">
        <f>Summary!B8</f>
        <v>160000</v>
      </c>
    </row>
    <row r="9" spans="1:2" x14ac:dyDescent="0.25">
      <c r="A9" s="23" t="s">
        <v>13</v>
      </c>
      <c r="B9" s="24">
        <f>Summary!B9</f>
        <v>800000</v>
      </c>
    </row>
    <row r="10" spans="1:2" x14ac:dyDescent="0.25">
      <c r="A10" s="23" t="s">
        <v>14</v>
      </c>
      <c r="B10" s="24">
        <f>Summary!B10</f>
        <v>440000</v>
      </c>
    </row>
    <row r="11" spans="1:2" x14ac:dyDescent="0.25">
      <c r="A11" s="23" t="s">
        <v>15</v>
      </c>
      <c r="B11" s="24">
        <f>Summary!B11</f>
        <v>256000</v>
      </c>
    </row>
    <row r="12" spans="1:2" x14ac:dyDescent="0.25">
      <c r="A12" s="23" t="s">
        <v>16</v>
      </c>
      <c r="B12" s="24">
        <f>Summary!B12</f>
        <v>167253.33333333337</v>
      </c>
    </row>
    <row r="15" spans="1:2" x14ac:dyDescent="0.25">
      <c r="A15" s="22" t="s">
        <v>77</v>
      </c>
      <c r="B15" s="22"/>
    </row>
    <row r="16" spans="1:2" x14ac:dyDescent="0.25">
      <c r="A16" s="23" t="s">
        <v>73</v>
      </c>
      <c r="B16" s="24">
        <f>Summary!B16</f>
        <v>1150.2933333333335</v>
      </c>
    </row>
    <row r="17" spans="1:2" x14ac:dyDescent="0.25">
      <c r="A17" s="23" t="s">
        <v>74</v>
      </c>
      <c r="B17" s="24">
        <f>Summary!B17</f>
        <v>1320.9600000000003</v>
      </c>
    </row>
    <row r="18" spans="1:2" x14ac:dyDescent="0.25">
      <c r="A18" s="23" t="s">
        <v>75</v>
      </c>
      <c r="B18" s="24">
        <f>Summary!B18</f>
        <v>170.66666666666666</v>
      </c>
    </row>
    <row r="22" spans="1:2" x14ac:dyDescent="0.25">
      <c r="A22" s="40" t="s">
        <v>78</v>
      </c>
      <c r="B22" s="40"/>
    </row>
    <row r="23" spans="1:2" x14ac:dyDescent="0.25">
      <c r="A23" s="41" t="s">
        <v>11</v>
      </c>
      <c r="B23" s="42">
        <f>Summary!B7</f>
        <v>733333.33333333337</v>
      </c>
    </row>
    <row r="24" spans="1:2" x14ac:dyDescent="0.25">
      <c r="A24" s="41" t="s">
        <v>12</v>
      </c>
      <c r="B24" s="42">
        <f>Summary!B8</f>
        <v>160000</v>
      </c>
    </row>
    <row r="25" spans="1:2" x14ac:dyDescent="0.25">
      <c r="A25" s="41" t="s">
        <v>13</v>
      </c>
      <c r="B25" s="42">
        <f>Summary!B9</f>
        <v>800000</v>
      </c>
    </row>
    <row r="26" spans="1:2" x14ac:dyDescent="0.25">
      <c r="A26" s="41" t="s">
        <v>14</v>
      </c>
      <c r="B26" s="42">
        <f>Summary!B10</f>
        <v>440000</v>
      </c>
    </row>
    <row r="27" spans="1:2" x14ac:dyDescent="0.25">
      <c r="A27" s="41" t="s">
        <v>15</v>
      </c>
      <c r="B27" s="42">
        <f>Summary!B11</f>
        <v>256000</v>
      </c>
    </row>
    <row r="28" spans="1:2" x14ac:dyDescent="0.25">
      <c r="A28" s="41" t="s">
        <v>16</v>
      </c>
      <c r="B28" s="42">
        <f>Summary!B12</f>
        <v>167253.33333333337</v>
      </c>
    </row>
    <row r="31" spans="1:2" ht="15.75" x14ac:dyDescent="0.25">
      <c r="A31" s="25" t="s">
        <v>79</v>
      </c>
    </row>
    <row r="32" spans="1:2" x14ac:dyDescent="0.25">
      <c r="A32" s="22" t="s">
        <v>51</v>
      </c>
      <c r="B32" s="22" t="s">
        <v>70</v>
      </c>
    </row>
    <row r="33" spans="1:2" x14ac:dyDescent="0.25">
      <c r="A33" s="26" t="s">
        <v>80</v>
      </c>
      <c r="B33" s="27">
        <f>SUMIF(_Calc!$C$32:$C$37,"Derived",_Calc!$B$32:$B$37)</f>
        <v>2300586.666666667</v>
      </c>
    </row>
    <row r="34" spans="1:2" x14ac:dyDescent="0.25">
      <c r="A34" s="26" t="s">
        <v>81</v>
      </c>
      <c r="B34" s="27">
        <f>SUMIF(_Calc!$C$32:$C$37,"Assumption",_Calc!$B$32:$B$37)</f>
        <v>0</v>
      </c>
    </row>
    <row r="35" spans="1:2" x14ac:dyDescent="0.25">
      <c r="A35" s="26"/>
      <c r="B35" s="26"/>
    </row>
  </sheetData>
  <pageMargins left="0.75" right="0.75" top="1" bottom="1" header="0.5" footer="0.5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6"/>
  <sheetViews>
    <sheetView showGridLines="0" workbookViewId="0">
      <selection activeCell="C28" sqref="C28"/>
    </sheetView>
  </sheetViews>
  <sheetFormatPr defaultRowHeight="15" x14ac:dyDescent="0.25"/>
  <cols>
    <col min="1" max="1" width="40.42578125" customWidth="1"/>
    <col min="2" max="2" width="22" customWidth="1"/>
    <col min="3" max="3" width="31.7109375" customWidth="1"/>
  </cols>
  <sheetData>
    <row r="1" spans="1:2" ht="31.5" x14ac:dyDescent="0.25">
      <c r="A1" s="44" t="s">
        <v>125</v>
      </c>
    </row>
    <row r="3" spans="1:2" ht="15.75" x14ac:dyDescent="0.25">
      <c r="A3" s="39" t="s">
        <v>126</v>
      </c>
    </row>
    <row r="4" spans="1:2" x14ac:dyDescent="0.25">
      <c r="A4" s="29" t="s">
        <v>127</v>
      </c>
      <c r="B4" s="29" t="s">
        <v>128</v>
      </c>
    </row>
    <row r="5" spans="1:2" x14ac:dyDescent="0.25">
      <c r="A5" s="23" t="s">
        <v>129</v>
      </c>
      <c r="B5" s="62">
        <f>_Calc!B4</f>
        <v>1500</v>
      </c>
    </row>
    <row r="6" spans="1:2" x14ac:dyDescent="0.25">
      <c r="A6" s="23" t="s">
        <v>130</v>
      </c>
      <c r="B6" s="23">
        <f>_Calc!B5</f>
        <v>200</v>
      </c>
    </row>
    <row r="7" spans="1:2" ht="15.75" thickBot="1" x14ac:dyDescent="0.3">
      <c r="A7" s="23" t="s">
        <v>131</v>
      </c>
      <c r="B7" s="63">
        <f>_Calc!B6</f>
        <v>500</v>
      </c>
    </row>
    <row r="8" spans="1:2" ht="15.75" thickTop="1" x14ac:dyDescent="0.25">
      <c r="A8" s="64" t="s">
        <v>168</v>
      </c>
      <c r="B8" s="65">
        <f>SUM(B5:B7)</f>
        <v>2200</v>
      </c>
    </row>
    <row r="12" spans="1:2" ht="15.75" x14ac:dyDescent="0.25">
      <c r="A12" s="39" t="s">
        <v>132</v>
      </c>
    </row>
    <row r="13" spans="1:2" x14ac:dyDescent="0.25">
      <c r="A13" s="29" t="s">
        <v>69</v>
      </c>
      <c r="B13" s="29" t="s">
        <v>133</v>
      </c>
    </row>
    <row r="14" spans="1:2" x14ac:dyDescent="0.25">
      <c r="A14" s="23" t="s">
        <v>11</v>
      </c>
      <c r="B14" s="24">
        <f>IF(_Calc!B3&gt;0,Summary!B7/_Calc!B3,"")</f>
        <v>366.66666666666669</v>
      </c>
    </row>
    <row r="15" spans="1:2" x14ac:dyDescent="0.25">
      <c r="A15" s="23" t="s">
        <v>12</v>
      </c>
      <c r="B15" s="24">
        <f>IF(_Calc!B3&gt;0,Summary!B8/_Calc!B3,"")</f>
        <v>80</v>
      </c>
    </row>
    <row r="16" spans="1:2" x14ac:dyDescent="0.25">
      <c r="A16" s="23" t="s">
        <v>13</v>
      </c>
      <c r="B16" s="24">
        <f>IF(_Calc!B3&gt;0,Summary!B9/_Calc!B3,"")</f>
        <v>400</v>
      </c>
    </row>
    <row r="17" spans="1:3" x14ac:dyDescent="0.25">
      <c r="A17" s="23" t="s">
        <v>14</v>
      </c>
      <c r="B17" s="24">
        <f>IF(_Calc!B3&gt;0,Summary!B10/_Calc!B3,"")</f>
        <v>220</v>
      </c>
    </row>
    <row r="18" spans="1:3" x14ac:dyDescent="0.25">
      <c r="A18" s="23" t="s">
        <v>15</v>
      </c>
      <c r="B18" s="24">
        <f>IF(_Calc!B3&gt;0,Summary!B11/_Calc!B3,"")</f>
        <v>128</v>
      </c>
    </row>
    <row r="19" spans="1:3" x14ac:dyDescent="0.25">
      <c r="A19" s="23" t="s">
        <v>16</v>
      </c>
      <c r="B19" s="24">
        <f>IF(_Calc!B3&gt;0,Summary!B12/_Calc!B3,"")</f>
        <v>83.626666666666679</v>
      </c>
    </row>
    <row r="23" spans="1:3" ht="31.5" x14ac:dyDescent="0.25">
      <c r="A23" s="44" t="s">
        <v>134</v>
      </c>
    </row>
    <row r="25" spans="1:3" ht="15.75" x14ac:dyDescent="0.25">
      <c r="A25" s="39" t="s">
        <v>135</v>
      </c>
    </row>
    <row r="26" spans="1:3" x14ac:dyDescent="0.25">
      <c r="A26" s="29" t="s">
        <v>136</v>
      </c>
      <c r="B26" s="29" t="s">
        <v>49</v>
      </c>
      <c r="C26" s="29" t="s">
        <v>24</v>
      </c>
    </row>
    <row r="27" spans="1:3" x14ac:dyDescent="0.25">
      <c r="A27" s="28" t="s">
        <v>137</v>
      </c>
      <c r="B27" s="61" t="str">
        <f>Informational_Inputs!B5</f>
        <v>Yes</v>
      </c>
      <c r="C27" s="61" t="str">
        <f>Informational_Inputs!C5</f>
        <v>Citrix LTSR version 2507</v>
      </c>
    </row>
    <row r="28" spans="1:3" x14ac:dyDescent="0.25">
      <c r="A28" s="28" t="s">
        <v>138</v>
      </c>
      <c r="B28" s="61" t="str">
        <f>Informational_Inputs!B6</f>
        <v>No</v>
      </c>
      <c r="C28" s="61">
        <f>Informational_Inputs!C6</f>
        <v>0</v>
      </c>
    </row>
    <row r="29" spans="1:3" x14ac:dyDescent="0.25">
      <c r="A29" s="28" t="s">
        <v>139</v>
      </c>
      <c r="B29" s="61" t="str">
        <f>Informational_Inputs!B7</f>
        <v>Yes</v>
      </c>
      <c r="C29" s="61" t="str">
        <f>Informational_Inputs!C7</f>
        <v>Windows 365</v>
      </c>
    </row>
    <row r="30" spans="1:3" x14ac:dyDescent="0.25">
      <c r="A30" s="28" t="s">
        <v>140</v>
      </c>
      <c r="B30" s="61" t="str">
        <f>Informational_Inputs!B8</f>
        <v>No</v>
      </c>
      <c r="C30" s="61">
        <f>Informational_Inputs!C8</f>
        <v>0</v>
      </c>
    </row>
    <row r="31" spans="1:3" x14ac:dyDescent="0.25">
      <c r="A31" s="28" t="s">
        <v>141</v>
      </c>
      <c r="B31" s="61" t="str">
        <f>Informational_Inputs!B9</f>
        <v>No</v>
      </c>
      <c r="C31" s="61">
        <f>Informational_Inputs!C9</f>
        <v>0</v>
      </c>
    </row>
    <row r="34" spans="1:3" ht="15.75" x14ac:dyDescent="0.25">
      <c r="A34" s="39" t="s">
        <v>142</v>
      </c>
    </row>
    <row r="35" spans="1:3" x14ac:dyDescent="0.25">
      <c r="A35" s="29" t="s">
        <v>143</v>
      </c>
      <c r="B35" s="29" t="s">
        <v>49</v>
      </c>
      <c r="C35" s="29" t="s">
        <v>24</v>
      </c>
    </row>
    <row r="36" spans="1:3" x14ac:dyDescent="0.25">
      <c r="A36" s="28" t="s">
        <v>144</v>
      </c>
      <c r="B36" s="61" t="str">
        <f>Informational_Inputs!B13</f>
        <v>Unknown</v>
      </c>
      <c r="C36" s="61">
        <f>Informational_Inputs!C13</f>
        <v>0</v>
      </c>
    </row>
    <row r="37" spans="1:3" x14ac:dyDescent="0.25">
      <c r="A37" s="28" t="s">
        <v>145</v>
      </c>
      <c r="B37" s="61" t="str">
        <f>Informational_Inputs!B14</f>
        <v>Unknown</v>
      </c>
      <c r="C37" s="61">
        <f>Informational_Inputs!C14</f>
        <v>0</v>
      </c>
    </row>
    <row r="38" spans="1:3" x14ac:dyDescent="0.25">
      <c r="A38" s="28" t="s">
        <v>146</v>
      </c>
      <c r="B38" s="61" t="str">
        <f>Informational_Inputs!B15</f>
        <v>Unknown</v>
      </c>
      <c r="C38" s="61">
        <f>Informational_Inputs!C15</f>
        <v>0</v>
      </c>
    </row>
    <row r="39" spans="1:3" x14ac:dyDescent="0.25">
      <c r="A39" s="28" t="s">
        <v>147</v>
      </c>
      <c r="B39" s="61" t="str">
        <f>Informational_Inputs!B16</f>
        <v>Unknown</v>
      </c>
      <c r="C39" s="61">
        <f>Informational_Inputs!C16</f>
        <v>0</v>
      </c>
    </row>
    <row r="40" spans="1:3" x14ac:dyDescent="0.25">
      <c r="A40" s="28" t="s">
        <v>148</v>
      </c>
      <c r="B40" s="61" t="str">
        <f>Informational_Inputs!B17</f>
        <v>Unknown</v>
      </c>
      <c r="C40" s="61">
        <f>Informational_Inputs!C17</f>
        <v>0</v>
      </c>
    </row>
    <row r="41" spans="1:3" x14ac:dyDescent="0.25">
      <c r="A41" s="28" t="s">
        <v>149</v>
      </c>
      <c r="B41" s="61" t="str">
        <f>Informational_Inputs!B18</f>
        <v>Unknown</v>
      </c>
      <c r="C41" s="61">
        <f>Informational_Inputs!C18</f>
        <v>0</v>
      </c>
    </row>
    <row r="44" spans="1:3" ht="15.75" x14ac:dyDescent="0.25">
      <c r="A44" s="39" t="s">
        <v>150</v>
      </c>
    </row>
    <row r="45" spans="1:3" x14ac:dyDescent="0.25">
      <c r="A45" s="29" t="s">
        <v>118</v>
      </c>
      <c r="B45" s="29" t="str">
        <f>Informational_Inputs!B22</f>
        <v>Present</v>
      </c>
      <c r="C45" s="45" t="s">
        <v>159</v>
      </c>
    </row>
    <row r="46" spans="1:3" x14ac:dyDescent="0.25">
      <c r="A46" s="28"/>
      <c r="B46" s="28"/>
      <c r="C46" s="28"/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topLeftCell="A3" workbookViewId="0"/>
  </sheetViews>
  <sheetFormatPr defaultRowHeight="15" x14ac:dyDescent="0.25"/>
  <cols>
    <col min="1" max="1" width="36" customWidth="1"/>
    <col min="2" max="2" width="20" customWidth="1"/>
    <col min="3" max="3" width="14" customWidth="1"/>
  </cols>
  <sheetData>
    <row r="1" spans="1:5" ht="18.75" x14ac:dyDescent="0.3">
      <c r="A1" s="7" t="s">
        <v>82</v>
      </c>
    </row>
    <row r="2" spans="1:5" x14ac:dyDescent="0.25">
      <c r="A2" s="15" t="s">
        <v>83</v>
      </c>
      <c r="B2" s="15" t="s">
        <v>2</v>
      </c>
      <c r="C2" s="15" t="s">
        <v>84</v>
      </c>
      <c r="D2" s="15" t="s">
        <v>85</v>
      </c>
      <c r="E2" s="15" t="s">
        <v>71</v>
      </c>
    </row>
    <row r="3" spans="1:5" x14ac:dyDescent="0.25">
      <c r="A3" s="3" t="s">
        <v>86</v>
      </c>
      <c r="B3" s="4">
        <f>Inputs!B8</f>
        <v>2000</v>
      </c>
      <c r="C3" s="3" t="s">
        <v>87</v>
      </c>
    </row>
    <row r="4" spans="1:5" x14ac:dyDescent="0.25">
      <c r="A4" s="3" t="s">
        <v>88</v>
      </c>
      <c r="B4" s="4">
        <f>Inputs!B9</f>
        <v>1500</v>
      </c>
      <c r="C4" s="3" t="s">
        <v>87</v>
      </c>
    </row>
    <row r="5" spans="1:5" x14ac:dyDescent="0.25">
      <c r="A5" s="3" t="s">
        <v>89</v>
      </c>
      <c r="B5" s="4">
        <f>Inputs!B10</f>
        <v>200</v>
      </c>
      <c r="C5" s="3" t="s">
        <v>87</v>
      </c>
    </row>
    <row r="6" spans="1:5" x14ac:dyDescent="0.25">
      <c r="A6" s="3" t="s">
        <v>90</v>
      </c>
      <c r="B6" s="4">
        <f>Inputs!B11</f>
        <v>500</v>
      </c>
      <c r="C6" s="3" t="s">
        <v>87</v>
      </c>
    </row>
    <row r="7" spans="1:5" x14ac:dyDescent="0.25">
      <c r="A7" s="3" t="s">
        <v>91</v>
      </c>
      <c r="B7" s="4">
        <f>SUM(B4:B6)</f>
        <v>2200</v>
      </c>
      <c r="C7" s="3" t="s">
        <v>80</v>
      </c>
    </row>
    <row r="8" spans="1:5" x14ac:dyDescent="0.25">
      <c r="A8" s="3" t="s">
        <v>92</v>
      </c>
      <c r="B8" s="3" t="str">
        <f>Inputs!B22</f>
        <v>Yes</v>
      </c>
      <c r="C8" s="3" t="s">
        <v>87</v>
      </c>
    </row>
    <row r="9" spans="1:5" x14ac:dyDescent="0.25">
      <c r="A9" s="3" t="s">
        <v>93</v>
      </c>
      <c r="B9" s="13">
        <f>Inputs!B23</f>
        <v>0.75</v>
      </c>
      <c r="C9" s="3" t="s">
        <v>87</v>
      </c>
    </row>
    <row r="10" spans="1:5" x14ac:dyDescent="0.25">
      <c r="A10" s="3" t="s">
        <v>94</v>
      </c>
      <c r="B10" s="4">
        <f>IFERROR(B3*B9,0)</f>
        <v>1500</v>
      </c>
      <c r="C10" s="3" t="s">
        <v>80</v>
      </c>
    </row>
    <row r="13" spans="1:5" x14ac:dyDescent="0.25">
      <c r="A13" s="72" t="s">
        <v>95</v>
      </c>
      <c r="B13" s="73"/>
      <c r="C13" s="74"/>
    </row>
    <row r="14" spans="1:5" x14ac:dyDescent="0.25">
      <c r="A14" s="14" t="s">
        <v>81</v>
      </c>
      <c r="B14" s="18" t="s">
        <v>2</v>
      </c>
      <c r="C14" s="15" t="s">
        <v>96</v>
      </c>
    </row>
    <row r="15" spans="1:5" ht="30" x14ac:dyDescent="0.25">
      <c r="A15" s="5" t="s">
        <v>25</v>
      </c>
      <c r="B15" s="8">
        <f>Assumptions!B3</f>
        <v>3</v>
      </c>
      <c r="C15" s="5" t="s">
        <v>97</v>
      </c>
    </row>
    <row r="16" spans="1:5" ht="30" x14ac:dyDescent="0.25">
      <c r="A16" s="5" t="s">
        <v>27</v>
      </c>
      <c r="B16" s="8">
        <f>Assumptions!B4</f>
        <v>3</v>
      </c>
      <c r="C16" s="5" t="s">
        <v>98</v>
      </c>
    </row>
    <row r="17" spans="1:5" ht="30" x14ac:dyDescent="0.25">
      <c r="A17" s="5" t="s">
        <v>28</v>
      </c>
      <c r="B17" s="8">
        <f>Assumptions!B5</f>
        <v>5</v>
      </c>
      <c r="C17" s="5" t="s">
        <v>99</v>
      </c>
    </row>
    <row r="18" spans="1:5" ht="30" x14ac:dyDescent="0.25">
      <c r="A18" s="5" t="s">
        <v>36</v>
      </c>
      <c r="B18" s="10">
        <f>Assumptions!B11</f>
        <v>1200</v>
      </c>
      <c r="C18" s="5" t="s">
        <v>100</v>
      </c>
    </row>
    <row r="19" spans="1:5" ht="30" x14ac:dyDescent="0.25">
      <c r="A19" s="5" t="s">
        <v>38</v>
      </c>
      <c r="B19" s="10">
        <f>Assumptions!B12</f>
        <v>1100</v>
      </c>
      <c r="C19" s="5" t="s">
        <v>101</v>
      </c>
    </row>
    <row r="20" spans="1:5" ht="30" x14ac:dyDescent="0.25">
      <c r="A20" s="5" t="s">
        <v>39</v>
      </c>
      <c r="B20" s="10">
        <f>Assumptions!B13</f>
        <v>600</v>
      </c>
      <c r="C20" s="5" t="s">
        <v>102</v>
      </c>
    </row>
    <row r="21" spans="1:5" ht="30" x14ac:dyDescent="0.25">
      <c r="A21" s="5" t="s">
        <v>33</v>
      </c>
      <c r="B21" s="9">
        <f>Assumptions!B9</f>
        <v>2</v>
      </c>
      <c r="C21" s="5" t="s">
        <v>103</v>
      </c>
    </row>
    <row r="22" spans="1:5" ht="30" x14ac:dyDescent="0.25">
      <c r="A22" s="14" t="s">
        <v>29</v>
      </c>
      <c r="B22" s="9">
        <f>Assumptions!B6</f>
        <v>0.5</v>
      </c>
      <c r="C22" s="5" t="s">
        <v>104</v>
      </c>
    </row>
    <row r="23" spans="1:5" ht="30" x14ac:dyDescent="0.25">
      <c r="A23" s="5" t="s">
        <v>31</v>
      </c>
      <c r="B23" s="9">
        <f>Assumptions!B7</f>
        <v>1.5</v>
      </c>
      <c r="C23" s="5" t="s">
        <v>105</v>
      </c>
    </row>
    <row r="24" spans="1:5" ht="30" x14ac:dyDescent="0.25">
      <c r="A24" s="5" t="s">
        <v>32</v>
      </c>
      <c r="B24" s="10">
        <f>Assumptions!B8</f>
        <v>50</v>
      </c>
      <c r="C24" s="5" t="s">
        <v>106</v>
      </c>
    </row>
    <row r="25" spans="1:5" ht="30" x14ac:dyDescent="0.25">
      <c r="A25" s="5" t="s">
        <v>40</v>
      </c>
      <c r="B25" s="10">
        <f>Assumptions!B14</f>
        <v>400</v>
      </c>
      <c r="C25" s="5" t="s">
        <v>107</v>
      </c>
    </row>
    <row r="26" spans="1:5" ht="30" x14ac:dyDescent="0.25">
      <c r="A26" s="14" t="s">
        <v>42</v>
      </c>
      <c r="B26" s="6">
        <f>Assumptions!B15</f>
        <v>1</v>
      </c>
      <c r="C26" s="5" t="s">
        <v>108</v>
      </c>
    </row>
    <row r="27" spans="1:5" ht="30" x14ac:dyDescent="0.25">
      <c r="A27" s="5" t="s">
        <v>44</v>
      </c>
      <c r="B27" s="10">
        <f>Assumptions!B16</f>
        <v>200</v>
      </c>
      <c r="C27" s="5" t="s">
        <v>109</v>
      </c>
    </row>
    <row r="28" spans="1:5" ht="30" x14ac:dyDescent="0.25">
      <c r="A28" s="5" t="s">
        <v>46</v>
      </c>
      <c r="B28" s="10">
        <f>Assumptions!B17</f>
        <v>800</v>
      </c>
      <c r="C28" s="5" t="s">
        <v>110</v>
      </c>
    </row>
    <row r="29" spans="1:5" ht="30" x14ac:dyDescent="0.25">
      <c r="A29" s="5" t="s">
        <v>34</v>
      </c>
      <c r="B29" s="6">
        <f>Assumptions!B10</f>
        <v>7.0000000000000007E-2</v>
      </c>
      <c r="C29" s="5" t="s">
        <v>111</v>
      </c>
    </row>
    <row r="30" spans="1:5" x14ac:dyDescent="0.25">
      <c r="A30" s="16"/>
      <c r="B30" s="17"/>
      <c r="C30" s="2"/>
    </row>
    <row r="31" spans="1:5" x14ac:dyDescent="0.25">
      <c r="A31" s="12" t="s">
        <v>69</v>
      </c>
      <c r="B31" s="12" t="s">
        <v>70</v>
      </c>
      <c r="C31" s="12" t="s">
        <v>84</v>
      </c>
    </row>
    <row r="32" spans="1:5" ht="90" x14ac:dyDescent="0.25">
      <c r="A32" s="5" t="s">
        <v>11</v>
      </c>
      <c r="B32" s="10">
        <f>IF(Inputs!B14&lt;&gt;"",Inputs!B14,(B4*B18/B15+B5*B19/B16+B6*B20/B17))</f>
        <v>733333.33333333337</v>
      </c>
      <c r="C32" s="5" t="str">
        <f t="shared" ref="C32:C37" si="0">CHOOSE(D32,"Input","Derived","Assumption")</f>
        <v>Derived</v>
      </c>
      <c r="D32" s="5">
        <f>IF(Inputs!B14&lt;&gt;"",1,IF((B4+B5+B6)&gt;0,2,3))</f>
        <v>2</v>
      </c>
      <c r="E32" s="5" t="str">
        <f>IF(Inputs!B14&lt;&gt;"","Customer roll-up provided",IF((B4+B5+B6)&gt;0,"Derived from device counts + assumptions","Assumptions only (missing device counts)"))</f>
        <v>Derived from device counts + assumptions</v>
      </c>
    </row>
    <row r="33" spans="1:5" ht="90" x14ac:dyDescent="0.25">
      <c r="A33" s="5" t="s">
        <v>12</v>
      </c>
      <c r="B33" s="10">
        <f>IF(Inputs!B15&lt;&gt;"",Inputs!B15,(B7*B21*B22*B24+(B4/B15+B5/B16+B6/B17)*B23*B24))</f>
        <v>160000</v>
      </c>
      <c r="C33" s="5" t="str">
        <f t="shared" si="0"/>
        <v>Derived</v>
      </c>
      <c r="D33" s="5">
        <f>IF(Inputs!B15&lt;&gt;"",1,IF((B7&gt;0),2,3))</f>
        <v>2</v>
      </c>
      <c r="E33" s="5" t="str">
        <f>IF(Inputs!B15&lt;&gt;"","Customer roll-up provided",IF((B7&gt;0),"Derived from endpoint counts + assumptions","Assumptions only (missing endpoint counts)"))</f>
        <v>Derived from endpoint counts + assumptions</v>
      </c>
    </row>
    <row r="34" spans="1:5" ht="90" x14ac:dyDescent="0.25">
      <c r="A34" s="5" t="s">
        <v>13</v>
      </c>
      <c r="B34" s="10">
        <f>IF(Inputs!B16&lt;&gt;"",Inputs!B16,(B3*B25*B26))</f>
        <v>800000</v>
      </c>
      <c r="C34" s="5" t="str">
        <f t="shared" si="0"/>
        <v>Derived</v>
      </c>
      <c r="D34" s="5">
        <f>IF(Inputs!B16&lt;&gt;"",1,IF((B3&gt;0),2,3))</f>
        <v>2</v>
      </c>
      <c r="E34" s="5" t="str">
        <f>IF(Inputs!B16&lt;&gt;"","Customer roll-up provided",IF((B3&gt;0),"Derived from user count + assumptions","Assumptions only (missing user count)"))</f>
        <v>Derived from user count + assumptions</v>
      </c>
    </row>
    <row r="35" spans="1:5" ht="90" x14ac:dyDescent="0.25">
      <c r="A35" s="5" t="s">
        <v>14</v>
      </c>
      <c r="B35" s="10">
        <f>IF(Inputs!B17&lt;&gt;"",Inputs!B17,(B7*B27))</f>
        <v>440000</v>
      </c>
      <c r="C35" s="5" t="str">
        <f t="shared" si="0"/>
        <v>Derived</v>
      </c>
      <c r="D35" s="5">
        <f>IF(Inputs!B17&lt;&gt;"",1,IF((B7&gt;0),2,3))</f>
        <v>2</v>
      </c>
      <c r="E35" s="5" t="str">
        <f>IF(Inputs!B17&lt;&gt;"","Customer roll-up provided",IF((B7&gt;0),"Derived from endpoint counts + assumptions","Assumptions only (missing endpoint counts)"))</f>
        <v>Derived from endpoint counts + assumptions</v>
      </c>
    </row>
    <row r="36" spans="1:5" ht="45" x14ac:dyDescent="0.25">
      <c r="A36" s="5" t="s">
        <v>15</v>
      </c>
      <c r="B36" s="10">
        <f>IF(Inputs!B18&lt;&gt;"",Inputs!B18,(B10*B28))</f>
        <v>256000</v>
      </c>
      <c r="C36" s="5" t="str">
        <f t="shared" si="0"/>
        <v>Input</v>
      </c>
      <c r="D36" s="5">
        <f>IF(Inputs!B18&lt;&gt;"",1,IF((B10&gt;0),2,3))</f>
        <v>1</v>
      </c>
      <c r="E36" s="5" t="str">
        <f>IF(Inputs!B18&lt;&gt;"","Customer roll-up provided",IF((B10&gt;0),"Derived from VDI subset + assumptions","Assumptions only (no VDI subset)"))</f>
        <v>Customer roll-up provided</v>
      </c>
    </row>
    <row r="37" spans="1:5" ht="90" x14ac:dyDescent="0.25">
      <c r="A37" s="5" t="s">
        <v>16</v>
      </c>
      <c r="B37" s="10">
        <f>IF(Inputs!B19&lt;&gt;"",Inputs!B19,(B29*(B32+B33+B34+B35+B36)))</f>
        <v>167253.33333333337</v>
      </c>
      <c r="C37" s="5" t="str">
        <f t="shared" si="0"/>
        <v>Derived</v>
      </c>
      <c r="D37" s="5">
        <f>IF(Inputs!B19&lt;&gt;"",1,IF((SUM(B32:B36)&gt;0),2,3))</f>
        <v>2</v>
      </c>
      <c r="E37" s="5" t="str">
        <f>IF(Inputs!B19&lt;&gt;"","Customer roll-up provided","Derived as % of subtotal (assumption-driven)")</f>
        <v>Derived as % of subtotal (assumption-driven)</v>
      </c>
    </row>
    <row r="40" spans="1:5" x14ac:dyDescent="0.25">
      <c r="A40" s="1" t="s">
        <v>112</v>
      </c>
    </row>
    <row r="41" spans="1:5" x14ac:dyDescent="0.25">
      <c r="A41" t="s">
        <v>67</v>
      </c>
      <c r="B41" s="11">
        <f>SUM(B32:B37)</f>
        <v>2556586.666666667</v>
      </c>
    </row>
    <row r="42" spans="1:5" x14ac:dyDescent="0.25">
      <c r="A42" t="s">
        <v>68</v>
      </c>
      <c r="B42" s="11">
        <f>IF(B3&gt;0,B41/B3,"")</f>
        <v>1278.2933333333335</v>
      </c>
    </row>
    <row r="44" spans="1:5" x14ac:dyDescent="0.25">
      <c r="A44" s="1" t="s">
        <v>113</v>
      </c>
    </row>
    <row r="45" spans="1:5" x14ac:dyDescent="0.25">
      <c r="A45" t="s">
        <v>114</v>
      </c>
      <c r="B45" s="11">
        <f>IF(B10&gt;0,B36/B10,"")</f>
        <v>170.66666666666666</v>
      </c>
    </row>
    <row r="46" spans="1:5" x14ac:dyDescent="0.25">
      <c r="A46" t="s">
        <v>115</v>
      </c>
      <c r="B46" s="11">
        <f>IF(B3&gt;0,(B41-B36)/B3,"")</f>
        <v>1150.2933333333335</v>
      </c>
    </row>
    <row r="47" spans="1:5" x14ac:dyDescent="0.25">
      <c r="A47" t="s">
        <v>73</v>
      </c>
      <c r="B47" s="11">
        <f>B46</f>
        <v>1150.2933333333335</v>
      </c>
    </row>
    <row r="48" spans="1:5" x14ac:dyDescent="0.25">
      <c r="A48" t="s">
        <v>74</v>
      </c>
      <c r="B48" s="11">
        <f>IF(B45&lt;&gt;"",B46+B45,"")</f>
        <v>1320.9600000000003</v>
      </c>
    </row>
  </sheetData>
  <mergeCells count="1">
    <mergeCell ref="A13:C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5" x14ac:dyDescent="0.25"/>
  <cols>
    <col min="1" max="1" width="42" customWidth="1"/>
    <col min="2" max="2" width="12" customWidth="1"/>
    <col min="3" max="3" width="48" customWidth="1"/>
  </cols>
  <sheetData>
    <row r="1" spans="1:3" ht="18.75" x14ac:dyDescent="0.3">
      <c r="A1" s="7" t="s">
        <v>116</v>
      </c>
    </row>
    <row r="3" spans="1:3" x14ac:dyDescent="0.25">
      <c r="A3" s="12" t="s">
        <v>117</v>
      </c>
      <c r="B3" s="12" t="s">
        <v>118</v>
      </c>
      <c r="C3" s="12" t="s">
        <v>119</v>
      </c>
    </row>
    <row r="4" spans="1:3" x14ac:dyDescent="0.25">
      <c r="A4" s="5" t="s">
        <v>120</v>
      </c>
      <c r="B4" s="5" t="str">
        <f>IF(_Calc!B3&gt;0,"PASS","FAIL")</f>
        <v>PASS</v>
      </c>
      <c r="C4" s="5">
        <f>_Calc!B3</f>
        <v>2000</v>
      </c>
    </row>
    <row r="5" spans="1:3" x14ac:dyDescent="0.25">
      <c r="A5" s="5" t="s">
        <v>121</v>
      </c>
      <c r="B5" s="5" t="str">
        <f>IF(AND(_Calc!B9&gt;=0,_Calc!B9&lt;=1),"PASS","FAIL")</f>
        <v>PASS</v>
      </c>
      <c r="C5" s="5">
        <f>_Calc!B9</f>
        <v>0.75</v>
      </c>
    </row>
    <row r="6" spans="1:3" x14ac:dyDescent="0.25">
      <c r="A6" s="5" t="s">
        <v>122</v>
      </c>
      <c r="B6" s="5" t="str">
        <f>IF(AND(_Calc!B4&gt;=0,_Calc!B5&gt;=0,_Calc!B6&gt;=0),"PASS","FAIL")</f>
        <v>PASS</v>
      </c>
      <c r="C6" s="5" t="str">
        <f>"L="&amp;_Calc!B4&amp;", D="&amp;_Calc!B5&amp;", T="&amp;_Calc!B6</f>
        <v>L=1500, D=200, T=500</v>
      </c>
    </row>
    <row r="7" spans="1:3" x14ac:dyDescent="0.25">
      <c r="A7" s="5" t="s">
        <v>123</v>
      </c>
      <c r="B7" s="5" t="str">
        <f>IF(MIN(_Calc!B32:'_Calc'!B37)&gt;=0,"PASS","FAIL")</f>
        <v>PASS</v>
      </c>
      <c r="C7" s="5">
        <f>MIN(_Calc!B32:'_Calc'!B37)</f>
        <v>160000</v>
      </c>
    </row>
    <row r="8" spans="1:3" x14ac:dyDescent="0.25">
      <c r="A8" s="5" t="s">
        <v>124</v>
      </c>
      <c r="B8" s="5" t="str">
        <f>IF((IF(_Calc!D32&lt;&gt;1,1,0)+IF(_Calc!D33&lt;&gt;1,1,0)+IF(_Calc!D34&lt;&gt;1,1,0)+IF(_Calc!D35&lt;&gt;1,1,0)+IF(_Calc!D36&lt;&gt;1,1,0)+IF(_Calc!D37&lt;&gt;1,1,0))&gt;0,"INFO","OK")</f>
        <v>INFO</v>
      </c>
      <c r="C8" s="5" t="str">
        <f>(IF(_Calc!D32&lt;&gt;1,1,0)+IF(_Calc!D33&lt;&gt;1,1,0)+IF(_Calc!D34&lt;&gt;1,1,0)+IF(_Calc!D35&lt;&gt;1,1,0)+IF(_Calc!D36&lt;&gt;1,1,0)+IF(_Calc!D37&lt;&gt;1,1,0))&amp;" categories not provided as roll-up inputs"</f>
        <v>5 categories not provided as roll-up inputs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92BA-45C2-4FDB-9C19-F52039CD13A5}">
  <dimension ref="A1:L92"/>
  <sheetViews>
    <sheetView topLeftCell="A73" workbookViewId="0">
      <selection activeCell="G20" sqref="G20"/>
    </sheetView>
  </sheetViews>
  <sheetFormatPr defaultRowHeight="15" x14ac:dyDescent="0.25"/>
  <cols>
    <col min="1" max="1" width="12" bestFit="1" customWidth="1"/>
    <col min="2" max="2" width="16" bestFit="1" customWidth="1"/>
    <col min="3" max="3" width="11.140625" bestFit="1" customWidth="1"/>
    <col min="4" max="4" width="48.28515625" bestFit="1" customWidth="1"/>
    <col min="5" max="5" width="18.42578125" customWidth="1"/>
    <col min="6" max="6" width="25.5703125" customWidth="1"/>
    <col min="7" max="7" width="73.85546875" bestFit="1" customWidth="1"/>
    <col min="8" max="8" width="57.5703125" bestFit="1" customWidth="1"/>
    <col min="9" max="9" width="155.85546875" bestFit="1" customWidth="1"/>
    <col min="10" max="10" width="73.5703125" bestFit="1" customWidth="1"/>
    <col min="11" max="11" width="19" bestFit="1" customWidth="1"/>
    <col min="12" max="12" width="72.42578125" bestFit="1" customWidth="1"/>
  </cols>
  <sheetData>
    <row r="1" spans="1:12" s="75" customFormat="1" x14ac:dyDescent="0.25">
      <c r="A1" s="75" t="s">
        <v>580</v>
      </c>
      <c r="B1" s="75" t="s">
        <v>579</v>
      </c>
      <c r="C1" s="75" t="s">
        <v>578</v>
      </c>
      <c r="D1" s="75" t="s">
        <v>577</v>
      </c>
      <c r="E1" s="75" t="s">
        <v>576</v>
      </c>
      <c r="F1" s="75" t="s">
        <v>575</v>
      </c>
      <c r="G1" s="75" t="s">
        <v>574</v>
      </c>
      <c r="H1" s="75" t="s">
        <v>573</v>
      </c>
      <c r="I1" s="75" t="s">
        <v>572</v>
      </c>
      <c r="J1" s="75" t="s">
        <v>571</v>
      </c>
      <c r="K1" s="75" t="s">
        <v>570</v>
      </c>
      <c r="L1" s="75" t="s">
        <v>24</v>
      </c>
    </row>
    <row r="2" spans="1:12" x14ac:dyDescent="0.25">
      <c r="A2" t="s">
        <v>569</v>
      </c>
      <c r="B2" t="s">
        <v>568</v>
      </c>
      <c r="C2" t="s">
        <v>522</v>
      </c>
      <c r="D2" t="s">
        <v>463</v>
      </c>
      <c r="E2" t="s">
        <v>520</v>
      </c>
      <c r="F2" t="s">
        <v>248</v>
      </c>
      <c r="G2" t="s">
        <v>567</v>
      </c>
      <c r="H2" t="s">
        <v>518</v>
      </c>
      <c r="J2" t="s">
        <v>566</v>
      </c>
      <c r="K2" t="s">
        <v>370</v>
      </c>
    </row>
    <row r="3" spans="1:12" x14ac:dyDescent="0.25">
      <c r="A3" t="s">
        <v>565</v>
      </c>
      <c r="B3" t="s">
        <v>446</v>
      </c>
      <c r="C3" t="s">
        <v>522</v>
      </c>
      <c r="D3" t="s">
        <v>458</v>
      </c>
      <c r="E3" t="s">
        <v>520</v>
      </c>
      <c r="F3" t="s">
        <v>236</v>
      </c>
      <c r="G3" t="s">
        <v>564</v>
      </c>
      <c r="H3" t="s">
        <v>518</v>
      </c>
      <c r="J3" t="s">
        <v>563</v>
      </c>
      <c r="K3" t="s">
        <v>370</v>
      </c>
    </row>
    <row r="4" spans="1:12" x14ac:dyDescent="0.25">
      <c r="A4" t="s">
        <v>562</v>
      </c>
      <c r="B4" t="s">
        <v>446</v>
      </c>
      <c r="C4" t="s">
        <v>522</v>
      </c>
      <c r="D4" t="s">
        <v>454</v>
      </c>
      <c r="E4" t="s">
        <v>520</v>
      </c>
      <c r="F4" t="s">
        <v>224</v>
      </c>
      <c r="G4" t="s">
        <v>561</v>
      </c>
      <c r="H4" t="s">
        <v>518</v>
      </c>
      <c r="J4" t="s">
        <v>560</v>
      </c>
      <c r="K4" t="s">
        <v>370</v>
      </c>
    </row>
    <row r="5" spans="1:12" x14ac:dyDescent="0.25">
      <c r="A5" t="s">
        <v>559</v>
      </c>
      <c r="B5" t="s">
        <v>446</v>
      </c>
      <c r="C5" t="s">
        <v>522</v>
      </c>
      <c r="D5" t="s">
        <v>449</v>
      </c>
      <c r="E5" t="s">
        <v>520</v>
      </c>
      <c r="F5" t="s">
        <v>212</v>
      </c>
      <c r="G5" t="s">
        <v>558</v>
      </c>
      <c r="H5" t="s">
        <v>518</v>
      </c>
      <c r="J5" t="s">
        <v>557</v>
      </c>
      <c r="K5" t="s">
        <v>370</v>
      </c>
    </row>
    <row r="6" spans="1:12" x14ac:dyDescent="0.25">
      <c r="A6" t="s">
        <v>556</v>
      </c>
      <c r="B6" t="s">
        <v>535</v>
      </c>
      <c r="C6" t="s">
        <v>522</v>
      </c>
      <c r="D6" t="s">
        <v>555</v>
      </c>
      <c r="E6" t="s">
        <v>520</v>
      </c>
      <c r="F6" t="s">
        <v>479</v>
      </c>
      <c r="G6" t="s">
        <v>554</v>
      </c>
      <c r="H6" t="s">
        <v>532</v>
      </c>
      <c r="J6" t="s">
        <v>367</v>
      </c>
      <c r="K6" t="s">
        <v>370</v>
      </c>
      <c r="L6" t="s">
        <v>553</v>
      </c>
    </row>
    <row r="7" spans="1:12" x14ac:dyDescent="0.25">
      <c r="A7" t="s">
        <v>552</v>
      </c>
      <c r="B7" t="s">
        <v>535</v>
      </c>
      <c r="C7" t="s">
        <v>522</v>
      </c>
      <c r="D7" t="s">
        <v>551</v>
      </c>
      <c r="E7" t="s">
        <v>520</v>
      </c>
      <c r="F7" t="s">
        <v>427</v>
      </c>
      <c r="G7" t="s">
        <v>550</v>
      </c>
      <c r="H7" t="s">
        <v>532</v>
      </c>
      <c r="J7" t="s">
        <v>361</v>
      </c>
      <c r="K7" t="s">
        <v>370</v>
      </c>
      <c r="L7" t="s">
        <v>549</v>
      </c>
    </row>
    <row r="8" spans="1:12" x14ac:dyDescent="0.25">
      <c r="A8" t="s">
        <v>548</v>
      </c>
      <c r="B8" t="s">
        <v>535</v>
      </c>
      <c r="C8" t="s">
        <v>522</v>
      </c>
      <c r="D8" t="s">
        <v>547</v>
      </c>
      <c r="E8" t="s">
        <v>520</v>
      </c>
      <c r="F8" t="s">
        <v>185</v>
      </c>
      <c r="G8" t="s">
        <v>546</v>
      </c>
      <c r="H8" t="s">
        <v>532</v>
      </c>
      <c r="J8" t="s">
        <v>355</v>
      </c>
      <c r="K8" t="s">
        <v>370</v>
      </c>
      <c r="L8" t="s">
        <v>545</v>
      </c>
    </row>
    <row r="9" spans="1:12" x14ac:dyDescent="0.25">
      <c r="A9" t="s">
        <v>544</v>
      </c>
      <c r="B9" t="s">
        <v>535</v>
      </c>
      <c r="C9" t="s">
        <v>522</v>
      </c>
      <c r="D9" t="s">
        <v>543</v>
      </c>
      <c r="E9" t="s">
        <v>520</v>
      </c>
      <c r="F9" t="s">
        <v>180</v>
      </c>
      <c r="G9" t="s">
        <v>542</v>
      </c>
      <c r="H9" t="s">
        <v>532</v>
      </c>
      <c r="J9" t="s">
        <v>349</v>
      </c>
      <c r="K9" t="s">
        <v>370</v>
      </c>
      <c r="L9" t="s">
        <v>541</v>
      </c>
    </row>
    <row r="10" spans="1:12" x14ac:dyDescent="0.25">
      <c r="A10" t="s">
        <v>540</v>
      </c>
      <c r="B10" t="s">
        <v>535</v>
      </c>
      <c r="C10" t="s">
        <v>522</v>
      </c>
      <c r="D10" t="s">
        <v>539</v>
      </c>
      <c r="E10" t="s">
        <v>520</v>
      </c>
      <c r="F10" t="s">
        <v>173</v>
      </c>
      <c r="G10" t="s">
        <v>538</v>
      </c>
      <c r="H10" t="s">
        <v>532</v>
      </c>
      <c r="J10" t="s">
        <v>343</v>
      </c>
      <c r="K10" t="s">
        <v>370</v>
      </c>
      <c r="L10" t="s">
        <v>537</v>
      </c>
    </row>
    <row r="11" spans="1:12" x14ac:dyDescent="0.25">
      <c r="A11" t="s">
        <v>536</v>
      </c>
      <c r="B11" t="s">
        <v>535</v>
      </c>
      <c r="C11" t="s">
        <v>522</v>
      </c>
      <c r="D11" t="s">
        <v>534</v>
      </c>
      <c r="E11" t="s">
        <v>520</v>
      </c>
      <c r="F11" t="s">
        <v>414</v>
      </c>
      <c r="G11" t="s">
        <v>533</v>
      </c>
      <c r="H11" t="s">
        <v>532</v>
      </c>
      <c r="J11" t="s">
        <v>335</v>
      </c>
      <c r="K11" t="s">
        <v>370</v>
      </c>
      <c r="L11" t="s">
        <v>531</v>
      </c>
    </row>
    <row r="12" spans="1:12" x14ac:dyDescent="0.25">
      <c r="A12" t="s">
        <v>530</v>
      </c>
      <c r="B12" t="s">
        <v>433</v>
      </c>
      <c r="C12" t="s">
        <v>522</v>
      </c>
      <c r="D12" t="s">
        <v>439</v>
      </c>
      <c r="E12" t="s">
        <v>520</v>
      </c>
      <c r="F12" t="s">
        <v>402</v>
      </c>
      <c r="G12" t="s">
        <v>529</v>
      </c>
      <c r="H12" t="s">
        <v>518</v>
      </c>
      <c r="J12" t="s">
        <v>441</v>
      </c>
      <c r="K12" t="s">
        <v>370</v>
      </c>
      <c r="L12" t="s">
        <v>528</v>
      </c>
    </row>
    <row r="13" spans="1:12" x14ac:dyDescent="0.25">
      <c r="A13" t="s">
        <v>527</v>
      </c>
      <c r="B13" t="s">
        <v>433</v>
      </c>
      <c r="C13" t="s">
        <v>522</v>
      </c>
      <c r="D13" t="s">
        <v>435</v>
      </c>
      <c r="E13" t="s">
        <v>520</v>
      </c>
      <c r="F13" t="s">
        <v>398</v>
      </c>
      <c r="G13" t="s">
        <v>526</v>
      </c>
      <c r="H13" t="s">
        <v>518</v>
      </c>
      <c r="J13" t="s">
        <v>525</v>
      </c>
      <c r="K13" t="s">
        <v>370</v>
      </c>
      <c r="L13" t="s">
        <v>524</v>
      </c>
    </row>
    <row r="14" spans="1:12" x14ac:dyDescent="0.25">
      <c r="A14" t="s">
        <v>523</v>
      </c>
      <c r="B14" t="s">
        <v>433</v>
      </c>
      <c r="C14" t="s">
        <v>522</v>
      </c>
      <c r="D14" t="s">
        <v>521</v>
      </c>
      <c r="E14" t="s">
        <v>520</v>
      </c>
      <c r="F14" t="s">
        <v>394</v>
      </c>
      <c r="G14" t="s">
        <v>519</v>
      </c>
      <c r="H14" t="s">
        <v>518</v>
      </c>
      <c r="J14" t="s">
        <v>517</v>
      </c>
      <c r="K14" t="s">
        <v>370</v>
      </c>
      <c r="L14" t="s">
        <v>516</v>
      </c>
    </row>
    <row r="15" spans="1:12" x14ac:dyDescent="0.25">
      <c r="A15" t="s">
        <v>515</v>
      </c>
      <c r="B15" t="s">
        <v>468</v>
      </c>
      <c r="C15" t="s">
        <v>470</v>
      </c>
      <c r="D15" t="s">
        <v>514</v>
      </c>
      <c r="E15" t="s">
        <v>468</v>
      </c>
      <c r="F15" t="s">
        <v>270</v>
      </c>
      <c r="G15" t="s">
        <v>513</v>
      </c>
      <c r="H15" t="s">
        <v>466</v>
      </c>
      <c r="J15" t="s">
        <v>198</v>
      </c>
      <c r="K15" t="s">
        <v>370</v>
      </c>
    </row>
    <row r="16" spans="1:12" x14ac:dyDescent="0.25">
      <c r="A16" t="s">
        <v>512</v>
      </c>
      <c r="B16" t="s">
        <v>468</v>
      </c>
      <c r="C16" t="s">
        <v>470</v>
      </c>
      <c r="D16" t="s">
        <v>511</v>
      </c>
      <c r="E16" t="s">
        <v>468</v>
      </c>
      <c r="F16" t="s">
        <v>265</v>
      </c>
      <c r="G16" t="s">
        <v>510</v>
      </c>
      <c r="H16" t="s">
        <v>466</v>
      </c>
      <c r="J16" t="s">
        <v>198</v>
      </c>
      <c r="K16" t="s">
        <v>370</v>
      </c>
    </row>
    <row r="17" spans="1:11" x14ac:dyDescent="0.25">
      <c r="A17" t="s">
        <v>509</v>
      </c>
      <c r="B17" t="s">
        <v>468</v>
      </c>
      <c r="C17" t="s">
        <v>470</v>
      </c>
      <c r="D17" t="s">
        <v>508</v>
      </c>
      <c r="E17" t="s">
        <v>468</v>
      </c>
      <c r="F17" t="s">
        <v>295</v>
      </c>
      <c r="G17" t="s">
        <v>507</v>
      </c>
      <c r="H17" t="s">
        <v>466</v>
      </c>
      <c r="J17" t="s">
        <v>198</v>
      </c>
      <c r="K17" t="s">
        <v>370</v>
      </c>
    </row>
    <row r="18" spans="1:11" x14ac:dyDescent="0.25">
      <c r="A18" t="s">
        <v>506</v>
      </c>
      <c r="B18" t="s">
        <v>468</v>
      </c>
      <c r="C18" t="s">
        <v>470</v>
      </c>
      <c r="D18" t="s">
        <v>505</v>
      </c>
      <c r="E18" t="s">
        <v>468</v>
      </c>
      <c r="F18" t="s">
        <v>290</v>
      </c>
      <c r="G18" t="s">
        <v>504</v>
      </c>
      <c r="H18" t="s">
        <v>466</v>
      </c>
      <c r="J18" t="s">
        <v>198</v>
      </c>
      <c r="K18" t="s">
        <v>370</v>
      </c>
    </row>
    <row r="19" spans="1:11" x14ac:dyDescent="0.25">
      <c r="A19" t="s">
        <v>503</v>
      </c>
      <c r="B19" t="s">
        <v>468</v>
      </c>
      <c r="C19" t="s">
        <v>470</v>
      </c>
      <c r="D19" t="s">
        <v>502</v>
      </c>
      <c r="E19" t="s">
        <v>468</v>
      </c>
      <c r="F19" t="s">
        <v>260</v>
      </c>
      <c r="G19" t="s">
        <v>501</v>
      </c>
      <c r="H19" t="s">
        <v>466</v>
      </c>
      <c r="J19" t="s">
        <v>198</v>
      </c>
      <c r="K19" t="s">
        <v>370</v>
      </c>
    </row>
    <row r="20" spans="1:11" x14ac:dyDescent="0.25">
      <c r="A20" t="s">
        <v>500</v>
      </c>
      <c r="B20" t="s">
        <v>468</v>
      </c>
      <c r="C20" t="s">
        <v>470</v>
      </c>
      <c r="D20" t="s">
        <v>499</v>
      </c>
      <c r="E20" t="s">
        <v>468</v>
      </c>
      <c r="F20" t="s">
        <v>248</v>
      </c>
      <c r="G20" t="s">
        <v>498</v>
      </c>
      <c r="H20" t="s">
        <v>466</v>
      </c>
      <c r="J20" t="s">
        <v>198</v>
      </c>
      <c r="K20" t="s">
        <v>370</v>
      </c>
    </row>
    <row r="21" spans="1:11" x14ac:dyDescent="0.25">
      <c r="A21" t="s">
        <v>497</v>
      </c>
      <c r="B21" t="s">
        <v>468</v>
      </c>
      <c r="C21" t="s">
        <v>470</v>
      </c>
      <c r="D21" t="s">
        <v>496</v>
      </c>
      <c r="E21" t="s">
        <v>468</v>
      </c>
      <c r="F21" t="s">
        <v>236</v>
      </c>
      <c r="G21" t="s">
        <v>495</v>
      </c>
      <c r="H21" t="s">
        <v>466</v>
      </c>
      <c r="J21" t="s">
        <v>198</v>
      </c>
      <c r="K21" t="s">
        <v>370</v>
      </c>
    </row>
    <row r="22" spans="1:11" x14ac:dyDescent="0.25">
      <c r="A22" t="s">
        <v>494</v>
      </c>
      <c r="B22" t="s">
        <v>468</v>
      </c>
      <c r="C22" t="s">
        <v>470</v>
      </c>
      <c r="D22" t="s">
        <v>493</v>
      </c>
      <c r="E22" t="s">
        <v>468</v>
      </c>
      <c r="F22" t="s">
        <v>224</v>
      </c>
      <c r="G22" t="s">
        <v>492</v>
      </c>
      <c r="H22" t="s">
        <v>466</v>
      </c>
      <c r="J22" t="s">
        <v>198</v>
      </c>
      <c r="K22" t="s">
        <v>370</v>
      </c>
    </row>
    <row r="23" spans="1:11" x14ac:dyDescent="0.25">
      <c r="A23" t="s">
        <v>491</v>
      </c>
      <c r="B23" t="s">
        <v>468</v>
      </c>
      <c r="C23" t="s">
        <v>470</v>
      </c>
      <c r="D23" t="s">
        <v>490</v>
      </c>
      <c r="E23" t="s">
        <v>468</v>
      </c>
      <c r="F23" t="s">
        <v>212</v>
      </c>
      <c r="G23" t="s">
        <v>489</v>
      </c>
      <c r="H23" t="s">
        <v>466</v>
      </c>
      <c r="J23" t="s">
        <v>198</v>
      </c>
      <c r="K23" t="s">
        <v>370</v>
      </c>
    </row>
    <row r="24" spans="1:11" x14ac:dyDescent="0.25">
      <c r="A24" t="s">
        <v>488</v>
      </c>
      <c r="B24" t="s">
        <v>468</v>
      </c>
      <c r="C24" t="s">
        <v>470</v>
      </c>
      <c r="D24" t="s">
        <v>487</v>
      </c>
      <c r="E24" t="s">
        <v>468</v>
      </c>
      <c r="F24" t="s">
        <v>200</v>
      </c>
      <c r="G24" t="s">
        <v>486</v>
      </c>
      <c r="H24" t="s">
        <v>466</v>
      </c>
      <c r="J24" t="s">
        <v>198</v>
      </c>
      <c r="K24" t="s">
        <v>370</v>
      </c>
    </row>
    <row r="25" spans="1:11" x14ac:dyDescent="0.25">
      <c r="A25" t="s">
        <v>485</v>
      </c>
      <c r="B25" t="s">
        <v>468</v>
      </c>
      <c r="C25" t="s">
        <v>470</v>
      </c>
      <c r="D25" t="s">
        <v>484</v>
      </c>
      <c r="E25" t="s">
        <v>468</v>
      </c>
      <c r="F25" t="s">
        <v>483</v>
      </c>
      <c r="G25" t="s">
        <v>482</v>
      </c>
      <c r="H25" t="s">
        <v>466</v>
      </c>
      <c r="J25" t="s">
        <v>198</v>
      </c>
      <c r="K25" t="s">
        <v>370</v>
      </c>
    </row>
    <row r="26" spans="1:11" x14ac:dyDescent="0.25">
      <c r="A26" t="s">
        <v>481</v>
      </c>
      <c r="B26" t="s">
        <v>468</v>
      </c>
      <c r="C26" t="s">
        <v>470</v>
      </c>
      <c r="D26" t="s">
        <v>480</v>
      </c>
      <c r="E26" t="s">
        <v>468</v>
      </c>
      <c r="F26" t="s">
        <v>479</v>
      </c>
      <c r="G26" t="s">
        <v>478</v>
      </c>
      <c r="H26" t="s">
        <v>466</v>
      </c>
      <c r="J26" t="s">
        <v>198</v>
      </c>
      <c r="K26" t="s">
        <v>370</v>
      </c>
    </row>
    <row r="27" spans="1:11" x14ac:dyDescent="0.25">
      <c r="A27" t="s">
        <v>477</v>
      </c>
      <c r="B27" t="s">
        <v>468</v>
      </c>
      <c r="C27" t="s">
        <v>470</v>
      </c>
      <c r="D27" t="s">
        <v>476</v>
      </c>
      <c r="E27" t="s">
        <v>468</v>
      </c>
      <c r="F27" t="s">
        <v>427</v>
      </c>
      <c r="G27" t="s">
        <v>475</v>
      </c>
      <c r="H27" t="s">
        <v>466</v>
      </c>
      <c r="J27" t="s">
        <v>198</v>
      </c>
      <c r="K27" t="s">
        <v>370</v>
      </c>
    </row>
    <row r="28" spans="1:11" x14ac:dyDescent="0.25">
      <c r="A28" t="s">
        <v>474</v>
      </c>
      <c r="B28" t="s">
        <v>468</v>
      </c>
      <c r="C28" t="s">
        <v>470</v>
      </c>
      <c r="D28" t="s">
        <v>473</v>
      </c>
      <c r="E28" t="s">
        <v>468</v>
      </c>
      <c r="F28" t="s">
        <v>185</v>
      </c>
      <c r="G28" t="s">
        <v>472</v>
      </c>
      <c r="H28" t="s">
        <v>466</v>
      </c>
      <c r="J28" t="s">
        <v>198</v>
      </c>
      <c r="K28" t="s">
        <v>370</v>
      </c>
    </row>
    <row r="29" spans="1:11" x14ac:dyDescent="0.25">
      <c r="A29" t="s">
        <v>471</v>
      </c>
      <c r="B29" t="s">
        <v>468</v>
      </c>
      <c r="C29" t="s">
        <v>470</v>
      </c>
      <c r="D29" t="s">
        <v>469</v>
      </c>
      <c r="E29" t="s">
        <v>468</v>
      </c>
      <c r="F29" t="s">
        <v>180</v>
      </c>
      <c r="G29" t="s">
        <v>467</v>
      </c>
      <c r="H29" t="s">
        <v>466</v>
      </c>
      <c r="J29" t="s">
        <v>198</v>
      </c>
      <c r="K29" t="s">
        <v>370</v>
      </c>
    </row>
    <row r="30" spans="1:11" x14ac:dyDescent="0.25">
      <c r="A30" t="s">
        <v>465</v>
      </c>
      <c r="B30" t="s">
        <v>452</v>
      </c>
      <c r="C30" t="s">
        <v>307</v>
      </c>
      <c r="D30" t="s">
        <v>298</v>
      </c>
      <c r="E30" t="s">
        <v>306</v>
      </c>
      <c r="F30" t="s">
        <v>270</v>
      </c>
      <c r="G30" t="s">
        <v>464</v>
      </c>
      <c r="H30" t="s">
        <v>628</v>
      </c>
      <c r="I30" t="s">
        <v>463</v>
      </c>
      <c r="J30" t="s">
        <v>462</v>
      </c>
      <c r="K30" t="s">
        <v>370</v>
      </c>
    </row>
    <row r="31" spans="1:11" x14ac:dyDescent="0.25">
      <c r="A31" t="s">
        <v>461</v>
      </c>
      <c r="B31" t="s">
        <v>452</v>
      </c>
      <c r="C31" t="s">
        <v>307</v>
      </c>
      <c r="D31" t="s">
        <v>460</v>
      </c>
      <c r="E31" t="s">
        <v>306</v>
      </c>
      <c r="F31" t="s">
        <v>265</v>
      </c>
      <c r="G31" t="s">
        <v>459</v>
      </c>
      <c r="H31" t="s">
        <v>627</v>
      </c>
      <c r="I31" t="s">
        <v>458</v>
      </c>
      <c r="J31" t="s">
        <v>448</v>
      </c>
      <c r="K31" t="s">
        <v>370</v>
      </c>
    </row>
    <row r="32" spans="1:11" x14ac:dyDescent="0.25">
      <c r="A32" t="s">
        <v>457</v>
      </c>
      <c r="B32" t="s">
        <v>452</v>
      </c>
      <c r="C32" t="s">
        <v>307</v>
      </c>
      <c r="D32" t="s">
        <v>456</v>
      </c>
      <c r="E32" t="s">
        <v>306</v>
      </c>
      <c r="F32" t="s">
        <v>295</v>
      </c>
      <c r="G32" t="s">
        <v>455</v>
      </c>
      <c r="H32" t="s">
        <v>626</v>
      </c>
      <c r="I32" t="s">
        <v>454</v>
      </c>
      <c r="J32" t="s">
        <v>448</v>
      </c>
      <c r="K32" t="s">
        <v>370</v>
      </c>
    </row>
    <row r="33" spans="1:12" x14ac:dyDescent="0.25">
      <c r="A33" t="s">
        <v>453</v>
      </c>
      <c r="B33" t="s">
        <v>452</v>
      </c>
      <c r="C33" t="s">
        <v>307</v>
      </c>
      <c r="D33" t="s">
        <v>451</v>
      </c>
      <c r="E33" t="s">
        <v>306</v>
      </c>
      <c r="F33" t="s">
        <v>290</v>
      </c>
      <c r="G33" t="s">
        <v>450</v>
      </c>
      <c r="H33" t="s">
        <v>625</v>
      </c>
      <c r="I33" t="s">
        <v>449</v>
      </c>
      <c r="J33" t="s">
        <v>448</v>
      </c>
      <c r="K33" t="s">
        <v>370</v>
      </c>
    </row>
    <row r="34" spans="1:12" x14ac:dyDescent="0.25">
      <c r="A34" t="s">
        <v>447</v>
      </c>
      <c r="B34" t="s">
        <v>446</v>
      </c>
      <c r="C34" t="s">
        <v>307</v>
      </c>
      <c r="D34" t="s">
        <v>445</v>
      </c>
      <c r="E34" t="s">
        <v>306</v>
      </c>
      <c r="F34" t="s">
        <v>260</v>
      </c>
      <c r="G34" t="s">
        <v>444</v>
      </c>
      <c r="H34" t="s">
        <v>624</v>
      </c>
      <c r="I34" t="s">
        <v>288</v>
      </c>
      <c r="J34" t="s">
        <v>443</v>
      </c>
      <c r="K34" t="s">
        <v>302</v>
      </c>
    </row>
    <row r="35" spans="1:12" x14ac:dyDescent="0.25">
      <c r="A35" t="s">
        <v>442</v>
      </c>
      <c r="B35" t="s">
        <v>433</v>
      </c>
      <c r="C35" t="s">
        <v>307</v>
      </c>
      <c r="D35" t="s">
        <v>441</v>
      </c>
      <c r="E35" t="s">
        <v>306</v>
      </c>
      <c r="F35" t="s">
        <v>248</v>
      </c>
      <c r="G35" t="s">
        <v>440</v>
      </c>
      <c r="H35" t="s">
        <v>623</v>
      </c>
      <c r="I35" t="s">
        <v>439</v>
      </c>
      <c r="J35" t="s">
        <v>438</v>
      </c>
      <c r="K35" t="s">
        <v>370</v>
      </c>
    </row>
    <row r="36" spans="1:12" x14ac:dyDescent="0.25">
      <c r="A36" t="s">
        <v>437</v>
      </c>
      <c r="B36" t="s">
        <v>433</v>
      </c>
      <c r="C36" t="s">
        <v>307</v>
      </c>
      <c r="D36" t="s">
        <v>293</v>
      </c>
      <c r="E36" t="s">
        <v>306</v>
      </c>
      <c r="F36" t="s">
        <v>236</v>
      </c>
      <c r="G36" t="s">
        <v>436</v>
      </c>
      <c r="H36" t="s">
        <v>622</v>
      </c>
      <c r="I36" t="s">
        <v>435</v>
      </c>
      <c r="J36" t="s">
        <v>432</v>
      </c>
      <c r="K36" t="s">
        <v>370</v>
      </c>
    </row>
    <row r="37" spans="1:12" x14ac:dyDescent="0.25">
      <c r="A37" t="s">
        <v>434</v>
      </c>
      <c r="B37" t="s">
        <v>433</v>
      </c>
      <c r="C37" t="s">
        <v>307</v>
      </c>
      <c r="D37" t="s">
        <v>432</v>
      </c>
      <c r="E37" t="s">
        <v>306</v>
      </c>
      <c r="F37" t="s">
        <v>224</v>
      </c>
      <c r="G37" t="s">
        <v>431</v>
      </c>
      <c r="H37" t="s">
        <v>621</v>
      </c>
      <c r="I37" t="s">
        <v>430</v>
      </c>
      <c r="J37" t="s">
        <v>343</v>
      </c>
      <c r="K37" t="s">
        <v>370</v>
      </c>
    </row>
    <row r="38" spans="1:12" x14ac:dyDescent="0.25">
      <c r="A38" t="s">
        <v>429</v>
      </c>
      <c r="B38" t="s">
        <v>375</v>
      </c>
      <c r="C38" t="s">
        <v>307</v>
      </c>
      <c r="D38" t="s">
        <v>428</v>
      </c>
      <c r="E38" t="s">
        <v>306</v>
      </c>
      <c r="F38" t="s">
        <v>427</v>
      </c>
      <c r="G38" t="s">
        <v>426</v>
      </c>
      <c r="H38" t="s">
        <v>620</v>
      </c>
      <c r="J38" t="s">
        <v>371</v>
      </c>
      <c r="K38" t="s">
        <v>370</v>
      </c>
      <c r="L38" t="s">
        <v>369</v>
      </c>
    </row>
    <row r="39" spans="1:12" x14ac:dyDescent="0.25">
      <c r="A39" t="s">
        <v>425</v>
      </c>
      <c r="B39" t="s">
        <v>375</v>
      </c>
      <c r="C39" t="s">
        <v>307</v>
      </c>
      <c r="D39" t="s">
        <v>424</v>
      </c>
      <c r="E39" t="s">
        <v>306</v>
      </c>
      <c r="F39" t="s">
        <v>185</v>
      </c>
      <c r="G39" t="s">
        <v>423</v>
      </c>
      <c r="H39" t="s">
        <v>619</v>
      </c>
      <c r="J39" t="s">
        <v>371</v>
      </c>
      <c r="K39" t="s">
        <v>370</v>
      </c>
      <c r="L39" t="s">
        <v>369</v>
      </c>
    </row>
    <row r="40" spans="1:12" x14ac:dyDescent="0.25">
      <c r="A40" t="s">
        <v>422</v>
      </c>
      <c r="B40" t="s">
        <v>375</v>
      </c>
      <c r="C40" t="s">
        <v>307</v>
      </c>
      <c r="D40" t="s">
        <v>421</v>
      </c>
      <c r="E40" t="s">
        <v>306</v>
      </c>
      <c r="F40" t="s">
        <v>180</v>
      </c>
      <c r="G40" t="s">
        <v>420</v>
      </c>
      <c r="H40" t="s">
        <v>618</v>
      </c>
      <c r="J40" t="s">
        <v>371</v>
      </c>
      <c r="K40" t="s">
        <v>370</v>
      </c>
      <c r="L40" t="s">
        <v>369</v>
      </c>
    </row>
    <row r="41" spans="1:12" x14ac:dyDescent="0.25">
      <c r="A41" t="s">
        <v>419</v>
      </c>
      <c r="B41" t="s">
        <v>375</v>
      </c>
      <c r="C41" t="s">
        <v>307</v>
      </c>
      <c r="D41" t="s">
        <v>418</v>
      </c>
      <c r="E41" t="s">
        <v>306</v>
      </c>
      <c r="F41" t="s">
        <v>173</v>
      </c>
      <c r="G41" t="s">
        <v>417</v>
      </c>
      <c r="H41" t="s">
        <v>617</v>
      </c>
      <c r="J41" t="s">
        <v>371</v>
      </c>
      <c r="K41" t="s">
        <v>370</v>
      </c>
      <c r="L41" t="s">
        <v>369</v>
      </c>
    </row>
    <row r="42" spans="1:12" x14ac:dyDescent="0.25">
      <c r="A42" t="s">
        <v>416</v>
      </c>
      <c r="B42" t="s">
        <v>375</v>
      </c>
      <c r="C42" t="s">
        <v>307</v>
      </c>
      <c r="D42" t="s">
        <v>415</v>
      </c>
      <c r="E42" t="s">
        <v>306</v>
      </c>
      <c r="F42" t="s">
        <v>414</v>
      </c>
      <c r="G42" t="s">
        <v>413</v>
      </c>
      <c r="H42" t="s">
        <v>616</v>
      </c>
      <c r="J42" t="s">
        <v>371</v>
      </c>
      <c r="K42" t="s">
        <v>370</v>
      </c>
      <c r="L42" t="s">
        <v>369</v>
      </c>
    </row>
    <row r="43" spans="1:12" x14ac:dyDescent="0.25">
      <c r="A43" t="s">
        <v>412</v>
      </c>
      <c r="B43" t="s">
        <v>375</v>
      </c>
      <c r="C43" t="s">
        <v>307</v>
      </c>
      <c r="D43" t="s">
        <v>411</v>
      </c>
      <c r="E43" t="s">
        <v>306</v>
      </c>
      <c r="F43" t="s">
        <v>410</v>
      </c>
      <c r="G43" t="s">
        <v>409</v>
      </c>
      <c r="H43" t="s">
        <v>615</v>
      </c>
      <c r="J43" t="s">
        <v>371</v>
      </c>
      <c r="K43" t="s">
        <v>370</v>
      </c>
      <c r="L43" t="s">
        <v>369</v>
      </c>
    </row>
    <row r="44" spans="1:12" x14ac:dyDescent="0.25">
      <c r="A44" t="s">
        <v>408</v>
      </c>
      <c r="B44" t="s">
        <v>375</v>
      </c>
      <c r="C44" t="s">
        <v>307</v>
      </c>
      <c r="D44" t="s">
        <v>407</v>
      </c>
      <c r="E44" t="s">
        <v>306</v>
      </c>
      <c r="F44" t="s">
        <v>406</v>
      </c>
      <c r="G44" t="s">
        <v>405</v>
      </c>
      <c r="H44" t="s">
        <v>614</v>
      </c>
      <c r="J44" t="s">
        <v>371</v>
      </c>
      <c r="K44" t="s">
        <v>370</v>
      </c>
      <c r="L44" t="s">
        <v>369</v>
      </c>
    </row>
    <row r="45" spans="1:12" x14ac:dyDescent="0.25">
      <c r="A45" t="s">
        <v>404</v>
      </c>
      <c r="B45" t="s">
        <v>375</v>
      </c>
      <c r="C45" t="s">
        <v>307</v>
      </c>
      <c r="D45" t="s">
        <v>403</v>
      </c>
      <c r="E45" t="s">
        <v>306</v>
      </c>
      <c r="F45" t="s">
        <v>402</v>
      </c>
      <c r="G45" t="s">
        <v>401</v>
      </c>
      <c r="H45" t="s">
        <v>613</v>
      </c>
      <c r="J45" t="s">
        <v>371</v>
      </c>
      <c r="K45" t="s">
        <v>370</v>
      </c>
      <c r="L45" t="s">
        <v>369</v>
      </c>
    </row>
    <row r="46" spans="1:12" x14ac:dyDescent="0.25">
      <c r="A46" t="s">
        <v>400</v>
      </c>
      <c r="B46" t="s">
        <v>375</v>
      </c>
      <c r="C46" t="s">
        <v>307</v>
      </c>
      <c r="D46" t="s">
        <v>399</v>
      </c>
      <c r="E46" t="s">
        <v>306</v>
      </c>
      <c r="F46" t="s">
        <v>398</v>
      </c>
      <c r="G46" t="s">
        <v>397</v>
      </c>
      <c r="H46" t="s">
        <v>612</v>
      </c>
      <c r="J46" t="s">
        <v>371</v>
      </c>
      <c r="K46" t="s">
        <v>370</v>
      </c>
      <c r="L46" t="s">
        <v>369</v>
      </c>
    </row>
    <row r="47" spans="1:12" x14ac:dyDescent="0.25">
      <c r="A47" t="s">
        <v>396</v>
      </c>
      <c r="B47" t="s">
        <v>375</v>
      </c>
      <c r="C47" t="s">
        <v>307</v>
      </c>
      <c r="D47" t="s">
        <v>395</v>
      </c>
      <c r="E47" t="s">
        <v>306</v>
      </c>
      <c r="F47" t="s">
        <v>394</v>
      </c>
      <c r="G47" t="s">
        <v>393</v>
      </c>
      <c r="H47" t="s">
        <v>611</v>
      </c>
      <c r="J47" t="s">
        <v>371</v>
      </c>
      <c r="K47" t="s">
        <v>370</v>
      </c>
      <c r="L47" t="s">
        <v>369</v>
      </c>
    </row>
    <row r="48" spans="1:12" x14ac:dyDescent="0.25">
      <c r="A48" t="s">
        <v>392</v>
      </c>
      <c r="B48" t="s">
        <v>375</v>
      </c>
      <c r="C48" t="s">
        <v>307</v>
      </c>
      <c r="D48" t="s">
        <v>391</v>
      </c>
      <c r="E48" t="s">
        <v>306</v>
      </c>
      <c r="F48" t="s">
        <v>390</v>
      </c>
      <c r="G48" t="s">
        <v>389</v>
      </c>
      <c r="H48" t="s">
        <v>610</v>
      </c>
      <c r="J48" t="s">
        <v>371</v>
      </c>
      <c r="K48" t="s">
        <v>370</v>
      </c>
      <c r="L48" t="s">
        <v>369</v>
      </c>
    </row>
    <row r="49" spans="1:12" x14ac:dyDescent="0.25">
      <c r="A49" t="s">
        <v>388</v>
      </c>
      <c r="B49" t="s">
        <v>375</v>
      </c>
      <c r="C49" t="s">
        <v>307</v>
      </c>
      <c r="D49" t="s">
        <v>387</v>
      </c>
      <c r="E49" t="s">
        <v>306</v>
      </c>
      <c r="F49" t="s">
        <v>386</v>
      </c>
      <c r="G49" t="s">
        <v>385</v>
      </c>
      <c r="H49" t="s">
        <v>609</v>
      </c>
      <c r="J49" t="s">
        <v>371</v>
      </c>
      <c r="K49" t="s">
        <v>370</v>
      </c>
      <c r="L49" t="s">
        <v>369</v>
      </c>
    </row>
    <row r="50" spans="1:12" x14ac:dyDescent="0.25">
      <c r="A50" t="s">
        <v>384</v>
      </c>
      <c r="B50" t="s">
        <v>375</v>
      </c>
      <c r="C50" t="s">
        <v>307</v>
      </c>
      <c r="D50" t="s">
        <v>383</v>
      </c>
      <c r="E50" t="s">
        <v>306</v>
      </c>
      <c r="F50" t="s">
        <v>382</v>
      </c>
      <c r="G50" t="s">
        <v>381</v>
      </c>
      <c r="H50" t="s">
        <v>608</v>
      </c>
      <c r="J50" t="s">
        <v>371</v>
      </c>
      <c r="K50" t="s">
        <v>370</v>
      </c>
      <c r="L50" t="s">
        <v>369</v>
      </c>
    </row>
    <row r="51" spans="1:12" x14ac:dyDescent="0.25">
      <c r="A51" t="s">
        <v>380</v>
      </c>
      <c r="B51" t="s">
        <v>375</v>
      </c>
      <c r="C51" t="s">
        <v>307</v>
      </c>
      <c r="D51" t="s">
        <v>379</v>
      </c>
      <c r="E51" t="s">
        <v>306</v>
      </c>
      <c r="F51" t="s">
        <v>378</v>
      </c>
      <c r="G51" t="s">
        <v>377</v>
      </c>
      <c r="H51" t="s">
        <v>607</v>
      </c>
      <c r="J51" t="s">
        <v>371</v>
      </c>
      <c r="K51" t="s">
        <v>370</v>
      </c>
      <c r="L51" t="s">
        <v>369</v>
      </c>
    </row>
    <row r="52" spans="1:12" x14ac:dyDescent="0.25">
      <c r="A52" t="s">
        <v>376</v>
      </c>
      <c r="B52" t="s">
        <v>375</v>
      </c>
      <c r="C52" t="s">
        <v>307</v>
      </c>
      <c r="D52" t="s">
        <v>374</v>
      </c>
      <c r="E52" t="s">
        <v>306</v>
      </c>
      <c r="F52" t="s">
        <v>373</v>
      </c>
      <c r="G52" t="s">
        <v>372</v>
      </c>
      <c r="H52" t="s">
        <v>606</v>
      </c>
      <c r="J52" t="s">
        <v>371</v>
      </c>
      <c r="K52" t="s">
        <v>370</v>
      </c>
      <c r="L52" t="s">
        <v>369</v>
      </c>
    </row>
    <row r="53" spans="1:12" x14ac:dyDescent="0.25">
      <c r="A53" t="s">
        <v>368</v>
      </c>
      <c r="B53" t="s">
        <v>336</v>
      </c>
      <c r="C53" t="s">
        <v>307</v>
      </c>
      <c r="D53" t="s">
        <v>367</v>
      </c>
      <c r="E53" t="s">
        <v>306</v>
      </c>
      <c r="F53" t="s">
        <v>366</v>
      </c>
      <c r="G53" t="s">
        <v>365</v>
      </c>
      <c r="H53" t="s">
        <v>605</v>
      </c>
      <c r="I53" t="s">
        <v>364</v>
      </c>
      <c r="J53" t="s">
        <v>331</v>
      </c>
      <c r="K53" t="s">
        <v>302</v>
      </c>
      <c r="L53" t="s">
        <v>363</v>
      </c>
    </row>
    <row r="54" spans="1:12" x14ac:dyDescent="0.25">
      <c r="A54" t="s">
        <v>362</v>
      </c>
      <c r="B54" t="s">
        <v>336</v>
      </c>
      <c r="C54" t="s">
        <v>307</v>
      </c>
      <c r="D54" t="s">
        <v>361</v>
      </c>
      <c r="E54" t="s">
        <v>306</v>
      </c>
      <c r="F54" t="s">
        <v>360</v>
      </c>
      <c r="G54" t="s">
        <v>359</v>
      </c>
      <c r="H54" t="s">
        <v>604</v>
      </c>
      <c r="I54" t="s">
        <v>358</v>
      </c>
      <c r="J54" t="s">
        <v>331</v>
      </c>
      <c r="K54" t="s">
        <v>302</v>
      </c>
      <c r="L54" t="s">
        <v>357</v>
      </c>
    </row>
    <row r="55" spans="1:12" x14ac:dyDescent="0.25">
      <c r="A55" t="s">
        <v>356</v>
      </c>
      <c r="B55" t="s">
        <v>336</v>
      </c>
      <c r="C55" t="s">
        <v>307</v>
      </c>
      <c r="D55" t="s">
        <v>355</v>
      </c>
      <c r="E55" t="s">
        <v>306</v>
      </c>
      <c r="F55" t="s">
        <v>354</v>
      </c>
      <c r="G55" t="s">
        <v>353</v>
      </c>
      <c r="H55" t="s">
        <v>603</v>
      </c>
      <c r="I55" t="s">
        <v>352</v>
      </c>
      <c r="J55" t="s">
        <v>331</v>
      </c>
      <c r="K55" t="s">
        <v>302</v>
      </c>
      <c r="L55" t="s">
        <v>351</v>
      </c>
    </row>
    <row r="56" spans="1:12" x14ac:dyDescent="0.25">
      <c r="A56" t="s">
        <v>350</v>
      </c>
      <c r="B56" t="s">
        <v>336</v>
      </c>
      <c r="C56" t="s">
        <v>307</v>
      </c>
      <c r="D56" t="s">
        <v>349</v>
      </c>
      <c r="E56" t="s">
        <v>306</v>
      </c>
      <c r="F56" t="s">
        <v>348</v>
      </c>
      <c r="G56" t="s">
        <v>347</v>
      </c>
      <c r="H56" t="s">
        <v>602</v>
      </c>
      <c r="I56" t="s">
        <v>346</v>
      </c>
      <c r="J56" t="s">
        <v>331</v>
      </c>
      <c r="K56" t="s">
        <v>302</v>
      </c>
      <c r="L56" t="s">
        <v>345</v>
      </c>
    </row>
    <row r="57" spans="1:12" x14ac:dyDescent="0.25">
      <c r="A57" t="s">
        <v>344</v>
      </c>
      <c r="B57" t="s">
        <v>336</v>
      </c>
      <c r="C57" t="s">
        <v>307</v>
      </c>
      <c r="D57" t="s">
        <v>343</v>
      </c>
      <c r="E57" t="s">
        <v>306</v>
      </c>
      <c r="F57" t="s">
        <v>342</v>
      </c>
      <c r="G57" t="s">
        <v>341</v>
      </c>
      <c r="H57" t="s">
        <v>601</v>
      </c>
      <c r="I57" t="s">
        <v>340</v>
      </c>
      <c r="J57" t="s">
        <v>339</v>
      </c>
      <c r="K57" t="s">
        <v>302</v>
      </c>
      <c r="L57" t="s">
        <v>338</v>
      </c>
    </row>
    <row r="58" spans="1:12" x14ac:dyDescent="0.25">
      <c r="A58" t="s">
        <v>337</v>
      </c>
      <c r="B58" t="s">
        <v>336</v>
      </c>
      <c r="C58" t="s">
        <v>307</v>
      </c>
      <c r="D58" t="s">
        <v>335</v>
      </c>
      <c r="E58" t="s">
        <v>306</v>
      </c>
      <c r="F58" t="s">
        <v>334</v>
      </c>
      <c r="G58" t="s">
        <v>333</v>
      </c>
      <c r="H58" t="s">
        <v>600</v>
      </c>
      <c r="I58" t="s">
        <v>332</v>
      </c>
      <c r="J58" t="s">
        <v>331</v>
      </c>
      <c r="K58" t="s">
        <v>302</v>
      </c>
      <c r="L58" t="s">
        <v>330</v>
      </c>
    </row>
    <row r="59" spans="1:12" x14ac:dyDescent="0.25">
      <c r="A59" t="s">
        <v>329</v>
      </c>
      <c r="B59" t="s">
        <v>112</v>
      </c>
      <c r="C59" t="s">
        <v>307</v>
      </c>
      <c r="D59" t="s">
        <v>268</v>
      </c>
      <c r="E59" t="s">
        <v>306</v>
      </c>
      <c r="F59" t="s">
        <v>328</v>
      </c>
      <c r="G59" t="s">
        <v>327</v>
      </c>
      <c r="H59" t="s">
        <v>599</v>
      </c>
      <c r="I59" t="s">
        <v>326</v>
      </c>
      <c r="J59" t="s">
        <v>325</v>
      </c>
      <c r="K59" t="s">
        <v>302</v>
      </c>
    </row>
    <row r="60" spans="1:12" x14ac:dyDescent="0.25">
      <c r="A60" t="s">
        <v>324</v>
      </c>
      <c r="B60" t="s">
        <v>112</v>
      </c>
      <c r="C60" t="s">
        <v>307</v>
      </c>
      <c r="D60" t="s">
        <v>263</v>
      </c>
      <c r="E60" t="s">
        <v>306</v>
      </c>
      <c r="F60" t="s">
        <v>323</v>
      </c>
      <c r="G60" t="s">
        <v>322</v>
      </c>
      <c r="H60" t="s">
        <v>598</v>
      </c>
      <c r="I60" t="s">
        <v>321</v>
      </c>
      <c r="J60" t="s">
        <v>266</v>
      </c>
      <c r="K60" t="s">
        <v>302</v>
      </c>
    </row>
    <row r="61" spans="1:12" x14ac:dyDescent="0.25">
      <c r="A61" t="s">
        <v>320</v>
      </c>
      <c r="B61" t="s">
        <v>113</v>
      </c>
      <c r="C61" t="s">
        <v>307</v>
      </c>
      <c r="D61" t="s">
        <v>171</v>
      </c>
      <c r="E61" t="s">
        <v>306</v>
      </c>
      <c r="F61" t="s">
        <v>319</v>
      </c>
      <c r="G61" t="s">
        <v>318</v>
      </c>
      <c r="H61" t="s">
        <v>597</v>
      </c>
      <c r="I61" t="s">
        <v>317</v>
      </c>
      <c r="J61" t="s">
        <v>174</v>
      </c>
      <c r="K61" t="s">
        <v>302</v>
      </c>
    </row>
    <row r="62" spans="1:12" x14ac:dyDescent="0.25">
      <c r="A62" t="s">
        <v>316</v>
      </c>
      <c r="B62" t="s">
        <v>113</v>
      </c>
      <c r="C62" t="s">
        <v>307</v>
      </c>
      <c r="D62" t="s">
        <v>309</v>
      </c>
      <c r="E62" t="s">
        <v>306</v>
      </c>
      <c r="F62" t="s">
        <v>315</v>
      </c>
      <c r="G62" t="s">
        <v>314</v>
      </c>
      <c r="H62" t="s">
        <v>596</v>
      </c>
      <c r="I62" t="s">
        <v>313</v>
      </c>
      <c r="J62" t="s">
        <v>186</v>
      </c>
      <c r="K62" t="s">
        <v>302</v>
      </c>
    </row>
    <row r="63" spans="1:12" x14ac:dyDescent="0.25">
      <c r="A63" t="s">
        <v>312</v>
      </c>
      <c r="B63" t="s">
        <v>113</v>
      </c>
      <c r="C63" t="s">
        <v>307</v>
      </c>
      <c r="D63" t="s">
        <v>183</v>
      </c>
      <c r="E63" t="s">
        <v>306</v>
      </c>
      <c r="F63" t="s">
        <v>311</v>
      </c>
      <c r="G63" t="s">
        <v>310</v>
      </c>
      <c r="H63" t="s">
        <v>595</v>
      </c>
      <c r="I63" t="s">
        <v>309</v>
      </c>
      <c r="J63" t="s">
        <v>186</v>
      </c>
      <c r="K63" t="s">
        <v>302</v>
      </c>
    </row>
    <row r="64" spans="1:12" x14ac:dyDescent="0.25">
      <c r="A64" t="s">
        <v>308</v>
      </c>
      <c r="B64" t="s">
        <v>113</v>
      </c>
      <c r="C64" t="s">
        <v>307</v>
      </c>
      <c r="D64" t="s">
        <v>178</v>
      </c>
      <c r="E64" t="s">
        <v>306</v>
      </c>
      <c r="F64" t="s">
        <v>305</v>
      </c>
      <c r="G64" t="s">
        <v>304</v>
      </c>
      <c r="H64" t="s">
        <v>594</v>
      </c>
      <c r="I64" t="s">
        <v>303</v>
      </c>
      <c r="J64" t="s">
        <v>181</v>
      </c>
      <c r="K64" t="s">
        <v>302</v>
      </c>
    </row>
    <row r="65" spans="1:12" x14ac:dyDescent="0.25">
      <c r="A65" t="s">
        <v>301</v>
      </c>
      <c r="B65" t="s">
        <v>281</v>
      </c>
      <c r="C65" t="s">
        <v>280</v>
      </c>
      <c r="D65" t="s">
        <v>300</v>
      </c>
      <c r="E65" t="s">
        <v>278</v>
      </c>
      <c r="F65" t="s">
        <v>265</v>
      </c>
      <c r="G65" t="s">
        <v>299</v>
      </c>
      <c r="H65" t="s">
        <v>593</v>
      </c>
      <c r="I65" t="s">
        <v>298</v>
      </c>
      <c r="J65" t="s">
        <v>283</v>
      </c>
      <c r="K65" t="s">
        <v>274</v>
      </c>
    </row>
    <row r="66" spans="1:12" x14ac:dyDescent="0.25">
      <c r="A66" t="s">
        <v>297</v>
      </c>
      <c r="B66" t="s">
        <v>281</v>
      </c>
      <c r="C66" t="s">
        <v>280</v>
      </c>
      <c r="D66" t="s">
        <v>296</v>
      </c>
      <c r="E66" t="s">
        <v>278</v>
      </c>
      <c r="F66" t="s">
        <v>295</v>
      </c>
      <c r="G66" t="s">
        <v>294</v>
      </c>
      <c r="H66" t="s">
        <v>592</v>
      </c>
      <c r="I66" t="s">
        <v>293</v>
      </c>
      <c r="J66" t="s">
        <v>283</v>
      </c>
      <c r="K66" t="s">
        <v>274</v>
      </c>
    </row>
    <row r="67" spans="1:12" x14ac:dyDescent="0.25">
      <c r="A67" t="s">
        <v>292</v>
      </c>
      <c r="B67" t="s">
        <v>281</v>
      </c>
      <c r="C67" t="s">
        <v>280</v>
      </c>
      <c r="D67" t="s">
        <v>291</v>
      </c>
      <c r="E67" t="s">
        <v>278</v>
      </c>
      <c r="F67" t="s">
        <v>290</v>
      </c>
      <c r="G67" t="s">
        <v>289</v>
      </c>
      <c r="H67" t="s">
        <v>591</v>
      </c>
      <c r="I67" t="s">
        <v>288</v>
      </c>
      <c r="J67" t="s">
        <v>283</v>
      </c>
      <c r="K67" t="s">
        <v>274</v>
      </c>
    </row>
    <row r="68" spans="1:12" x14ac:dyDescent="0.25">
      <c r="A68" t="s">
        <v>287</v>
      </c>
      <c r="B68" t="s">
        <v>281</v>
      </c>
      <c r="C68" t="s">
        <v>280</v>
      </c>
      <c r="D68" t="s">
        <v>286</v>
      </c>
      <c r="E68" t="s">
        <v>278</v>
      </c>
      <c r="F68" t="s">
        <v>260</v>
      </c>
      <c r="G68" t="s">
        <v>285</v>
      </c>
      <c r="H68" t="s">
        <v>590</v>
      </c>
      <c r="I68" t="s">
        <v>284</v>
      </c>
      <c r="J68" t="s">
        <v>283</v>
      </c>
      <c r="K68" t="s">
        <v>274</v>
      </c>
    </row>
    <row r="69" spans="1:12" x14ac:dyDescent="0.25">
      <c r="A69" t="s">
        <v>282</v>
      </c>
      <c r="B69" t="s">
        <v>281</v>
      </c>
      <c r="C69" t="s">
        <v>280</v>
      </c>
      <c r="D69" t="s">
        <v>279</v>
      </c>
      <c r="E69" t="s">
        <v>278</v>
      </c>
      <c r="F69" t="s">
        <v>248</v>
      </c>
      <c r="G69" t="s">
        <v>277</v>
      </c>
      <c r="H69" t="s">
        <v>589</v>
      </c>
      <c r="I69" t="s">
        <v>276</v>
      </c>
      <c r="J69" t="s">
        <v>275</v>
      </c>
      <c r="K69" t="s">
        <v>274</v>
      </c>
      <c r="L69" t="s">
        <v>273</v>
      </c>
    </row>
    <row r="70" spans="1:12" x14ac:dyDescent="0.25">
      <c r="A70" t="s">
        <v>272</v>
      </c>
      <c r="B70" t="s">
        <v>176</v>
      </c>
      <c r="C70" t="s">
        <v>175</v>
      </c>
      <c r="D70" t="s">
        <v>271</v>
      </c>
      <c r="E70" t="s">
        <v>170</v>
      </c>
      <c r="F70" t="s">
        <v>270</v>
      </c>
      <c r="G70" t="s">
        <v>269</v>
      </c>
      <c r="H70" t="s">
        <v>588</v>
      </c>
      <c r="I70" t="s">
        <v>268</v>
      </c>
      <c r="K70" t="s">
        <v>170</v>
      </c>
    </row>
    <row r="71" spans="1:12" x14ac:dyDescent="0.25">
      <c r="A71" t="s">
        <v>267</v>
      </c>
      <c r="B71" t="s">
        <v>176</v>
      </c>
      <c r="C71" t="s">
        <v>175</v>
      </c>
      <c r="D71" t="s">
        <v>266</v>
      </c>
      <c r="E71" t="s">
        <v>170</v>
      </c>
      <c r="F71" t="s">
        <v>265</v>
      </c>
      <c r="G71" t="s">
        <v>264</v>
      </c>
      <c r="H71" t="s">
        <v>587</v>
      </c>
      <c r="I71" t="s">
        <v>263</v>
      </c>
      <c r="K71" t="s">
        <v>170</v>
      </c>
    </row>
    <row r="72" spans="1:12" x14ac:dyDescent="0.25">
      <c r="A72" t="s">
        <v>262</v>
      </c>
      <c r="B72" t="s">
        <v>176</v>
      </c>
      <c r="C72" t="s">
        <v>175</v>
      </c>
      <c r="D72" t="s">
        <v>261</v>
      </c>
      <c r="E72" t="s">
        <v>170</v>
      </c>
      <c r="F72" t="s">
        <v>260</v>
      </c>
      <c r="G72" t="s">
        <v>259</v>
      </c>
      <c r="H72" t="s">
        <v>586</v>
      </c>
      <c r="I72" t="s">
        <v>198</v>
      </c>
      <c r="K72" t="s">
        <v>170</v>
      </c>
    </row>
    <row r="73" spans="1:12" x14ac:dyDescent="0.25">
      <c r="A73" t="s">
        <v>258</v>
      </c>
      <c r="B73" t="s">
        <v>176</v>
      </c>
      <c r="C73" t="s">
        <v>175</v>
      </c>
      <c r="D73" t="s">
        <v>257</v>
      </c>
      <c r="E73" t="s">
        <v>170</v>
      </c>
      <c r="F73" t="s">
        <v>256</v>
      </c>
      <c r="G73" t="s">
        <v>255</v>
      </c>
      <c r="H73" t="s">
        <v>585</v>
      </c>
      <c r="I73" t="s">
        <v>193</v>
      </c>
      <c r="K73" t="s">
        <v>170</v>
      </c>
    </row>
    <row r="74" spans="1:12" x14ac:dyDescent="0.25">
      <c r="A74" t="s">
        <v>254</v>
      </c>
      <c r="B74" t="s">
        <v>176</v>
      </c>
      <c r="C74" t="s">
        <v>175</v>
      </c>
      <c r="D74" t="s">
        <v>253</v>
      </c>
      <c r="E74" t="s">
        <v>170</v>
      </c>
      <c r="F74" t="s">
        <v>252</v>
      </c>
      <c r="G74" t="s">
        <v>251</v>
      </c>
      <c r="H74" t="s">
        <v>584</v>
      </c>
      <c r="I74" t="s">
        <v>188</v>
      </c>
      <c r="K74" t="s">
        <v>170</v>
      </c>
    </row>
    <row r="75" spans="1:12" x14ac:dyDescent="0.25">
      <c r="A75" t="s">
        <v>250</v>
      </c>
      <c r="B75" t="s">
        <v>176</v>
      </c>
      <c r="C75" t="s">
        <v>175</v>
      </c>
      <c r="D75" t="s">
        <v>249</v>
      </c>
      <c r="E75" t="s">
        <v>170</v>
      </c>
      <c r="F75" t="s">
        <v>248</v>
      </c>
      <c r="G75" t="s">
        <v>247</v>
      </c>
      <c r="H75" t="s">
        <v>586</v>
      </c>
      <c r="I75" t="s">
        <v>198</v>
      </c>
      <c r="K75" t="s">
        <v>170</v>
      </c>
    </row>
    <row r="76" spans="1:12" x14ac:dyDescent="0.25">
      <c r="A76" t="s">
        <v>246</v>
      </c>
      <c r="B76" t="s">
        <v>176</v>
      </c>
      <c r="C76" t="s">
        <v>175</v>
      </c>
      <c r="D76" t="s">
        <v>245</v>
      </c>
      <c r="E76" t="s">
        <v>170</v>
      </c>
      <c r="F76" t="s">
        <v>244</v>
      </c>
      <c r="G76" t="s">
        <v>243</v>
      </c>
      <c r="H76" t="s">
        <v>585</v>
      </c>
      <c r="I76" t="s">
        <v>193</v>
      </c>
      <c r="K76" t="s">
        <v>170</v>
      </c>
    </row>
    <row r="77" spans="1:12" x14ac:dyDescent="0.25">
      <c r="A77" t="s">
        <v>242</v>
      </c>
      <c r="B77" t="s">
        <v>176</v>
      </c>
      <c r="C77" t="s">
        <v>175</v>
      </c>
      <c r="D77" t="s">
        <v>241</v>
      </c>
      <c r="E77" t="s">
        <v>170</v>
      </c>
      <c r="F77" t="s">
        <v>240</v>
      </c>
      <c r="G77" t="s">
        <v>239</v>
      </c>
      <c r="H77" t="s">
        <v>584</v>
      </c>
      <c r="I77" t="s">
        <v>188</v>
      </c>
      <c r="K77" t="s">
        <v>170</v>
      </c>
    </row>
    <row r="78" spans="1:12" x14ac:dyDescent="0.25">
      <c r="A78" t="s">
        <v>238</v>
      </c>
      <c r="B78" t="s">
        <v>176</v>
      </c>
      <c r="C78" t="s">
        <v>175</v>
      </c>
      <c r="D78" t="s">
        <v>237</v>
      </c>
      <c r="E78" t="s">
        <v>170</v>
      </c>
      <c r="F78" t="s">
        <v>236</v>
      </c>
      <c r="G78" t="s">
        <v>235</v>
      </c>
      <c r="H78" t="s">
        <v>586</v>
      </c>
      <c r="I78" t="s">
        <v>198</v>
      </c>
      <c r="K78" t="s">
        <v>170</v>
      </c>
    </row>
    <row r="79" spans="1:12" x14ac:dyDescent="0.25">
      <c r="A79" t="s">
        <v>234</v>
      </c>
      <c r="B79" t="s">
        <v>176</v>
      </c>
      <c r="C79" t="s">
        <v>175</v>
      </c>
      <c r="D79" t="s">
        <v>233</v>
      </c>
      <c r="E79" t="s">
        <v>170</v>
      </c>
      <c r="F79" t="s">
        <v>232</v>
      </c>
      <c r="G79" t="s">
        <v>231</v>
      </c>
      <c r="H79" t="s">
        <v>585</v>
      </c>
      <c r="I79" t="s">
        <v>193</v>
      </c>
      <c r="K79" t="s">
        <v>170</v>
      </c>
    </row>
    <row r="80" spans="1:12" x14ac:dyDescent="0.25">
      <c r="A80" t="s">
        <v>230</v>
      </c>
      <c r="B80" t="s">
        <v>176</v>
      </c>
      <c r="C80" t="s">
        <v>175</v>
      </c>
      <c r="D80" t="s">
        <v>229</v>
      </c>
      <c r="E80" t="s">
        <v>170</v>
      </c>
      <c r="F80" t="s">
        <v>228</v>
      </c>
      <c r="G80" t="s">
        <v>227</v>
      </c>
      <c r="H80" t="s">
        <v>584</v>
      </c>
      <c r="I80" t="s">
        <v>188</v>
      </c>
      <c r="K80" t="s">
        <v>170</v>
      </c>
    </row>
    <row r="81" spans="1:11" x14ac:dyDescent="0.25">
      <c r="A81" t="s">
        <v>226</v>
      </c>
      <c r="B81" t="s">
        <v>176</v>
      </c>
      <c r="C81" t="s">
        <v>175</v>
      </c>
      <c r="D81" t="s">
        <v>225</v>
      </c>
      <c r="E81" t="s">
        <v>170</v>
      </c>
      <c r="F81" t="s">
        <v>224</v>
      </c>
      <c r="G81" t="s">
        <v>223</v>
      </c>
      <c r="H81" t="s">
        <v>586</v>
      </c>
      <c r="I81" t="s">
        <v>198</v>
      </c>
      <c r="K81" t="s">
        <v>170</v>
      </c>
    </row>
    <row r="82" spans="1:11" x14ac:dyDescent="0.25">
      <c r="A82" t="s">
        <v>222</v>
      </c>
      <c r="B82" t="s">
        <v>176</v>
      </c>
      <c r="C82" t="s">
        <v>175</v>
      </c>
      <c r="D82" t="s">
        <v>221</v>
      </c>
      <c r="E82" t="s">
        <v>170</v>
      </c>
      <c r="F82" t="s">
        <v>220</v>
      </c>
      <c r="G82" t="s">
        <v>219</v>
      </c>
      <c r="H82" t="s">
        <v>585</v>
      </c>
      <c r="I82" t="s">
        <v>193</v>
      </c>
      <c r="K82" t="s">
        <v>170</v>
      </c>
    </row>
    <row r="83" spans="1:11" x14ac:dyDescent="0.25">
      <c r="A83" t="s">
        <v>218</v>
      </c>
      <c r="B83" t="s">
        <v>176</v>
      </c>
      <c r="C83" t="s">
        <v>175</v>
      </c>
      <c r="D83" t="s">
        <v>217</v>
      </c>
      <c r="E83" t="s">
        <v>170</v>
      </c>
      <c r="F83" t="s">
        <v>216</v>
      </c>
      <c r="G83" t="s">
        <v>215</v>
      </c>
      <c r="H83" t="s">
        <v>584</v>
      </c>
      <c r="I83" t="s">
        <v>188</v>
      </c>
      <c r="K83" t="s">
        <v>170</v>
      </c>
    </row>
    <row r="84" spans="1:11" x14ac:dyDescent="0.25">
      <c r="A84" t="s">
        <v>214</v>
      </c>
      <c r="B84" t="s">
        <v>176</v>
      </c>
      <c r="C84" t="s">
        <v>175</v>
      </c>
      <c r="D84" t="s">
        <v>213</v>
      </c>
      <c r="E84" t="s">
        <v>170</v>
      </c>
      <c r="F84" t="s">
        <v>212</v>
      </c>
      <c r="G84" t="s">
        <v>211</v>
      </c>
      <c r="H84" t="s">
        <v>586</v>
      </c>
      <c r="I84" t="s">
        <v>198</v>
      </c>
      <c r="K84" t="s">
        <v>170</v>
      </c>
    </row>
    <row r="85" spans="1:11" x14ac:dyDescent="0.25">
      <c r="A85" t="s">
        <v>210</v>
      </c>
      <c r="B85" t="s">
        <v>176</v>
      </c>
      <c r="C85" t="s">
        <v>175</v>
      </c>
      <c r="D85" t="s">
        <v>209</v>
      </c>
      <c r="E85" t="s">
        <v>170</v>
      </c>
      <c r="F85" t="s">
        <v>208</v>
      </c>
      <c r="G85" t="s">
        <v>207</v>
      </c>
      <c r="H85" t="s">
        <v>585</v>
      </c>
      <c r="I85" t="s">
        <v>193</v>
      </c>
      <c r="K85" t="s">
        <v>170</v>
      </c>
    </row>
    <row r="86" spans="1:11" x14ac:dyDescent="0.25">
      <c r="A86" t="s">
        <v>206</v>
      </c>
      <c r="B86" t="s">
        <v>176</v>
      </c>
      <c r="C86" t="s">
        <v>175</v>
      </c>
      <c r="D86" t="s">
        <v>205</v>
      </c>
      <c r="E86" t="s">
        <v>170</v>
      </c>
      <c r="F86" t="s">
        <v>204</v>
      </c>
      <c r="G86" t="s">
        <v>203</v>
      </c>
      <c r="H86" t="s">
        <v>584</v>
      </c>
      <c r="I86" t="s">
        <v>188</v>
      </c>
      <c r="K86" t="s">
        <v>170</v>
      </c>
    </row>
    <row r="87" spans="1:11" x14ac:dyDescent="0.25">
      <c r="A87" t="s">
        <v>202</v>
      </c>
      <c r="B87" t="s">
        <v>176</v>
      </c>
      <c r="C87" t="s">
        <v>175</v>
      </c>
      <c r="D87" t="s">
        <v>201</v>
      </c>
      <c r="E87" t="s">
        <v>170</v>
      </c>
      <c r="F87" t="s">
        <v>200</v>
      </c>
      <c r="G87" t="s">
        <v>199</v>
      </c>
      <c r="H87" t="s">
        <v>586</v>
      </c>
      <c r="I87" t="s">
        <v>198</v>
      </c>
      <c r="K87" t="s">
        <v>170</v>
      </c>
    </row>
    <row r="88" spans="1:11" x14ac:dyDescent="0.25">
      <c r="A88" t="s">
        <v>197</v>
      </c>
      <c r="B88" t="s">
        <v>176</v>
      </c>
      <c r="C88" t="s">
        <v>175</v>
      </c>
      <c r="D88" t="s">
        <v>196</v>
      </c>
      <c r="E88" t="s">
        <v>170</v>
      </c>
      <c r="F88" t="s">
        <v>195</v>
      </c>
      <c r="G88" t="s">
        <v>194</v>
      </c>
      <c r="H88" t="s">
        <v>585</v>
      </c>
      <c r="I88" t="s">
        <v>193</v>
      </c>
      <c r="K88" t="s">
        <v>170</v>
      </c>
    </row>
    <row r="89" spans="1:11" x14ac:dyDescent="0.25">
      <c r="A89" t="s">
        <v>192</v>
      </c>
      <c r="B89" t="s">
        <v>176</v>
      </c>
      <c r="C89" t="s">
        <v>175</v>
      </c>
      <c r="D89" t="s">
        <v>191</v>
      </c>
      <c r="E89" t="s">
        <v>170</v>
      </c>
      <c r="F89" t="s">
        <v>190</v>
      </c>
      <c r="G89" t="s">
        <v>189</v>
      </c>
      <c r="H89" t="s">
        <v>584</v>
      </c>
      <c r="I89" t="s">
        <v>188</v>
      </c>
      <c r="K89" t="s">
        <v>170</v>
      </c>
    </row>
    <row r="90" spans="1:11" x14ac:dyDescent="0.25">
      <c r="A90" t="s">
        <v>187</v>
      </c>
      <c r="B90" t="s">
        <v>176</v>
      </c>
      <c r="C90" t="s">
        <v>175</v>
      </c>
      <c r="D90" t="s">
        <v>186</v>
      </c>
      <c r="E90" t="s">
        <v>170</v>
      </c>
      <c r="F90" t="s">
        <v>185</v>
      </c>
      <c r="G90" t="s">
        <v>184</v>
      </c>
      <c r="H90" t="s">
        <v>583</v>
      </c>
      <c r="I90" t="s">
        <v>183</v>
      </c>
      <c r="K90" t="s">
        <v>170</v>
      </c>
    </row>
    <row r="91" spans="1:11" x14ac:dyDescent="0.25">
      <c r="A91" t="s">
        <v>182</v>
      </c>
      <c r="B91" t="s">
        <v>176</v>
      </c>
      <c r="C91" t="s">
        <v>175</v>
      </c>
      <c r="D91" t="s">
        <v>181</v>
      </c>
      <c r="E91" t="s">
        <v>170</v>
      </c>
      <c r="F91" t="s">
        <v>180</v>
      </c>
      <c r="G91" t="s">
        <v>179</v>
      </c>
      <c r="H91" t="s">
        <v>582</v>
      </c>
      <c r="I91" t="s">
        <v>178</v>
      </c>
      <c r="K91" t="s">
        <v>170</v>
      </c>
    </row>
    <row r="92" spans="1:11" x14ac:dyDescent="0.25">
      <c r="A92" t="s">
        <v>177</v>
      </c>
      <c r="B92" t="s">
        <v>176</v>
      </c>
      <c r="C92" t="s">
        <v>175</v>
      </c>
      <c r="D92" t="s">
        <v>174</v>
      </c>
      <c r="E92" t="s">
        <v>170</v>
      </c>
      <c r="F92" t="s">
        <v>173</v>
      </c>
      <c r="G92" t="s">
        <v>172</v>
      </c>
      <c r="H92" t="s">
        <v>581</v>
      </c>
      <c r="I92" t="s">
        <v>171</v>
      </c>
      <c r="K92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Inputs</vt:lpstr>
      <vt:lpstr>Assumptions</vt:lpstr>
      <vt:lpstr>Observations_Analysis</vt:lpstr>
      <vt:lpstr>Informational_Inputs</vt:lpstr>
      <vt:lpstr>Summary</vt:lpstr>
      <vt:lpstr>Executive_PDF</vt:lpstr>
      <vt:lpstr>Appendix_Visuals</vt:lpstr>
      <vt:lpstr>_Calc</vt:lpstr>
      <vt:lpstr>_Checks</vt:lpstr>
      <vt:lpstr>_Wiring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Stuart Donnelson</cp:lastModifiedBy>
  <dcterms:created xsi:type="dcterms:W3CDTF">2026-01-29T22:08:55Z</dcterms:created>
  <dcterms:modified xsi:type="dcterms:W3CDTF">2026-02-01T23:29:14Z</dcterms:modified>
</cp:coreProperties>
</file>