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Senior 2nd Semester\ECE 458\Budget &amp; Money\"/>
    </mc:Choice>
  </mc:AlternateContent>
  <xr:revisionPtr revIDLastSave="0" documentId="13_ncr:1_{47F31C71-E261-40A6-96CF-441B78AD18B4}" xr6:coauthVersionLast="47" xr6:coauthVersionMax="47" xr10:uidLastSave="{00000000-0000-0000-0000-000000000000}"/>
  <bookViews>
    <workbookView xWindow="390" yWindow="390" windowWidth="26760" windowHeight="14730" xr2:uid="{E5B3988D-8C5A-453A-85B8-D917B03F51A6}"/>
  </bookViews>
  <sheets>
    <sheet name="Sheet1" sheetId="1" r:id="rId1"/>
  </sheets>
  <definedNames>
    <definedName name="_xlchart.v1.0" hidden="1">Sheet1!$A$49:$A$65</definedName>
    <definedName name="_xlchart.v1.1" hidden="1">Sheet1!$L$46</definedName>
    <definedName name="_xlchart.v1.2" hidden="1">Sheet1!$L$49:$L$65</definedName>
    <definedName name="_xlchart.v1.3" hidden="1">Sheet1!$M$46</definedName>
    <definedName name="_xlchart.v1.4" hidden="1">Sheet1!$M$49:$M$65</definedName>
    <definedName name="_xlchart.v1.5" hidden="1">Sheet1!$N$46</definedName>
    <definedName name="_xlchart.v1.6" hidden="1">Sheet1!$N$49:$N$65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" i="1" l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G48" i="1"/>
  <c r="I48" i="1" s="1"/>
  <c r="G49" i="1"/>
  <c r="I49" i="1" s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47" i="1"/>
  <c r="I47" i="1" s="1"/>
  <c r="N47" i="1" s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47" i="1"/>
  <c r="L47" i="1" s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47" i="1"/>
  <c r="M47" i="1" s="1"/>
  <c r="M48" i="1" s="1"/>
  <c r="C61" i="1"/>
  <c r="C58" i="1"/>
  <c r="C56" i="1"/>
  <c r="C53" i="1"/>
  <c r="C52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C43" i="1"/>
  <c r="C42" i="1"/>
  <c r="B42" i="1"/>
  <c r="C41" i="1"/>
  <c r="B41" i="1"/>
  <c r="K41" i="1"/>
  <c r="K40" i="1"/>
  <c r="K39" i="1"/>
  <c r="K38" i="1"/>
  <c r="K34" i="1"/>
  <c r="K37" i="1"/>
  <c r="K30" i="1"/>
  <c r="K36" i="1"/>
  <c r="G18" i="1"/>
  <c r="L28" i="1"/>
  <c r="M28" i="1"/>
  <c r="N28" i="1"/>
  <c r="O28" i="1"/>
  <c r="P28" i="1"/>
  <c r="Q28" i="1"/>
  <c r="R28" i="1"/>
  <c r="S28" i="1"/>
  <c r="T28" i="1"/>
  <c r="U28" i="1"/>
  <c r="V28" i="1"/>
  <c r="W28" i="1"/>
  <c r="K28" i="1"/>
  <c r="K29" i="1" s="1"/>
  <c r="L29" i="1" s="1"/>
  <c r="M29" i="1" s="1"/>
  <c r="N29" i="1" s="1"/>
  <c r="O29" i="1" s="1"/>
  <c r="F18" i="1"/>
  <c r="AA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K33" i="1" a="1"/>
  <c r="K33" i="1" s="1"/>
  <c r="W26" i="1"/>
  <c r="V26" i="1"/>
  <c r="M26" i="1"/>
  <c r="M27" i="1" s="1"/>
  <c r="N27" i="1" s="1"/>
  <c r="O27" i="1" s="1"/>
  <c r="P27" i="1" s="1"/>
  <c r="Q27" i="1" s="1"/>
  <c r="R27" i="1" s="1"/>
  <c r="S27" i="1" s="1"/>
  <c r="T27" i="1" s="1"/>
  <c r="U27" i="1" s="1"/>
  <c r="T26" i="1"/>
  <c r="L27" i="1"/>
  <c r="K27" i="1"/>
  <c r="AC16" i="1"/>
  <c r="AC17" i="1"/>
  <c r="AC15" i="1"/>
  <c r="AA16" i="1"/>
  <c r="AA17" i="1"/>
  <c r="AA18" i="1"/>
  <c r="AC18" i="1" s="1"/>
  <c r="AA19" i="1"/>
  <c r="AC19" i="1" s="1"/>
  <c r="AA20" i="1"/>
  <c r="AC20" i="1" s="1"/>
  <c r="AA21" i="1"/>
  <c r="AA15" i="1"/>
  <c r="M24" i="1"/>
  <c r="N24" i="1"/>
  <c r="O24" i="1" s="1"/>
  <c r="P24" i="1" s="1"/>
  <c r="Q24" i="1" s="1"/>
  <c r="R24" i="1" s="1"/>
  <c r="L24" i="1"/>
  <c r="K24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K23" i="1"/>
  <c r="L9" i="1"/>
  <c r="L48" i="1" l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N48" i="1"/>
  <c r="M49" i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F66" i="1"/>
  <c r="I66" i="1"/>
  <c r="N49" i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D66" i="1"/>
  <c r="P29" i="1"/>
  <c r="Q29" i="1" s="1"/>
  <c r="R29" i="1" s="1"/>
  <c r="S29" i="1" s="1"/>
  <c r="T29" i="1" s="1"/>
  <c r="U29" i="1" s="1"/>
  <c r="V29" i="1" s="1"/>
  <c r="W29" i="1" s="1"/>
  <c r="K32" i="1" s="1" a="1"/>
  <c r="K32" i="1" s="1"/>
  <c r="AC22" i="1"/>
  <c r="S24" i="1"/>
  <c r="T24" i="1" s="1"/>
  <c r="U24" i="1" s="1"/>
  <c r="V24" i="1" s="1"/>
  <c r="W24" i="1" s="1"/>
  <c r="X24" i="1" s="1"/>
  <c r="Y24" i="1" s="1"/>
  <c r="AA23" i="1"/>
  <c r="V27" i="1"/>
  <c r="W27" i="1" s="1"/>
  <c r="J66" i="1" l="1"/>
  <c r="K31" i="1" a="1"/>
  <c r="K31" i="1" s="1"/>
  <c r="G17" i="1"/>
  <c r="E17" i="1"/>
  <c r="D17" i="1"/>
  <c r="C17" i="1"/>
  <c r="B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17" i="1" l="1"/>
  <c r="G19" i="1" s="1"/>
  <c r="AB21" i="1" s="1"/>
  <c r="AC21" i="1" s="1"/>
  <c r="AC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<sst xmlns="http://schemas.openxmlformats.org/spreadsheetml/2006/main" count="67" uniqueCount="52">
  <si>
    <t>Hours</t>
  </si>
  <si>
    <t>Spencer</t>
  </si>
  <si>
    <t>Tom</t>
  </si>
  <si>
    <t>Arthur</t>
  </si>
  <si>
    <t>Antz</t>
  </si>
  <si>
    <t>Total</t>
  </si>
  <si>
    <t>Expected</t>
  </si>
  <si>
    <t>Task</t>
  </si>
  <si>
    <t>Number</t>
  </si>
  <si>
    <t>Total Budgeted Cost (TBC)</t>
  </si>
  <si>
    <t>AUV Research</t>
  </si>
  <si>
    <t>Winch</t>
  </si>
  <si>
    <t>Charging</t>
  </si>
  <si>
    <t>DC to DC</t>
  </si>
  <si>
    <t>Garage</t>
  </si>
  <si>
    <t>Battery</t>
  </si>
  <si>
    <t>Period</t>
  </si>
  <si>
    <t>Week of</t>
  </si>
  <si>
    <t>Predecessor</t>
  </si>
  <si>
    <t>Duration (Weeks)</t>
  </si>
  <si>
    <t>1,3</t>
  </si>
  <si>
    <t>~90%</t>
  </si>
  <si>
    <t>Basic Hours</t>
  </si>
  <si>
    <t>Actual Hours</t>
  </si>
  <si>
    <t>Planned Value (PV)</t>
  </si>
  <si>
    <t>Growing PV</t>
  </si>
  <si>
    <t>Actual Cost</t>
  </si>
  <si>
    <t>Planned Value</t>
  </si>
  <si>
    <t>% Completed</t>
  </si>
  <si>
    <t>Earned Value</t>
  </si>
  <si>
    <t>Accured Actual Cost (AC)</t>
  </si>
  <si>
    <t>Accured EV</t>
  </si>
  <si>
    <t>Actual Cost (ACWP)</t>
  </si>
  <si>
    <t>Earned Value (BCWP)</t>
  </si>
  <si>
    <t>$25/hour</t>
  </si>
  <si>
    <t>Cost Variance (CV)</t>
  </si>
  <si>
    <t>Schedule Variance (SV)</t>
  </si>
  <si>
    <t>Cost Performance Index (CPI)</t>
  </si>
  <si>
    <t>Sch. Performance Index (SPI)</t>
  </si>
  <si>
    <t>Est. Cost at Completion</t>
  </si>
  <si>
    <t>Est. Time at Completion</t>
  </si>
  <si>
    <t>Total Hours</t>
  </si>
  <si>
    <t>~109%</t>
  </si>
  <si>
    <t>Cost of labor</t>
  </si>
  <si>
    <t>Cost of parts</t>
  </si>
  <si>
    <t>Cost per Week</t>
  </si>
  <si>
    <t>projected cost of parts</t>
  </si>
  <si>
    <t>projected cost per week</t>
  </si>
  <si>
    <t>total</t>
  </si>
  <si>
    <t>percentages</t>
  </si>
  <si>
    <t>labor/5</t>
  </si>
  <si>
    <t>Earned Value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</si>
</sst>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38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Earned Value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699662542182228E-2"/>
          <c:y val="9.4134267949673181E-2"/>
          <c:w val="0.89605033745781781"/>
          <c:h val="0.78403822494367881"/>
        </c:manualLayout>
      </c:layout>
      <c:lineChart>
        <c:grouping val="standard"/>
        <c:varyColors val="0"/>
        <c:ser>
          <c:idx val="0"/>
          <c:order val="0"/>
          <c:tx>
            <c:strRef>
              <c:f>Sheet1!$J$31</c:f>
              <c:strCache>
                <c:ptCount val="1"/>
                <c:pt idx="0">
                  <c:v>Planned Value (PV)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Sheet1!$K$13:$Y$13</c:f>
              <c:numCache>
                <c:formatCode>d\-mmm</c:formatCode>
                <c:ptCount val="15"/>
                <c:pt idx="0">
                  <c:v>44444</c:v>
                </c:pt>
                <c:pt idx="1">
                  <c:v>44451</c:v>
                </c:pt>
                <c:pt idx="2">
                  <c:v>44458</c:v>
                </c:pt>
                <c:pt idx="3">
                  <c:v>44465</c:v>
                </c:pt>
                <c:pt idx="4">
                  <c:v>44472</c:v>
                </c:pt>
                <c:pt idx="5">
                  <c:v>44479</c:v>
                </c:pt>
                <c:pt idx="6">
                  <c:v>44486</c:v>
                </c:pt>
                <c:pt idx="7">
                  <c:v>44493</c:v>
                </c:pt>
                <c:pt idx="8">
                  <c:v>44500</c:v>
                </c:pt>
                <c:pt idx="9">
                  <c:v>44507</c:v>
                </c:pt>
                <c:pt idx="10">
                  <c:v>44514</c:v>
                </c:pt>
                <c:pt idx="11">
                  <c:v>44521</c:v>
                </c:pt>
                <c:pt idx="12">
                  <c:v>44528</c:v>
                </c:pt>
                <c:pt idx="13">
                  <c:v>44535</c:v>
                </c:pt>
                <c:pt idx="14">
                  <c:v>44542</c:v>
                </c:pt>
              </c:numCache>
            </c:numRef>
          </c:cat>
          <c:val>
            <c:numRef>
              <c:f>Sheet1!$K$31:$Y$31</c:f>
              <c:numCache>
                <c:formatCode>General</c:formatCode>
                <c:ptCount val="15"/>
                <c:pt idx="0">
                  <c:v>550</c:v>
                </c:pt>
                <c:pt idx="1">
                  <c:v>1100</c:v>
                </c:pt>
                <c:pt idx="2">
                  <c:v>1900</c:v>
                </c:pt>
                <c:pt idx="3">
                  <c:v>2700</c:v>
                </c:pt>
                <c:pt idx="4">
                  <c:v>3650</c:v>
                </c:pt>
                <c:pt idx="5">
                  <c:v>4550</c:v>
                </c:pt>
                <c:pt idx="6">
                  <c:v>5550</c:v>
                </c:pt>
                <c:pt idx="7">
                  <c:v>6550</c:v>
                </c:pt>
                <c:pt idx="8">
                  <c:v>7750</c:v>
                </c:pt>
                <c:pt idx="9">
                  <c:v>9000</c:v>
                </c:pt>
                <c:pt idx="10">
                  <c:v>10250</c:v>
                </c:pt>
                <c:pt idx="11">
                  <c:v>11550</c:v>
                </c:pt>
                <c:pt idx="12">
                  <c:v>11550</c:v>
                </c:pt>
                <c:pt idx="13">
                  <c:v>13100</c:v>
                </c:pt>
                <c:pt idx="14">
                  <c:v>14700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C-4835-A1FC-6974F1A81B24}"/>
            </c:ext>
          </c:extLst>
        </c:ser>
        <c:ser>
          <c:idx val="1"/>
          <c:order val="1"/>
          <c:tx>
            <c:strRef>
              <c:f>Sheet1!$J$32</c:f>
              <c:strCache>
                <c:ptCount val="1"/>
                <c:pt idx="0">
                  <c:v>Earned Value (BCWP)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Sheet1!$K$13:$Y$13</c:f>
              <c:numCache>
                <c:formatCode>d\-mmm</c:formatCode>
                <c:ptCount val="15"/>
                <c:pt idx="0">
                  <c:v>44444</c:v>
                </c:pt>
                <c:pt idx="1">
                  <c:v>44451</c:v>
                </c:pt>
                <c:pt idx="2">
                  <c:v>44458</c:v>
                </c:pt>
                <c:pt idx="3">
                  <c:v>44465</c:v>
                </c:pt>
                <c:pt idx="4">
                  <c:v>44472</c:v>
                </c:pt>
                <c:pt idx="5">
                  <c:v>44479</c:v>
                </c:pt>
                <c:pt idx="6">
                  <c:v>44486</c:v>
                </c:pt>
                <c:pt idx="7">
                  <c:v>44493</c:v>
                </c:pt>
                <c:pt idx="8">
                  <c:v>44500</c:v>
                </c:pt>
                <c:pt idx="9">
                  <c:v>44507</c:v>
                </c:pt>
                <c:pt idx="10">
                  <c:v>44514</c:v>
                </c:pt>
                <c:pt idx="11">
                  <c:v>44521</c:v>
                </c:pt>
                <c:pt idx="12">
                  <c:v>44528</c:v>
                </c:pt>
                <c:pt idx="13">
                  <c:v>44535</c:v>
                </c:pt>
                <c:pt idx="14">
                  <c:v>44542</c:v>
                </c:pt>
              </c:numCache>
            </c:numRef>
          </c:cat>
          <c:val>
            <c:numRef>
              <c:f>Sheet1!$K$32:$Y$32</c:f>
              <c:numCache>
                <c:formatCode>General</c:formatCode>
                <c:ptCount val="15"/>
                <c:pt idx="0">
                  <c:v>175</c:v>
                </c:pt>
                <c:pt idx="1">
                  <c:v>712.5</c:v>
                </c:pt>
                <c:pt idx="2">
                  <c:v>1540</c:v>
                </c:pt>
                <c:pt idx="3">
                  <c:v>2242.5</c:v>
                </c:pt>
                <c:pt idx="4">
                  <c:v>2908.75</c:v>
                </c:pt>
                <c:pt idx="5">
                  <c:v>4078.75</c:v>
                </c:pt>
                <c:pt idx="6">
                  <c:v>5096.25</c:v>
                </c:pt>
                <c:pt idx="7">
                  <c:v>6438.75</c:v>
                </c:pt>
                <c:pt idx="8">
                  <c:v>7776.25</c:v>
                </c:pt>
                <c:pt idx="9">
                  <c:v>8678.75</c:v>
                </c:pt>
                <c:pt idx="10">
                  <c:v>9461.25</c:v>
                </c:pt>
                <c:pt idx="11">
                  <c:v>10396.25</c:v>
                </c:pt>
                <c:pt idx="12">
                  <c:v>10608.75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3C-4835-A1FC-6974F1A81B24}"/>
            </c:ext>
          </c:extLst>
        </c:ser>
        <c:ser>
          <c:idx val="2"/>
          <c:order val="2"/>
          <c:tx>
            <c:strRef>
              <c:f>Sheet1!$J$33</c:f>
              <c:strCache>
                <c:ptCount val="1"/>
                <c:pt idx="0">
                  <c:v>Actual Cost (ACWP)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Sheet1!$K$13:$Y$13</c:f>
              <c:numCache>
                <c:formatCode>d\-mmm</c:formatCode>
                <c:ptCount val="15"/>
                <c:pt idx="0">
                  <c:v>44444</c:v>
                </c:pt>
                <c:pt idx="1">
                  <c:v>44451</c:v>
                </c:pt>
                <c:pt idx="2">
                  <c:v>44458</c:v>
                </c:pt>
                <c:pt idx="3">
                  <c:v>44465</c:v>
                </c:pt>
                <c:pt idx="4">
                  <c:v>44472</c:v>
                </c:pt>
                <c:pt idx="5">
                  <c:v>44479</c:v>
                </c:pt>
                <c:pt idx="6">
                  <c:v>44486</c:v>
                </c:pt>
                <c:pt idx="7">
                  <c:v>44493</c:v>
                </c:pt>
                <c:pt idx="8">
                  <c:v>44500</c:v>
                </c:pt>
                <c:pt idx="9">
                  <c:v>44507</c:v>
                </c:pt>
                <c:pt idx="10">
                  <c:v>44514</c:v>
                </c:pt>
                <c:pt idx="11">
                  <c:v>44521</c:v>
                </c:pt>
                <c:pt idx="12">
                  <c:v>44528</c:v>
                </c:pt>
                <c:pt idx="13">
                  <c:v>44535</c:v>
                </c:pt>
                <c:pt idx="14">
                  <c:v>44542</c:v>
                </c:pt>
              </c:numCache>
            </c:numRef>
          </c:cat>
          <c:val>
            <c:numRef>
              <c:f>Sheet1!$K$33:$Y$33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166.25</c:v>
                </c:pt>
                <c:pt idx="3">
                  <c:v>616.25</c:v>
                </c:pt>
                <c:pt idx="4">
                  <c:v>941.25</c:v>
                </c:pt>
                <c:pt idx="5">
                  <c:v>1786.25</c:v>
                </c:pt>
                <c:pt idx="6">
                  <c:v>3486.25</c:v>
                </c:pt>
                <c:pt idx="7">
                  <c:v>4661.25</c:v>
                </c:pt>
                <c:pt idx="8">
                  <c:v>4861.25</c:v>
                </c:pt>
                <c:pt idx="9">
                  <c:v>5198.75</c:v>
                </c:pt>
                <c:pt idx="10">
                  <c:v>5653.75</c:v>
                </c:pt>
                <c:pt idx="11">
                  <c:v>5985</c:v>
                </c:pt>
                <c:pt idx="12">
                  <c:v>6416.23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3C-4835-A1FC-6974F1A81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557696"/>
        <c:axId val="606552776"/>
      </c:lineChart>
      <c:dateAx>
        <c:axId val="60655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52776"/>
        <c:crosses val="autoZero"/>
        <c:auto val="1"/>
        <c:lblOffset val="100"/>
        <c:baseTimeUnit val="days"/>
      </c:dateAx>
      <c:valAx>
        <c:axId val="60655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in USD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3581738784754E-2"/>
          <c:y val="1.2689716689435979E-2"/>
          <c:w val="0.93356418261215246"/>
          <c:h val="0.93315902767421677"/>
        </c:manualLayout>
      </c:layout>
      <c:lineChart>
        <c:grouping val="standard"/>
        <c:varyColors val="0"/>
        <c:ser>
          <c:idx val="0"/>
          <c:order val="0"/>
          <c:tx>
            <c:strRef>
              <c:f>Sheet1!$L$46</c:f>
              <c:strCache>
                <c:ptCount val="1"/>
                <c:pt idx="0">
                  <c:v>Planned Value (PV)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Sheet1!$A$49:$A$65</c:f>
              <c:numCache>
                <c:formatCode>d\-mmm</c:formatCode>
                <c:ptCount val="1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</c:numCache>
            </c:numRef>
          </c:cat>
          <c:val>
            <c:numRef>
              <c:f>Sheet1!$L$49:$L$65</c:f>
              <c:numCache>
                <c:formatCode>General</c:formatCode>
                <c:ptCount val="17"/>
                <c:pt idx="0">
                  <c:v>1825</c:v>
                </c:pt>
                <c:pt idx="1">
                  <c:v>2225</c:v>
                </c:pt>
                <c:pt idx="2">
                  <c:v>2925</c:v>
                </c:pt>
                <c:pt idx="3">
                  <c:v>3800</c:v>
                </c:pt>
                <c:pt idx="4">
                  <c:v>4650</c:v>
                </c:pt>
                <c:pt idx="5">
                  <c:v>5375</c:v>
                </c:pt>
                <c:pt idx="6">
                  <c:v>6350</c:v>
                </c:pt>
                <c:pt idx="7">
                  <c:v>7500</c:v>
                </c:pt>
                <c:pt idx="8">
                  <c:v>8725</c:v>
                </c:pt>
                <c:pt idx="9">
                  <c:v>9150</c:v>
                </c:pt>
                <c:pt idx="10">
                  <c:v>10275</c:v>
                </c:pt>
                <c:pt idx="11">
                  <c:v>11650</c:v>
                </c:pt>
                <c:pt idx="12">
                  <c:v>12900</c:v>
                </c:pt>
                <c:pt idx="13">
                  <c:v>14400</c:v>
                </c:pt>
                <c:pt idx="14">
                  <c:v>16150</c:v>
                </c:pt>
                <c:pt idx="15">
                  <c:v>18025</c:v>
                </c:pt>
                <c:pt idx="16">
                  <c:v>19150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AE-49CF-A9D3-CD5E1F315BCC}"/>
            </c:ext>
          </c:extLst>
        </c:ser>
        <c:ser>
          <c:idx val="1"/>
          <c:order val="1"/>
          <c:tx>
            <c:strRef>
              <c:f>Sheet1!$M$46</c:f>
              <c:strCache>
                <c:ptCount val="1"/>
                <c:pt idx="0">
                  <c:v>Actual Cost (ACWP)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Sheet1!$A$49:$A$65</c:f>
              <c:numCache>
                <c:formatCode>d\-mmm</c:formatCode>
                <c:ptCount val="1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</c:numCache>
            </c:numRef>
          </c:cat>
          <c:val>
            <c:numRef>
              <c:f>Sheet1!$M$49:$M$65</c:f>
              <c:numCache>
                <c:formatCode>General</c:formatCode>
                <c:ptCount val="17"/>
                <c:pt idx="0">
                  <c:v>1825</c:v>
                </c:pt>
                <c:pt idx="1">
                  <c:v>2225</c:v>
                </c:pt>
                <c:pt idx="2">
                  <c:v>2828.05</c:v>
                </c:pt>
                <c:pt idx="3">
                  <c:v>3633.86</c:v>
                </c:pt>
                <c:pt idx="4">
                  <c:v>4550.1000000000004</c:v>
                </c:pt>
                <c:pt idx="5">
                  <c:v>5175.1000000000004</c:v>
                </c:pt>
                <c:pt idx="6">
                  <c:v>6050.1</c:v>
                </c:pt>
                <c:pt idx="7">
                  <c:v>7019.21</c:v>
                </c:pt>
                <c:pt idx="8">
                  <c:v>8144.21</c:v>
                </c:pt>
                <c:pt idx="9">
                  <c:v>8586.01</c:v>
                </c:pt>
                <c:pt idx="10">
                  <c:v>9722.86</c:v>
                </c:pt>
                <c:pt idx="11">
                  <c:v>11097.86</c:v>
                </c:pt>
                <c:pt idx="12">
                  <c:v>12379.12</c:v>
                </c:pt>
                <c:pt idx="13">
                  <c:v>14002.470000000001</c:v>
                </c:pt>
                <c:pt idx="14">
                  <c:v>15766.390000000001</c:v>
                </c:pt>
                <c:pt idx="15">
                  <c:v>17641.39</c:v>
                </c:pt>
                <c:pt idx="16">
                  <c:v>18766.39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AE-49CF-A9D3-CD5E1F315BCC}"/>
            </c:ext>
          </c:extLst>
        </c:ser>
        <c:ser>
          <c:idx val="2"/>
          <c:order val="2"/>
          <c:tx>
            <c:strRef>
              <c:f>Sheet1!$N$46</c:f>
              <c:strCache>
                <c:ptCount val="1"/>
                <c:pt idx="0">
                  <c:v>Earned Value (EV)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Sheet1!$A$49:$A$65</c:f>
              <c:numCache>
                <c:formatCode>d\-mmm</c:formatCode>
                <c:ptCount val="1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</c:numCache>
            </c:numRef>
          </c:cat>
          <c:val>
            <c:numRef>
              <c:f>Sheet1!$N$49:$N$65</c:f>
              <c:numCache>
                <c:formatCode>General</c:formatCode>
                <c:ptCount val="17"/>
                <c:pt idx="0">
                  <c:v>1752</c:v>
                </c:pt>
                <c:pt idx="1">
                  <c:v>2144</c:v>
                </c:pt>
                <c:pt idx="2">
                  <c:v>2629</c:v>
                </c:pt>
                <c:pt idx="3">
                  <c:v>3241.5</c:v>
                </c:pt>
                <c:pt idx="4">
                  <c:v>3976.5</c:v>
                </c:pt>
                <c:pt idx="5">
                  <c:v>4589</c:v>
                </c:pt>
                <c:pt idx="6">
                  <c:v>5437.75</c:v>
                </c:pt>
                <c:pt idx="7">
                  <c:v>6349.75</c:v>
                </c:pt>
                <c:pt idx="8">
                  <c:v>7407.25</c:v>
                </c:pt>
                <c:pt idx="9">
                  <c:v>7815.25</c:v>
                </c:pt>
                <c:pt idx="10">
                  <c:v>8872.75</c:v>
                </c:pt>
                <c:pt idx="11">
                  <c:v>10192.75</c:v>
                </c:pt>
                <c:pt idx="12">
                  <c:v>11392.75</c:v>
                </c:pt>
                <c:pt idx="13">
                  <c:v>12817.75</c:v>
                </c:pt>
                <c:pt idx="14">
                  <c:v>14480.25</c:v>
                </c:pt>
                <c:pt idx="15">
                  <c:v>16280.25</c:v>
                </c:pt>
                <c:pt idx="16">
                  <c:v>17337.75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DAE-49CF-A9D3-CD5E1F315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77312"/>
        <c:axId val="645778624"/>
      </c:lineChart>
      <c:dateAx>
        <c:axId val="64577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of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778624"/>
        <c:crosses val="autoZero"/>
        <c:auto val="1"/>
        <c:lblOffset val="100"/>
        <c:baseTimeUnit val="days"/>
      </c:dateAx>
      <c:valAx>
        <c:axId val="645778624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in USD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777312"/>
        <c:crosses val="autoZero"/>
        <c:crossBetween val="between"/>
        <c:majorUnit val="2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539205362487596"/>
          <c:y val="0.90056390019916033"/>
          <c:w val="0.45652801552022865"/>
          <c:h val="3.2982644382751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13854</xdr:colOff>
      <xdr:row>16</xdr:row>
      <xdr:rowOff>121227</xdr:rowOff>
    </xdr:from>
    <xdr:to>
      <xdr:col>44</xdr:col>
      <xdr:colOff>62345</xdr:colOff>
      <xdr:row>48</xdr:row>
      <xdr:rowOff>162790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5241C-C926-4E8E-819F-D4F6793D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17318</xdr:colOff>
      <xdr:row>36</xdr:row>
      <xdr:rowOff>100446</xdr:rowOff>
    </xdr:from>
    <xdr:to>
      <xdr:col>28</xdr:col>
      <xdr:colOff>917863</xdr:colOff>
      <xdr:row>70</xdr:row>
      <xdr:rowOff>121227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098F3-9CE0-465D-9F19-426AAE2C4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85F7-EE07-462D-8ECE-73A2C9E91530}">
  <dimension ref="A2:AC66"/>
  <sheetViews>
    <sheetView tabSelected="1" topLeftCell="M14" zoomScale="55" zoomScaleNormal="55" workbookViewId="0">
      <selection activeCell="W77" sqref="W77"/>
    </sheetView>
  </sheetViews>
  <sheetFormatPr defaultRowHeight="15" x14ac:dyDescent="0.25"/>
  <cols>
    <col min="2" max="2" width="14.42578125" customWidth="1"/>
    <col min="3" max="3" width="15.85546875" customWidth="1"/>
    <col min="4" max="4" width="14.7109375" customWidth="1"/>
    <col min="5" max="5" width="23.28515625" customWidth="1"/>
    <col min="6" max="6" width="25.28515625" customWidth="1"/>
    <col min="7" max="7" width="14" customWidth="1"/>
    <col min="8" max="8" width="14.28515625" customWidth="1"/>
    <col min="9" max="9" width="13.5703125" customWidth="1"/>
    <col min="10" max="10" width="26.28515625" customWidth="1"/>
    <col min="12" max="12" width="23.28515625" customWidth="1"/>
    <col min="13" max="13" width="24" customWidth="1"/>
    <col min="14" max="14" width="19.85546875" customWidth="1"/>
    <col min="27" max="27" width="13.7109375" customWidth="1"/>
    <col min="28" max="28" width="12.28515625" customWidth="1"/>
    <col min="29" max="29" width="17.7109375" customWidth="1"/>
  </cols>
  <sheetData>
    <row r="2" spans="1:29" x14ac:dyDescent="0.25">
      <c r="B2" s="4" t="s">
        <v>0</v>
      </c>
      <c r="C2" s="4"/>
      <c r="D2" s="4"/>
      <c r="E2" s="4"/>
      <c r="J2" t="s">
        <v>7</v>
      </c>
      <c r="K2" t="s">
        <v>8</v>
      </c>
      <c r="L2" t="s">
        <v>9</v>
      </c>
      <c r="M2" t="s">
        <v>18</v>
      </c>
      <c r="N2" t="s">
        <v>19</v>
      </c>
    </row>
    <row r="3" spans="1:29" x14ac:dyDescent="0.25">
      <c r="A3" t="s">
        <v>17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10</v>
      </c>
      <c r="K3">
        <v>1</v>
      </c>
      <c r="L3">
        <v>100</v>
      </c>
      <c r="N3">
        <v>2</v>
      </c>
    </row>
    <row r="4" spans="1:29" x14ac:dyDescent="0.25">
      <c r="A4" s="1">
        <v>44444</v>
      </c>
      <c r="B4">
        <v>0</v>
      </c>
      <c r="C4">
        <v>0</v>
      </c>
      <c r="D4">
        <v>5</v>
      </c>
      <c r="E4">
        <v>0</v>
      </c>
      <c r="F4">
        <f>SUM(B4:E4)</f>
        <v>5</v>
      </c>
      <c r="G4">
        <v>25</v>
      </c>
      <c r="J4" t="s">
        <v>11</v>
      </c>
      <c r="K4">
        <v>2</v>
      </c>
      <c r="L4">
        <v>800</v>
      </c>
      <c r="M4">
        <v>1</v>
      </c>
      <c r="N4">
        <v>8</v>
      </c>
    </row>
    <row r="5" spans="1:29" x14ac:dyDescent="0.25">
      <c r="A5" s="1">
        <v>44451</v>
      </c>
      <c r="B5">
        <v>4</v>
      </c>
      <c r="C5">
        <v>7.5</v>
      </c>
      <c r="D5">
        <v>6</v>
      </c>
      <c r="E5">
        <v>2</v>
      </c>
      <c r="F5">
        <f t="shared" ref="F5:F16" si="0">SUM(B5:E5)</f>
        <v>19.5</v>
      </c>
      <c r="G5">
        <v>25</v>
      </c>
      <c r="J5" t="s">
        <v>15</v>
      </c>
      <c r="K5">
        <v>3</v>
      </c>
      <c r="L5">
        <v>1500</v>
      </c>
      <c r="M5">
        <v>1</v>
      </c>
      <c r="N5">
        <v>6</v>
      </c>
    </row>
    <row r="6" spans="1:29" x14ac:dyDescent="0.25">
      <c r="A6" s="1">
        <v>44458</v>
      </c>
      <c r="B6">
        <v>7</v>
      </c>
      <c r="C6">
        <v>6</v>
      </c>
      <c r="D6">
        <v>8</v>
      </c>
      <c r="E6">
        <v>0.5</v>
      </c>
      <c r="F6">
        <f t="shared" si="0"/>
        <v>21.5</v>
      </c>
      <c r="G6">
        <v>25</v>
      </c>
      <c r="J6" t="s">
        <v>12</v>
      </c>
      <c r="K6">
        <v>4</v>
      </c>
      <c r="L6">
        <v>2300</v>
      </c>
      <c r="M6" t="s">
        <v>20</v>
      </c>
      <c r="N6">
        <v>7</v>
      </c>
    </row>
    <row r="7" spans="1:29" x14ac:dyDescent="0.25">
      <c r="A7" s="1">
        <v>44465</v>
      </c>
      <c r="B7">
        <v>2.25</v>
      </c>
      <c r="C7">
        <v>4.5</v>
      </c>
      <c r="D7">
        <v>7</v>
      </c>
      <c r="E7">
        <v>2.75</v>
      </c>
      <c r="F7">
        <f t="shared" si="0"/>
        <v>16.5</v>
      </c>
      <c r="G7">
        <v>25</v>
      </c>
      <c r="J7" t="s">
        <v>13</v>
      </c>
      <c r="K7">
        <v>5</v>
      </c>
      <c r="L7">
        <v>2000</v>
      </c>
      <c r="M7" t="s">
        <v>20</v>
      </c>
      <c r="N7">
        <v>7</v>
      </c>
    </row>
    <row r="8" spans="1:29" x14ac:dyDescent="0.25">
      <c r="A8" s="1">
        <v>44472</v>
      </c>
      <c r="B8">
        <v>3.75</v>
      </c>
      <c r="C8">
        <v>2.5</v>
      </c>
      <c r="D8">
        <v>5</v>
      </c>
      <c r="E8">
        <v>3.5</v>
      </c>
      <c r="F8">
        <f t="shared" si="0"/>
        <v>14.75</v>
      </c>
      <c r="G8">
        <v>25</v>
      </c>
      <c r="J8" t="s">
        <v>14</v>
      </c>
      <c r="K8">
        <v>6</v>
      </c>
      <c r="L8">
        <v>1000</v>
      </c>
      <c r="M8">
        <v>1</v>
      </c>
      <c r="N8">
        <v>13</v>
      </c>
    </row>
    <row r="9" spans="1:29" x14ac:dyDescent="0.25">
      <c r="A9" s="1">
        <v>44479</v>
      </c>
      <c r="B9">
        <v>11.5</v>
      </c>
      <c r="C9">
        <v>10.5</v>
      </c>
      <c r="D9">
        <v>7</v>
      </c>
      <c r="E9">
        <v>6</v>
      </c>
      <c r="F9">
        <f t="shared" si="0"/>
        <v>35</v>
      </c>
      <c r="G9">
        <v>25</v>
      </c>
      <c r="J9" t="s">
        <v>22</v>
      </c>
      <c r="K9">
        <v>7</v>
      </c>
      <c r="L9">
        <f>15*25*20</f>
        <v>7500</v>
      </c>
      <c r="N9">
        <v>15</v>
      </c>
    </row>
    <row r="10" spans="1:29" x14ac:dyDescent="0.25">
      <c r="A10" s="1">
        <v>44486</v>
      </c>
      <c r="B10">
        <v>3.5</v>
      </c>
      <c r="C10">
        <v>10.5</v>
      </c>
      <c r="D10">
        <v>6</v>
      </c>
      <c r="E10">
        <v>3</v>
      </c>
      <c r="F10">
        <f t="shared" si="0"/>
        <v>23</v>
      </c>
      <c r="G10">
        <v>25</v>
      </c>
      <c r="J10" t="s">
        <v>23</v>
      </c>
      <c r="K10">
        <v>8</v>
      </c>
      <c r="N10">
        <v>15</v>
      </c>
    </row>
    <row r="11" spans="1:29" x14ac:dyDescent="0.25">
      <c r="A11" s="1">
        <v>44493</v>
      </c>
      <c r="B11">
        <v>11.5</v>
      </c>
      <c r="C11">
        <v>9</v>
      </c>
      <c r="D11">
        <v>4</v>
      </c>
      <c r="E11">
        <v>11.5</v>
      </c>
      <c r="F11">
        <f t="shared" si="0"/>
        <v>36</v>
      </c>
      <c r="G11">
        <v>25</v>
      </c>
    </row>
    <row r="12" spans="1:29" x14ac:dyDescent="0.25">
      <c r="A12" s="1">
        <v>44500</v>
      </c>
      <c r="B12">
        <v>11.5</v>
      </c>
      <c r="C12">
        <v>12</v>
      </c>
      <c r="D12">
        <v>8</v>
      </c>
      <c r="E12">
        <v>9.5</v>
      </c>
      <c r="F12">
        <f t="shared" si="0"/>
        <v>41</v>
      </c>
      <c r="G12">
        <v>25</v>
      </c>
      <c r="J12" t="s">
        <v>16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>
        <v>15</v>
      </c>
      <c r="AB12" s="2"/>
    </row>
    <row r="13" spans="1:29" x14ac:dyDescent="0.25">
      <c r="A13" s="1">
        <v>44507</v>
      </c>
      <c r="B13">
        <v>5.5</v>
      </c>
      <c r="C13">
        <v>4</v>
      </c>
      <c r="D13">
        <v>10</v>
      </c>
      <c r="E13">
        <v>4</v>
      </c>
      <c r="F13">
        <f t="shared" si="0"/>
        <v>23.5</v>
      </c>
      <c r="G13">
        <v>25</v>
      </c>
      <c r="J13" t="s">
        <v>17</v>
      </c>
      <c r="K13" s="1">
        <v>44444</v>
      </c>
      <c r="L13" s="1">
        <v>44451</v>
      </c>
      <c r="M13" s="1">
        <v>44458</v>
      </c>
      <c r="N13" s="1">
        <v>44465</v>
      </c>
      <c r="O13" s="1">
        <v>44472</v>
      </c>
      <c r="P13" s="1">
        <v>44479</v>
      </c>
      <c r="Q13" s="1">
        <v>44486</v>
      </c>
      <c r="R13" s="1">
        <v>44493</v>
      </c>
      <c r="S13" s="1">
        <v>44500</v>
      </c>
      <c r="T13" s="1">
        <v>44507</v>
      </c>
      <c r="U13" s="1">
        <v>44514</v>
      </c>
      <c r="V13" s="1">
        <v>44521</v>
      </c>
      <c r="W13" s="1">
        <v>44528</v>
      </c>
      <c r="X13" s="1">
        <v>44535</v>
      </c>
      <c r="Y13" s="1">
        <v>44542</v>
      </c>
    </row>
    <row r="14" spans="1:29" x14ac:dyDescent="0.25">
      <c r="A14" s="1">
        <v>44514</v>
      </c>
      <c r="B14">
        <v>6.5</v>
      </c>
      <c r="C14">
        <v>6</v>
      </c>
      <c r="D14">
        <v>6</v>
      </c>
      <c r="E14">
        <v>2.5</v>
      </c>
      <c r="F14">
        <f t="shared" si="0"/>
        <v>21</v>
      </c>
      <c r="G14">
        <v>25</v>
      </c>
      <c r="J14" t="s">
        <v>7</v>
      </c>
      <c r="AA14" t="s">
        <v>27</v>
      </c>
      <c r="AB14" s="3" t="s">
        <v>28</v>
      </c>
      <c r="AC14" t="s">
        <v>29</v>
      </c>
    </row>
    <row r="15" spans="1:29" x14ac:dyDescent="0.25">
      <c r="A15" s="1">
        <v>44521</v>
      </c>
      <c r="B15">
        <v>4.5</v>
      </c>
      <c r="C15">
        <v>14.5</v>
      </c>
      <c r="D15">
        <v>8</v>
      </c>
      <c r="E15">
        <v>0</v>
      </c>
      <c r="F15">
        <f t="shared" si="0"/>
        <v>27</v>
      </c>
      <c r="G15">
        <v>25</v>
      </c>
      <c r="J15">
        <v>1</v>
      </c>
      <c r="K15">
        <v>50</v>
      </c>
      <c r="L15">
        <v>50</v>
      </c>
      <c r="AA15">
        <f>SUM(K15:Y15)</f>
        <v>100</v>
      </c>
      <c r="AB15" s="3">
        <v>1</v>
      </c>
      <c r="AC15">
        <f>AA15*AB15</f>
        <v>100</v>
      </c>
    </row>
    <row r="16" spans="1:29" x14ac:dyDescent="0.25">
      <c r="A16" s="1">
        <v>44528</v>
      </c>
      <c r="B16">
        <v>2.5</v>
      </c>
      <c r="C16">
        <v>1</v>
      </c>
      <c r="D16">
        <v>5</v>
      </c>
      <c r="E16">
        <v>0</v>
      </c>
      <c r="F16">
        <f t="shared" si="0"/>
        <v>8.5</v>
      </c>
      <c r="G16">
        <v>25</v>
      </c>
      <c r="J16">
        <v>2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AA16">
        <f t="shared" ref="AA16:AA23" si="1">SUM(K16:Y16)</f>
        <v>800</v>
      </c>
      <c r="AB16" s="3">
        <v>0.9</v>
      </c>
      <c r="AC16">
        <f t="shared" ref="AC16:AC22" si="2">AA16*AB16</f>
        <v>720</v>
      </c>
    </row>
    <row r="17" spans="1:29" x14ac:dyDescent="0.25">
      <c r="A17" s="1"/>
      <c r="B17">
        <f>SUM(B4:B16)</f>
        <v>74</v>
      </c>
      <c r="C17">
        <f t="shared" ref="C17:F17" si="3">SUM(C4:C16)</f>
        <v>88</v>
      </c>
      <c r="D17">
        <f t="shared" si="3"/>
        <v>85</v>
      </c>
      <c r="E17">
        <f t="shared" si="3"/>
        <v>45.25</v>
      </c>
      <c r="F17">
        <f t="shared" si="3"/>
        <v>292.25</v>
      </c>
      <c r="G17">
        <f>SUM(G4:G16)</f>
        <v>325</v>
      </c>
      <c r="J17">
        <v>3</v>
      </c>
      <c r="M17">
        <v>200</v>
      </c>
      <c r="N17">
        <v>200</v>
      </c>
      <c r="O17">
        <v>200</v>
      </c>
      <c r="P17">
        <v>200</v>
      </c>
      <c r="Q17">
        <v>350</v>
      </c>
      <c r="R17">
        <v>350</v>
      </c>
      <c r="AA17">
        <f t="shared" si="1"/>
        <v>1500</v>
      </c>
      <c r="AB17" s="3">
        <v>1</v>
      </c>
      <c r="AC17">
        <f t="shared" si="2"/>
        <v>1500</v>
      </c>
    </row>
    <row r="18" spans="1:29" x14ac:dyDescent="0.25">
      <c r="A18" s="1"/>
      <c r="F18">
        <f>F17*25</f>
        <v>7306.25</v>
      </c>
      <c r="G18">
        <f>G17*25</f>
        <v>8125</v>
      </c>
      <c r="H18" t="s">
        <v>34</v>
      </c>
      <c r="J18">
        <v>4</v>
      </c>
      <c r="S18">
        <v>350</v>
      </c>
      <c r="T18">
        <v>350</v>
      </c>
      <c r="U18">
        <v>400</v>
      </c>
      <c r="V18">
        <v>400</v>
      </c>
      <c r="W18">
        <v>0</v>
      </c>
      <c r="X18">
        <v>400</v>
      </c>
      <c r="Y18">
        <v>400</v>
      </c>
      <c r="AA18">
        <f t="shared" si="1"/>
        <v>2300</v>
      </c>
      <c r="AB18" s="3">
        <v>0.6</v>
      </c>
      <c r="AC18">
        <f t="shared" si="2"/>
        <v>1380</v>
      </c>
    </row>
    <row r="19" spans="1:29" x14ac:dyDescent="0.25">
      <c r="A19" s="1"/>
      <c r="G19">
        <f>F18/G18</f>
        <v>0.89923076923076928</v>
      </c>
      <c r="H19" t="s">
        <v>21</v>
      </c>
      <c r="J19">
        <v>5</v>
      </c>
      <c r="S19">
        <v>200</v>
      </c>
      <c r="T19">
        <v>200</v>
      </c>
      <c r="U19">
        <v>250</v>
      </c>
      <c r="V19">
        <v>300</v>
      </c>
      <c r="W19">
        <v>0</v>
      </c>
      <c r="X19">
        <v>500</v>
      </c>
      <c r="Y19">
        <v>550</v>
      </c>
      <c r="AA19">
        <f t="shared" si="1"/>
        <v>2000</v>
      </c>
      <c r="AB19" s="3">
        <v>0.05</v>
      </c>
      <c r="AC19">
        <f t="shared" si="2"/>
        <v>100</v>
      </c>
    </row>
    <row r="20" spans="1:29" x14ac:dyDescent="0.25">
      <c r="J20">
        <v>6</v>
      </c>
      <c r="M20">
        <v>0</v>
      </c>
      <c r="N20">
        <v>0</v>
      </c>
      <c r="O20">
        <v>150</v>
      </c>
      <c r="P20">
        <v>100</v>
      </c>
      <c r="Q20">
        <v>50</v>
      </c>
      <c r="R20">
        <v>50</v>
      </c>
      <c r="S20">
        <v>50</v>
      </c>
      <c r="T20">
        <v>100</v>
      </c>
      <c r="U20">
        <v>100</v>
      </c>
      <c r="V20">
        <v>100</v>
      </c>
      <c r="W20">
        <v>0</v>
      </c>
      <c r="X20">
        <v>150</v>
      </c>
      <c r="Y20">
        <v>150</v>
      </c>
      <c r="AA20">
        <f t="shared" si="1"/>
        <v>1000</v>
      </c>
      <c r="AB20" s="3">
        <v>0.05</v>
      </c>
      <c r="AC20">
        <f t="shared" si="2"/>
        <v>50</v>
      </c>
    </row>
    <row r="21" spans="1:29" x14ac:dyDescent="0.25">
      <c r="A21" t="s">
        <v>17</v>
      </c>
      <c r="B21" t="s">
        <v>41</v>
      </c>
      <c r="C21" t="s">
        <v>6</v>
      </c>
      <c r="J21">
        <v>7</v>
      </c>
      <c r="K21">
        <v>500</v>
      </c>
      <c r="L21">
        <v>500</v>
      </c>
      <c r="M21">
        <v>500</v>
      </c>
      <c r="N21">
        <v>500</v>
      </c>
      <c r="O21">
        <v>500</v>
      </c>
      <c r="P21">
        <v>500</v>
      </c>
      <c r="Q21">
        <v>500</v>
      </c>
      <c r="R21">
        <v>500</v>
      </c>
      <c r="S21">
        <v>500</v>
      </c>
      <c r="T21">
        <v>500</v>
      </c>
      <c r="U21">
        <v>500</v>
      </c>
      <c r="V21">
        <v>500</v>
      </c>
      <c r="W21">
        <v>0</v>
      </c>
      <c r="X21">
        <v>500</v>
      </c>
      <c r="Y21">
        <v>500</v>
      </c>
      <c r="AA21">
        <f t="shared" si="1"/>
        <v>7000</v>
      </c>
      <c r="AB21" s="3">
        <f>G19</f>
        <v>0.89923076923076928</v>
      </c>
      <c r="AC21">
        <f t="shared" si="2"/>
        <v>6294.6153846153848</v>
      </c>
    </row>
    <row r="22" spans="1:29" x14ac:dyDescent="0.25">
      <c r="A22" s="1">
        <v>44915</v>
      </c>
      <c r="B22">
        <v>15</v>
      </c>
      <c r="C22">
        <v>35</v>
      </c>
      <c r="J22">
        <v>8</v>
      </c>
      <c r="K22">
        <f>F4*25</f>
        <v>125</v>
      </c>
      <c r="L22">
        <f>25*F5</f>
        <v>487.5</v>
      </c>
      <c r="M22">
        <f>25*F6</f>
        <v>537.5</v>
      </c>
      <c r="N22">
        <f>25*F7</f>
        <v>412.5</v>
      </c>
      <c r="O22">
        <f>25*F8</f>
        <v>368.75</v>
      </c>
      <c r="P22">
        <f>25*F9</f>
        <v>875</v>
      </c>
      <c r="Q22">
        <f>25*F10</f>
        <v>575</v>
      </c>
      <c r="R22">
        <f>25*F11</f>
        <v>900</v>
      </c>
      <c r="S22">
        <f>25*F12</f>
        <v>1025</v>
      </c>
      <c r="T22">
        <f>25*F13</f>
        <v>587.5</v>
      </c>
      <c r="U22">
        <f>25*F14</f>
        <v>525</v>
      </c>
      <c r="V22">
        <f>25*F15</f>
        <v>675</v>
      </c>
      <c r="W22">
        <f>25*F16</f>
        <v>212.5</v>
      </c>
      <c r="AA22">
        <f>SUM(K22:Y22)</f>
        <v>7306.25</v>
      </c>
      <c r="AC22">
        <f t="shared" si="2"/>
        <v>0</v>
      </c>
    </row>
    <row r="23" spans="1:29" x14ac:dyDescent="0.25">
      <c r="A23" s="1">
        <v>44922</v>
      </c>
      <c r="B23">
        <v>30</v>
      </c>
      <c r="C23">
        <v>35</v>
      </c>
      <c r="J23" t="s">
        <v>24</v>
      </c>
      <c r="K23">
        <f>SUM(K15:K21)</f>
        <v>550</v>
      </c>
      <c r="L23">
        <f t="shared" ref="L23:Y23" si="4">SUM(L15:L21)</f>
        <v>550</v>
      </c>
      <c r="M23">
        <f t="shared" si="4"/>
        <v>800</v>
      </c>
      <c r="N23">
        <f t="shared" si="4"/>
        <v>800</v>
      </c>
      <c r="O23">
        <f t="shared" si="4"/>
        <v>950</v>
      </c>
      <c r="P23">
        <f t="shared" si="4"/>
        <v>900</v>
      </c>
      <c r="Q23">
        <f t="shared" si="4"/>
        <v>1000</v>
      </c>
      <c r="R23">
        <f t="shared" si="4"/>
        <v>1000</v>
      </c>
      <c r="S23">
        <f t="shared" si="4"/>
        <v>1200</v>
      </c>
      <c r="T23">
        <f t="shared" si="4"/>
        <v>1250</v>
      </c>
      <c r="U23">
        <f t="shared" si="4"/>
        <v>1250</v>
      </c>
      <c r="V23">
        <f t="shared" si="4"/>
        <v>1300</v>
      </c>
      <c r="W23">
        <f t="shared" si="4"/>
        <v>0</v>
      </c>
      <c r="X23">
        <f t="shared" si="4"/>
        <v>1550</v>
      </c>
      <c r="Y23">
        <f t="shared" si="4"/>
        <v>1600</v>
      </c>
      <c r="AA23">
        <f t="shared" si="1"/>
        <v>14700</v>
      </c>
      <c r="AC23">
        <f>SUM(AC15:AC22)</f>
        <v>10144.615384615385</v>
      </c>
    </row>
    <row r="24" spans="1:29" x14ac:dyDescent="0.25">
      <c r="A24" s="1">
        <v>44564</v>
      </c>
      <c r="B24">
        <v>28</v>
      </c>
      <c r="C24">
        <v>35</v>
      </c>
      <c r="J24" t="s">
        <v>25</v>
      </c>
      <c r="K24">
        <f>K23</f>
        <v>550</v>
      </c>
      <c r="L24">
        <f>K24+L23</f>
        <v>1100</v>
      </c>
      <c r="M24">
        <f t="shared" ref="M24:Y24" si="5">L24+M23</f>
        <v>1900</v>
      </c>
      <c r="N24">
        <f t="shared" si="5"/>
        <v>2700</v>
      </c>
      <c r="O24">
        <f t="shared" si="5"/>
        <v>3650</v>
      </c>
      <c r="P24">
        <f t="shared" si="5"/>
        <v>4550</v>
      </c>
      <c r="Q24">
        <f t="shared" si="5"/>
        <v>5550</v>
      </c>
      <c r="R24">
        <f t="shared" si="5"/>
        <v>6550</v>
      </c>
      <c r="S24">
        <f t="shared" si="5"/>
        <v>7750</v>
      </c>
      <c r="T24">
        <f t="shared" si="5"/>
        <v>9000</v>
      </c>
      <c r="U24">
        <f t="shared" si="5"/>
        <v>10250</v>
      </c>
      <c r="V24">
        <f t="shared" si="5"/>
        <v>11550</v>
      </c>
      <c r="W24">
        <f t="shared" si="5"/>
        <v>11550</v>
      </c>
      <c r="X24">
        <f t="shared" si="5"/>
        <v>13100</v>
      </c>
      <c r="Y24">
        <f t="shared" si="5"/>
        <v>14700</v>
      </c>
    </row>
    <row r="25" spans="1:29" x14ac:dyDescent="0.25">
      <c r="A25" s="1">
        <v>44571</v>
      </c>
      <c r="B25">
        <v>16</v>
      </c>
      <c r="C25">
        <v>35</v>
      </c>
      <c r="J25" t="s">
        <v>26</v>
      </c>
      <c r="K25">
        <v>6416.23</v>
      </c>
    </row>
    <row r="26" spans="1:29" x14ac:dyDescent="0.25">
      <c r="A26" s="1">
        <v>44578</v>
      </c>
      <c r="B26">
        <v>20</v>
      </c>
      <c r="C26">
        <v>35</v>
      </c>
      <c r="J26" t="s">
        <v>26</v>
      </c>
      <c r="K26">
        <v>0</v>
      </c>
      <c r="L26">
        <v>0</v>
      </c>
      <c r="M26">
        <f>81.25+85</f>
        <v>166.25</v>
      </c>
      <c r="N26">
        <v>450</v>
      </c>
      <c r="O26">
        <v>325</v>
      </c>
      <c r="P26">
        <v>845</v>
      </c>
      <c r="Q26">
        <v>1700</v>
      </c>
      <c r="R26">
        <v>1175</v>
      </c>
      <c r="S26">
        <v>200</v>
      </c>
      <c r="T26">
        <f>162.5+175</f>
        <v>337.5</v>
      </c>
      <c r="U26">
        <v>455</v>
      </c>
      <c r="V26">
        <f>81.25+250</f>
        <v>331.25</v>
      </c>
      <c r="W26">
        <f>225+206.23</f>
        <v>431.23</v>
      </c>
    </row>
    <row r="27" spans="1:29" x14ac:dyDescent="0.25">
      <c r="A27" s="1">
        <v>44585</v>
      </c>
      <c r="B27">
        <v>25</v>
      </c>
      <c r="C27">
        <v>35</v>
      </c>
      <c r="J27" t="s">
        <v>30</v>
      </c>
      <c r="K27">
        <f>K26</f>
        <v>0</v>
      </c>
      <c r="L27">
        <f>K27+L26</f>
        <v>0</v>
      </c>
      <c r="M27">
        <f t="shared" ref="M27:W27" si="6">L27+M26</f>
        <v>166.25</v>
      </c>
      <c r="N27">
        <f t="shared" si="6"/>
        <v>616.25</v>
      </c>
      <c r="O27">
        <f t="shared" si="6"/>
        <v>941.25</v>
      </c>
      <c r="P27">
        <f t="shared" si="6"/>
        <v>1786.25</v>
      </c>
      <c r="Q27">
        <f t="shared" si="6"/>
        <v>3486.25</v>
      </c>
      <c r="R27">
        <f t="shared" si="6"/>
        <v>4661.25</v>
      </c>
      <c r="S27">
        <f t="shared" si="6"/>
        <v>4861.25</v>
      </c>
      <c r="T27">
        <f t="shared" si="6"/>
        <v>5198.75</v>
      </c>
      <c r="U27">
        <f t="shared" si="6"/>
        <v>5653.75</v>
      </c>
      <c r="V27">
        <f t="shared" si="6"/>
        <v>5985</v>
      </c>
      <c r="W27">
        <f t="shared" si="6"/>
        <v>6416.23</v>
      </c>
    </row>
    <row r="28" spans="1:29" x14ac:dyDescent="0.25">
      <c r="A28" s="1">
        <v>44592</v>
      </c>
      <c r="B28">
        <v>30</v>
      </c>
      <c r="C28">
        <v>35</v>
      </c>
      <c r="J28" t="s">
        <v>29</v>
      </c>
      <c r="K28">
        <f>K15+0.9*K16+K17+0.6*K18+0.05*K19+0.05*K20+K22</f>
        <v>175</v>
      </c>
      <c r="L28">
        <f t="shared" ref="L28:W28" si="7">L15+0.9*L16+L17+0.6*L18+0.05*L19+0.05*L20+L22</f>
        <v>537.5</v>
      </c>
      <c r="M28">
        <f t="shared" si="7"/>
        <v>827.5</v>
      </c>
      <c r="N28">
        <f t="shared" si="7"/>
        <v>702.5</v>
      </c>
      <c r="O28">
        <f t="shared" si="7"/>
        <v>666.25</v>
      </c>
      <c r="P28">
        <f t="shared" si="7"/>
        <v>1170</v>
      </c>
      <c r="Q28">
        <f t="shared" si="7"/>
        <v>1017.5</v>
      </c>
      <c r="R28">
        <f t="shared" si="7"/>
        <v>1342.5</v>
      </c>
      <c r="S28">
        <f t="shared" si="7"/>
        <v>1337.5</v>
      </c>
      <c r="T28">
        <f t="shared" si="7"/>
        <v>902.5</v>
      </c>
      <c r="U28">
        <f t="shared" si="7"/>
        <v>782.5</v>
      </c>
      <c r="V28">
        <f t="shared" si="7"/>
        <v>935</v>
      </c>
      <c r="W28">
        <f t="shared" si="7"/>
        <v>212.5</v>
      </c>
    </row>
    <row r="29" spans="1:29" x14ac:dyDescent="0.25">
      <c r="A29" s="1">
        <v>44599</v>
      </c>
      <c r="B29">
        <v>25</v>
      </c>
      <c r="C29">
        <v>35</v>
      </c>
      <c r="J29" t="s">
        <v>31</v>
      </c>
      <c r="K29">
        <f>K28</f>
        <v>175</v>
      </c>
      <c r="L29">
        <f>K29+L28</f>
        <v>712.5</v>
      </c>
      <c r="M29">
        <f t="shared" ref="M29:W29" si="8">L29+M28</f>
        <v>1540</v>
      </c>
      <c r="N29">
        <f t="shared" si="8"/>
        <v>2242.5</v>
      </c>
      <c r="O29">
        <f t="shared" si="8"/>
        <v>2908.75</v>
      </c>
      <c r="P29">
        <f t="shared" si="8"/>
        <v>4078.75</v>
      </c>
      <c r="Q29">
        <f t="shared" si="8"/>
        <v>5096.25</v>
      </c>
      <c r="R29">
        <f t="shared" si="8"/>
        <v>6438.75</v>
      </c>
      <c r="S29">
        <f t="shared" si="8"/>
        <v>7776.25</v>
      </c>
      <c r="T29">
        <f t="shared" si="8"/>
        <v>8678.75</v>
      </c>
      <c r="U29">
        <f t="shared" si="8"/>
        <v>9461.25</v>
      </c>
      <c r="V29">
        <f t="shared" si="8"/>
        <v>10396.25</v>
      </c>
      <c r="W29">
        <f t="shared" si="8"/>
        <v>10608.75</v>
      </c>
    </row>
    <row r="30" spans="1:29" x14ac:dyDescent="0.25">
      <c r="A30" s="1">
        <v>44606</v>
      </c>
      <c r="B30">
        <v>35</v>
      </c>
      <c r="C30">
        <v>35</v>
      </c>
      <c r="J30" t="s">
        <v>27</v>
      </c>
      <c r="K30">
        <f>SUM(K15:Y21)</f>
        <v>14700</v>
      </c>
    </row>
    <row r="31" spans="1:29" x14ac:dyDescent="0.25">
      <c r="A31" s="1">
        <v>44613</v>
      </c>
      <c r="B31">
        <v>38</v>
      </c>
      <c r="C31">
        <v>35</v>
      </c>
      <c r="J31" t="s">
        <v>24</v>
      </c>
      <c r="K31" cm="1">
        <f t="array" ref="K31:Y31">K24:Y24</f>
        <v>550</v>
      </c>
      <c r="L31">
        <v>1100</v>
      </c>
      <c r="M31">
        <v>1900</v>
      </c>
      <c r="N31">
        <v>2700</v>
      </c>
      <c r="O31">
        <v>3650</v>
      </c>
      <c r="P31">
        <v>4550</v>
      </c>
      <c r="Q31">
        <v>5550</v>
      </c>
      <c r="R31">
        <v>6550</v>
      </c>
      <c r="S31">
        <v>7750</v>
      </c>
      <c r="T31">
        <v>9000</v>
      </c>
      <c r="U31">
        <v>10250</v>
      </c>
      <c r="V31">
        <v>11550</v>
      </c>
      <c r="W31">
        <v>11550</v>
      </c>
      <c r="X31">
        <v>13100</v>
      </c>
      <c r="Y31">
        <v>14700</v>
      </c>
    </row>
    <row r="32" spans="1:29" x14ac:dyDescent="0.25">
      <c r="A32" s="1">
        <v>44620</v>
      </c>
      <c r="B32">
        <v>45</v>
      </c>
      <c r="C32">
        <v>35</v>
      </c>
      <c r="J32" t="s">
        <v>33</v>
      </c>
      <c r="K32" cm="1">
        <f t="array" ref="K32:W32">K29:W29</f>
        <v>175</v>
      </c>
      <c r="L32">
        <v>712.5</v>
      </c>
      <c r="M32">
        <v>1540</v>
      </c>
      <c r="N32">
        <v>2242.5</v>
      </c>
      <c r="O32">
        <v>2908.75</v>
      </c>
      <c r="P32">
        <v>4078.75</v>
      </c>
      <c r="Q32">
        <v>5096.25</v>
      </c>
      <c r="R32">
        <v>6438.75</v>
      </c>
      <c r="S32">
        <v>7776.25</v>
      </c>
      <c r="T32">
        <v>8678.75</v>
      </c>
      <c r="U32">
        <v>9461.25</v>
      </c>
      <c r="V32">
        <v>10396.25</v>
      </c>
      <c r="W32">
        <v>10608.75</v>
      </c>
    </row>
    <row r="33" spans="1:23" x14ac:dyDescent="0.25">
      <c r="A33" s="1">
        <v>44627</v>
      </c>
      <c r="B33">
        <v>17</v>
      </c>
      <c r="C33">
        <v>35</v>
      </c>
      <c r="J33" t="s">
        <v>32</v>
      </c>
      <c r="K33" cm="1">
        <f t="array" ref="K33:W33">K27:W27</f>
        <v>0</v>
      </c>
      <c r="L33">
        <v>0</v>
      </c>
      <c r="M33">
        <v>166.25</v>
      </c>
      <c r="N33">
        <v>616.25</v>
      </c>
      <c r="O33">
        <v>941.25</v>
      </c>
      <c r="P33">
        <v>1786.25</v>
      </c>
      <c r="Q33">
        <v>3486.25</v>
      </c>
      <c r="R33">
        <v>4661.25</v>
      </c>
      <c r="S33">
        <v>4861.25</v>
      </c>
      <c r="T33">
        <v>5198.75</v>
      </c>
      <c r="U33">
        <v>5653.75</v>
      </c>
      <c r="V33">
        <v>5985</v>
      </c>
      <c r="W33">
        <v>6416.23</v>
      </c>
    </row>
    <row r="34" spans="1:23" x14ac:dyDescent="0.25">
      <c r="A34" s="1">
        <v>44634</v>
      </c>
      <c r="B34">
        <v>45</v>
      </c>
      <c r="C34">
        <v>35</v>
      </c>
      <c r="J34" t="s">
        <v>29</v>
      </c>
      <c r="K34">
        <f>AC23</f>
        <v>10144.615384615385</v>
      </c>
    </row>
    <row r="35" spans="1:23" x14ac:dyDescent="0.25">
      <c r="A35" s="1">
        <v>44641</v>
      </c>
      <c r="B35">
        <v>55</v>
      </c>
      <c r="C35">
        <v>35</v>
      </c>
    </row>
    <row r="36" spans="1:23" x14ac:dyDescent="0.25">
      <c r="A36" s="1">
        <v>44648</v>
      </c>
      <c r="B36">
        <v>50</v>
      </c>
      <c r="C36">
        <v>35</v>
      </c>
      <c r="J36" t="s">
        <v>35</v>
      </c>
      <c r="K36">
        <f>AC23-K25</f>
        <v>3728.3853846153852</v>
      </c>
    </row>
    <row r="37" spans="1:23" x14ac:dyDescent="0.25">
      <c r="A37" s="1">
        <v>44655</v>
      </c>
      <c r="B37">
        <v>60</v>
      </c>
      <c r="C37">
        <v>35</v>
      </c>
      <c r="J37" t="s">
        <v>36</v>
      </c>
      <c r="K37">
        <f>AC23-K30</f>
        <v>-4555.3846153846152</v>
      </c>
    </row>
    <row r="38" spans="1:23" x14ac:dyDescent="0.25">
      <c r="A38" s="1">
        <v>44662</v>
      </c>
      <c r="B38">
        <v>70</v>
      </c>
      <c r="C38">
        <v>35</v>
      </c>
      <c r="J38" t="s">
        <v>37</v>
      </c>
      <c r="K38">
        <f>K34/K25</f>
        <v>1.5810866170033471</v>
      </c>
    </row>
    <row r="39" spans="1:23" x14ac:dyDescent="0.25">
      <c r="A39" s="1">
        <v>44669</v>
      </c>
      <c r="B39">
        <v>75</v>
      </c>
      <c r="C39">
        <v>35</v>
      </c>
      <c r="J39" t="s">
        <v>38</v>
      </c>
      <c r="K39">
        <f>K34/K30</f>
        <v>0.6901098901098901</v>
      </c>
    </row>
    <row r="40" spans="1:23" x14ac:dyDescent="0.25">
      <c r="A40" s="1">
        <v>44676</v>
      </c>
      <c r="B40">
        <v>45</v>
      </c>
      <c r="C40">
        <v>35</v>
      </c>
      <c r="D40" t="s">
        <v>34</v>
      </c>
      <c r="J40" t="s">
        <v>39</v>
      </c>
      <c r="K40">
        <f>K30/K38</f>
        <v>9297.4033439490431</v>
      </c>
    </row>
    <row r="41" spans="1:23" x14ac:dyDescent="0.25">
      <c r="B41">
        <f>SUM(B22:B40)</f>
        <v>724</v>
      </c>
      <c r="C41">
        <f>SUM(C22:C40)</f>
        <v>665</v>
      </c>
      <c r="D41">
        <v>25</v>
      </c>
      <c r="J41" t="s">
        <v>40</v>
      </c>
      <c r="K41">
        <f>Y12/K39</f>
        <v>21.735668789808919</v>
      </c>
    </row>
    <row r="42" spans="1:23" x14ac:dyDescent="0.25">
      <c r="B42">
        <f>PRODUCT(B41,D41)</f>
        <v>18100</v>
      </c>
      <c r="C42">
        <f>PRODUCT(C41,D41)</f>
        <v>16625</v>
      </c>
    </row>
    <row r="43" spans="1:23" x14ac:dyDescent="0.25">
      <c r="C43">
        <f>B42/C42</f>
        <v>1.0887218045112781</v>
      </c>
      <c r="D43" t="s">
        <v>42</v>
      </c>
    </row>
    <row r="46" spans="1:23" x14ac:dyDescent="0.25">
      <c r="A46" t="s">
        <v>17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50</v>
      </c>
      <c r="H46" t="s">
        <v>49</v>
      </c>
      <c r="I46" t="s">
        <v>29</v>
      </c>
      <c r="L46" t="s">
        <v>24</v>
      </c>
      <c r="M46" t="s">
        <v>32</v>
      </c>
      <c r="N46" t="s">
        <v>51</v>
      </c>
    </row>
    <row r="47" spans="1:23" x14ac:dyDescent="0.25">
      <c r="A47" s="1">
        <v>44915</v>
      </c>
      <c r="B47">
        <v>0</v>
      </c>
      <c r="C47">
        <v>0</v>
      </c>
      <c r="D47">
        <f>SUM(B47,C47)</f>
        <v>0</v>
      </c>
      <c r="E47">
        <v>0</v>
      </c>
      <c r="F47">
        <f>SUM(B47,E47)</f>
        <v>0</v>
      </c>
      <c r="G47">
        <f>B47/5</f>
        <v>0</v>
      </c>
      <c r="H47">
        <v>1</v>
      </c>
      <c r="I47">
        <f>G47*H48+G47*H50+G47*H47+G47*H49+G47*H47</f>
        <v>0</v>
      </c>
      <c r="L47">
        <f>F47</f>
        <v>0</v>
      </c>
      <c r="M47">
        <f>D47</f>
        <v>0</v>
      </c>
      <c r="N47">
        <f>I47</f>
        <v>0</v>
      </c>
    </row>
    <row r="48" spans="1:23" x14ac:dyDescent="0.25">
      <c r="A48" s="1">
        <v>44922</v>
      </c>
      <c r="B48">
        <v>0</v>
      </c>
      <c r="C48">
        <v>0</v>
      </c>
      <c r="D48" s="5">
        <f t="shared" ref="D48:D65" si="9">SUM(B48,C48)</f>
        <v>0</v>
      </c>
      <c r="E48">
        <v>0</v>
      </c>
      <c r="F48" s="5">
        <f t="shared" ref="F48:F65" si="10">SUM(B48,E48)</f>
        <v>0</v>
      </c>
      <c r="G48" s="5">
        <f t="shared" ref="G48:G65" si="11">B48/5</f>
        <v>0</v>
      </c>
      <c r="H48">
        <v>0.95</v>
      </c>
      <c r="I48">
        <f>G48*H48+G48*H47+G48*H47+G48*H51+G48*H47</f>
        <v>0</v>
      </c>
      <c r="L48">
        <f>L47+F48</f>
        <v>0</v>
      </c>
      <c r="M48">
        <f>M47+D48</f>
        <v>0</v>
      </c>
      <c r="N48">
        <f>N47+I48</f>
        <v>0</v>
      </c>
    </row>
    <row r="49" spans="1:14" x14ac:dyDescent="0.25">
      <c r="A49" s="1">
        <v>44564</v>
      </c>
      <c r="B49">
        <v>1825</v>
      </c>
      <c r="C49">
        <v>0</v>
      </c>
      <c r="D49" s="5">
        <f t="shared" si="9"/>
        <v>1825</v>
      </c>
      <c r="E49">
        <v>0</v>
      </c>
      <c r="F49" s="5">
        <f t="shared" si="10"/>
        <v>1825</v>
      </c>
      <c r="G49" s="5">
        <f t="shared" si="11"/>
        <v>365</v>
      </c>
      <c r="H49">
        <v>0.9</v>
      </c>
      <c r="I49">
        <f>G49*H47+G49*H48+G49*H47+G49*H48+G49*H49</f>
        <v>1752</v>
      </c>
      <c r="L49" s="5">
        <f t="shared" ref="L49:L65" si="12">L48+F49</f>
        <v>1825</v>
      </c>
      <c r="M49" s="5">
        <f t="shared" ref="M49:M65" si="13">M48+D49</f>
        <v>1825</v>
      </c>
      <c r="N49" s="5">
        <f t="shared" ref="N49:N65" si="14">N48+I49</f>
        <v>1752</v>
      </c>
    </row>
    <row r="50" spans="1:14" x14ac:dyDescent="0.25">
      <c r="A50" s="1">
        <v>44571</v>
      </c>
      <c r="B50">
        <f t="shared" ref="B48:B65" si="15">PRODUCT(B25,25)</f>
        <v>400</v>
      </c>
      <c r="C50">
        <v>0</v>
      </c>
      <c r="D50" s="5">
        <f t="shared" si="9"/>
        <v>400</v>
      </c>
      <c r="E50">
        <v>0</v>
      </c>
      <c r="F50" s="5">
        <f t="shared" si="10"/>
        <v>400</v>
      </c>
      <c r="G50" s="5">
        <f t="shared" si="11"/>
        <v>80</v>
      </c>
      <c r="H50">
        <v>0.85</v>
      </c>
      <c r="I50">
        <f>G50*H47+G50*H47+G50*H48+G50*H48+G50*H47</f>
        <v>392</v>
      </c>
      <c r="L50" s="5">
        <f t="shared" si="12"/>
        <v>2225</v>
      </c>
      <c r="M50" s="5">
        <f t="shared" si="13"/>
        <v>2225</v>
      </c>
      <c r="N50" s="5">
        <f t="shared" si="14"/>
        <v>2144</v>
      </c>
    </row>
    <row r="51" spans="1:14" x14ac:dyDescent="0.25">
      <c r="A51" s="1">
        <v>44578</v>
      </c>
      <c r="B51">
        <f t="shared" si="15"/>
        <v>500</v>
      </c>
      <c r="C51">
        <v>103.05</v>
      </c>
      <c r="D51" s="5">
        <f t="shared" si="9"/>
        <v>603.04999999999995</v>
      </c>
      <c r="E51">
        <v>200</v>
      </c>
      <c r="F51" s="5">
        <f t="shared" si="10"/>
        <v>700</v>
      </c>
      <c r="G51" s="5">
        <f t="shared" si="11"/>
        <v>100</v>
      </c>
      <c r="H51">
        <v>0.8</v>
      </c>
      <c r="I51">
        <f>G51*H48+G51*H47+G51*H48+G51*H48+G51*H47</f>
        <v>485</v>
      </c>
      <c r="L51" s="5">
        <f t="shared" si="12"/>
        <v>2925</v>
      </c>
      <c r="M51" s="5">
        <f t="shared" si="13"/>
        <v>2828.05</v>
      </c>
      <c r="N51" s="5">
        <f t="shared" si="14"/>
        <v>2629</v>
      </c>
    </row>
    <row r="52" spans="1:14" x14ac:dyDescent="0.25">
      <c r="A52" s="1">
        <v>44585</v>
      </c>
      <c r="B52">
        <f t="shared" si="15"/>
        <v>625</v>
      </c>
      <c r="C52">
        <f>SUM(36.66,4.5,64.95,4.7,70)</f>
        <v>180.81</v>
      </c>
      <c r="D52" s="5">
        <f t="shared" si="9"/>
        <v>805.81</v>
      </c>
      <c r="E52">
        <v>250</v>
      </c>
      <c r="F52" s="5">
        <f t="shared" si="10"/>
        <v>875</v>
      </c>
      <c r="G52" s="5">
        <f t="shared" si="11"/>
        <v>125</v>
      </c>
      <c r="I52">
        <f>G52*H47+G52*H47+G52*H48+G52*H48+G52*H47</f>
        <v>612.5</v>
      </c>
      <c r="L52" s="5">
        <f t="shared" si="12"/>
        <v>3800</v>
      </c>
      <c r="M52" s="5">
        <f t="shared" si="13"/>
        <v>3633.86</v>
      </c>
      <c r="N52" s="5">
        <f t="shared" si="14"/>
        <v>3241.5</v>
      </c>
    </row>
    <row r="53" spans="1:14" x14ac:dyDescent="0.25">
      <c r="A53" s="1">
        <v>44592</v>
      </c>
      <c r="B53">
        <f t="shared" si="15"/>
        <v>750</v>
      </c>
      <c r="C53">
        <f>SUM(17.8,16.76,19.36,12.6,28,58.2,13.52)</f>
        <v>166.24</v>
      </c>
      <c r="D53" s="5">
        <f t="shared" si="9"/>
        <v>916.24</v>
      </c>
      <c r="E53">
        <v>100</v>
      </c>
      <c r="F53" s="5">
        <f t="shared" si="10"/>
        <v>850</v>
      </c>
      <c r="G53" s="5">
        <f t="shared" si="11"/>
        <v>150</v>
      </c>
      <c r="I53">
        <f>G53*H47+G53*H47+G53*H48+G53*H47+G53*H48</f>
        <v>735</v>
      </c>
      <c r="L53" s="5">
        <f t="shared" si="12"/>
        <v>4650</v>
      </c>
      <c r="M53" s="5">
        <f t="shared" si="13"/>
        <v>4550.1000000000004</v>
      </c>
      <c r="N53" s="5">
        <f t="shared" si="14"/>
        <v>3976.5</v>
      </c>
    </row>
    <row r="54" spans="1:14" x14ac:dyDescent="0.25">
      <c r="A54" s="1">
        <v>44599</v>
      </c>
      <c r="B54">
        <f t="shared" si="15"/>
        <v>625</v>
      </c>
      <c r="C54">
        <v>0</v>
      </c>
      <c r="D54" s="5">
        <f t="shared" si="9"/>
        <v>625</v>
      </c>
      <c r="E54">
        <v>100</v>
      </c>
      <c r="F54" s="5">
        <f t="shared" si="10"/>
        <v>725</v>
      </c>
      <c r="G54" s="5">
        <f t="shared" si="11"/>
        <v>125</v>
      </c>
      <c r="I54">
        <f>G54*H47+G54*H47+G54*H48+H47*G54+G54*H48</f>
        <v>612.5</v>
      </c>
      <c r="L54" s="5">
        <f t="shared" si="12"/>
        <v>5375</v>
      </c>
      <c r="M54" s="5">
        <f t="shared" si="13"/>
        <v>5175.1000000000004</v>
      </c>
      <c r="N54" s="5">
        <f t="shared" si="14"/>
        <v>4589</v>
      </c>
    </row>
    <row r="55" spans="1:14" x14ac:dyDescent="0.25">
      <c r="A55" s="1">
        <v>44606</v>
      </c>
      <c r="B55">
        <f t="shared" si="15"/>
        <v>875</v>
      </c>
      <c r="C55">
        <v>0</v>
      </c>
      <c r="D55" s="5">
        <f t="shared" si="9"/>
        <v>875</v>
      </c>
      <c r="E55">
        <v>100</v>
      </c>
      <c r="F55" s="5">
        <f t="shared" si="10"/>
        <v>975</v>
      </c>
      <c r="G55" s="5">
        <f t="shared" si="11"/>
        <v>175</v>
      </c>
      <c r="I55">
        <f>G55*H47+G55*H48+G55*H47+G55*H49+G55*H47</f>
        <v>848.75</v>
      </c>
      <c r="L55" s="5">
        <f t="shared" si="12"/>
        <v>6350</v>
      </c>
      <c r="M55" s="5">
        <f t="shared" si="13"/>
        <v>6050.1</v>
      </c>
      <c r="N55" s="5">
        <f t="shared" si="14"/>
        <v>5437.75</v>
      </c>
    </row>
    <row r="56" spans="1:14" x14ac:dyDescent="0.25">
      <c r="A56" s="1">
        <v>44613</v>
      </c>
      <c r="B56">
        <f t="shared" si="15"/>
        <v>950</v>
      </c>
      <c r="C56">
        <f>SUM(0.42,0.5,18.19)</f>
        <v>19.11</v>
      </c>
      <c r="D56" s="5">
        <f t="shared" si="9"/>
        <v>969.11</v>
      </c>
      <c r="E56">
        <v>200</v>
      </c>
      <c r="F56" s="5">
        <f t="shared" si="10"/>
        <v>1150</v>
      </c>
      <c r="G56" s="5">
        <f t="shared" si="11"/>
        <v>190</v>
      </c>
      <c r="I56">
        <f>G56*H48+G56*H47+G56*H48+G56*H47+G56*H49</f>
        <v>912</v>
      </c>
      <c r="L56" s="5">
        <f t="shared" si="12"/>
        <v>7500</v>
      </c>
      <c r="M56" s="5">
        <f t="shared" si="13"/>
        <v>7019.21</v>
      </c>
      <c r="N56" s="5">
        <f t="shared" si="14"/>
        <v>6349.75</v>
      </c>
    </row>
    <row r="57" spans="1:14" x14ac:dyDescent="0.25">
      <c r="A57" s="1">
        <v>44620</v>
      </c>
      <c r="B57">
        <f t="shared" si="15"/>
        <v>1125</v>
      </c>
      <c r="C57">
        <v>0</v>
      </c>
      <c r="D57" s="5">
        <f t="shared" si="9"/>
        <v>1125</v>
      </c>
      <c r="E57" s="7">
        <v>100</v>
      </c>
      <c r="F57" s="5">
        <f t="shared" si="10"/>
        <v>1225</v>
      </c>
      <c r="G57" s="5">
        <f t="shared" si="11"/>
        <v>225</v>
      </c>
      <c r="I57">
        <f>G57*H49+G57*H49+G57*H47+G57*H48+G57*H48</f>
        <v>1057.5</v>
      </c>
      <c r="L57" s="5">
        <f t="shared" si="12"/>
        <v>8725</v>
      </c>
      <c r="M57" s="5">
        <f t="shared" si="13"/>
        <v>8144.21</v>
      </c>
      <c r="N57" s="5">
        <f t="shared" si="14"/>
        <v>7407.25</v>
      </c>
    </row>
    <row r="58" spans="1:14" x14ac:dyDescent="0.25">
      <c r="A58" s="1">
        <v>44627</v>
      </c>
      <c r="B58">
        <f t="shared" si="15"/>
        <v>425</v>
      </c>
      <c r="C58">
        <f>SUM(16.8)</f>
        <v>16.8</v>
      </c>
      <c r="D58" s="5">
        <f t="shared" si="9"/>
        <v>441.8</v>
      </c>
      <c r="E58" s="7">
        <v>0</v>
      </c>
      <c r="F58" s="5">
        <f t="shared" si="10"/>
        <v>425</v>
      </c>
      <c r="G58" s="5">
        <f t="shared" si="11"/>
        <v>85</v>
      </c>
      <c r="I58">
        <f>G58*H47+G58*H48+G58*H47+G58*H48+G58*H49</f>
        <v>408</v>
      </c>
      <c r="L58" s="5">
        <f t="shared" si="12"/>
        <v>9150</v>
      </c>
      <c r="M58" s="5">
        <f t="shared" si="13"/>
        <v>8586.01</v>
      </c>
      <c r="N58" s="5">
        <f t="shared" si="14"/>
        <v>7815.25</v>
      </c>
    </row>
    <row r="59" spans="1:14" x14ac:dyDescent="0.25">
      <c r="A59" s="1">
        <v>44634</v>
      </c>
      <c r="B59">
        <f t="shared" si="15"/>
        <v>1125</v>
      </c>
      <c r="C59">
        <v>11.85</v>
      </c>
      <c r="D59" s="5">
        <f t="shared" si="9"/>
        <v>1136.8499999999999</v>
      </c>
      <c r="E59" s="7">
        <v>0</v>
      </c>
      <c r="F59" s="5">
        <f t="shared" si="10"/>
        <v>1125</v>
      </c>
      <c r="G59" s="5">
        <f t="shared" si="11"/>
        <v>225</v>
      </c>
      <c r="I59">
        <f>G59*H49+G59*H49+G59*H47+G59*H48+G59*H48</f>
        <v>1057.5</v>
      </c>
      <c r="L59" s="5">
        <f t="shared" si="12"/>
        <v>10275</v>
      </c>
      <c r="M59" s="5">
        <f t="shared" si="13"/>
        <v>9722.86</v>
      </c>
      <c r="N59" s="5">
        <f t="shared" si="14"/>
        <v>8872.75</v>
      </c>
    </row>
    <row r="60" spans="1:14" x14ac:dyDescent="0.25">
      <c r="A60" s="1">
        <v>44641</v>
      </c>
      <c r="B60">
        <f t="shared" si="15"/>
        <v>1375</v>
      </c>
      <c r="C60">
        <v>0</v>
      </c>
      <c r="D60" s="5">
        <f t="shared" si="9"/>
        <v>1375</v>
      </c>
      <c r="E60" s="7">
        <v>0</v>
      </c>
      <c r="F60" s="5">
        <f t="shared" si="10"/>
        <v>1375</v>
      </c>
      <c r="G60" s="5">
        <f t="shared" si="11"/>
        <v>275</v>
      </c>
      <c r="I60">
        <f>G60*H47+G60*H48+G60*H47+G60*H48+G60*H49</f>
        <v>1320</v>
      </c>
      <c r="L60" s="5">
        <f t="shared" si="12"/>
        <v>11650</v>
      </c>
      <c r="M60" s="5">
        <f t="shared" si="13"/>
        <v>11097.86</v>
      </c>
      <c r="N60" s="5">
        <f t="shared" si="14"/>
        <v>10192.75</v>
      </c>
    </row>
    <row r="61" spans="1:14" x14ac:dyDescent="0.25">
      <c r="A61" s="1">
        <v>44648</v>
      </c>
      <c r="B61">
        <f t="shared" si="15"/>
        <v>1250</v>
      </c>
      <c r="C61">
        <f>SUM(13.8,17.46)</f>
        <v>31.26</v>
      </c>
      <c r="D61" s="5">
        <f t="shared" si="9"/>
        <v>1281.26</v>
      </c>
      <c r="E61" s="7">
        <v>0</v>
      </c>
      <c r="F61" s="5">
        <f t="shared" si="10"/>
        <v>1250</v>
      </c>
      <c r="G61" s="5">
        <f t="shared" si="11"/>
        <v>250</v>
      </c>
      <c r="I61">
        <f>G61*H47+G61*H48+G61*H48+G61*H47+G61*H49</f>
        <v>1200</v>
      </c>
      <c r="L61" s="5">
        <f t="shared" si="12"/>
        <v>12900</v>
      </c>
      <c r="M61" s="5">
        <f t="shared" si="13"/>
        <v>12379.12</v>
      </c>
      <c r="N61" s="5">
        <f t="shared" si="14"/>
        <v>11392.75</v>
      </c>
    </row>
    <row r="62" spans="1:14" x14ac:dyDescent="0.25">
      <c r="A62" s="1">
        <v>44655</v>
      </c>
      <c r="B62">
        <f t="shared" si="15"/>
        <v>1500</v>
      </c>
      <c r="C62" s="7">
        <v>123.35</v>
      </c>
      <c r="D62" s="5">
        <f t="shared" si="9"/>
        <v>1623.35</v>
      </c>
      <c r="E62" s="7">
        <v>0</v>
      </c>
      <c r="F62" s="5">
        <f t="shared" si="10"/>
        <v>1500</v>
      </c>
      <c r="G62" s="5">
        <f t="shared" si="11"/>
        <v>300</v>
      </c>
      <c r="I62">
        <f>G62*H48+G62*H47+G62*H48+G62*H49+G62*H48</f>
        <v>1425</v>
      </c>
      <c r="L62" s="5">
        <f t="shared" si="12"/>
        <v>14400</v>
      </c>
      <c r="M62" s="5">
        <f t="shared" si="13"/>
        <v>14002.470000000001</v>
      </c>
      <c r="N62" s="5">
        <f t="shared" si="14"/>
        <v>12817.75</v>
      </c>
    </row>
    <row r="63" spans="1:14" x14ac:dyDescent="0.25">
      <c r="A63" s="1">
        <v>44662</v>
      </c>
      <c r="B63">
        <f t="shared" si="15"/>
        <v>1750</v>
      </c>
      <c r="C63">
        <v>13.92</v>
      </c>
      <c r="D63" s="5">
        <f t="shared" si="9"/>
        <v>1763.92</v>
      </c>
      <c r="E63" s="7">
        <v>0</v>
      </c>
      <c r="F63" s="5">
        <f t="shared" si="10"/>
        <v>1750</v>
      </c>
      <c r="G63" s="5">
        <f t="shared" si="11"/>
        <v>350</v>
      </c>
      <c r="I63">
        <f>G63*H48+G63*H48+G63*H47+G63*H48+G63*H49</f>
        <v>1662.5</v>
      </c>
      <c r="L63" s="5">
        <f t="shared" si="12"/>
        <v>16150</v>
      </c>
      <c r="M63" s="5">
        <f t="shared" si="13"/>
        <v>15766.390000000001</v>
      </c>
      <c r="N63" s="5">
        <f t="shared" si="14"/>
        <v>14480.25</v>
      </c>
    </row>
    <row r="64" spans="1:14" x14ac:dyDescent="0.25">
      <c r="A64" s="1">
        <v>44669</v>
      </c>
      <c r="B64">
        <f t="shared" si="15"/>
        <v>1875</v>
      </c>
      <c r="C64">
        <v>0</v>
      </c>
      <c r="D64" s="5">
        <f t="shared" si="9"/>
        <v>1875</v>
      </c>
      <c r="E64" s="7">
        <v>0</v>
      </c>
      <c r="F64" s="5">
        <f t="shared" si="10"/>
        <v>1875</v>
      </c>
      <c r="G64" s="5">
        <f t="shared" si="11"/>
        <v>375</v>
      </c>
      <c r="I64">
        <f>G64*H47+G64*H48+G64*H48+G64*H49+G64*H47</f>
        <v>1800</v>
      </c>
      <c r="L64" s="5">
        <f t="shared" si="12"/>
        <v>18025</v>
      </c>
      <c r="M64" s="5">
        <f t="shared" si="13"/>
        <v>17641.39</v>
      </c>
      <c r="N64" s="5">
        <f t="shared" si="14"/>
        <v>16280.25</v>
      </c>
    </row>
    <row r="65" spans="1:14" x14ac:dyDescent="0.25">
      <c r="A65" s="1">
        <v>44676</v>
      </c>
      <c r="B65">
        <f t="shared" si="15"/>
        <v>1125</v>
      </c>
      <c r="C65">
        <v>0</v>
      </c>
      <c r="D65" s="5">
        <f t="shared" si="9"/>
        <v>1125</v>
      </c>
      <c r="E65" s="7">
        <v>0</v>
      </c>
      <c r="F65" s="5">
        <f t="shared" si="10"/>
        <v>1125</v>
      </c>
      <c r="G65" s="5">
        <f t="shared" si="11"/>
        <v>225</v>
      </c>
      <c r="I65">
        <f>G65*H48+G65*H49+G65*H47+G65*H48+G65*H49</f>
        <v>1057.5</v>
      </c>
      <c r="L65" s="5">
        <f t="shared" si="12"/>
        <v>19150</v>
      </c>
      <c r="M65" s="5">
        <f t="shared" si="13"/>
        <v>18766.39</v>
      </c>
      <c r="N65" s="5">
        <f t="shared" si="14"/>
        <v>17337.75</v>
      </c>
    </row>
    <row r="66" spans="1:14" x14ac:dyDescent="0.25">
      <c r="A66" t="s">
        <v>48</v>
      </c>
      <c r="D66">
        <f>SUM(D47:D65)</f>
        <v>18766.39</v>
      </c>
      <c r="E66" s="6"/>
      <c r="F66">
        <f>SUM(F47:F65)</f>
        <v>19150</v>
      </c>
      <c r="I66">
        <f>SUM(I47:I65)</f>
        <v>17337.75</v>
      </c>
      <c r="J66">
        <f>I66/D66</f>
        <v>0.92387241232863648</v>
      </c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spencer.dowty@gmail.com</dc:creator>
  <cp:lastModifiedBy>spencer.dowty@gmail.com</cp:lastModifiedBy>
  <dcterms:created xsi:type="dcterms:W3CDTF">2021-11-29T20:48:57Z</dcterms:created>
  <dcterms:modified xsi:type="dcterms:W3CDTF">2022-04-27T21:04:02Z</dcterms:modified>
</cp:coreProperties>
</file>