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1"/>
  </bookViews>
  <sheets>
    <sheet name="weapon_components" sheetId="4" r:id="rId1"/>
    <sheet name="Weapon Formulas" sheetId="2" r:id="rId2"/>
    <sheet name="Ship Design Balancing" sheetId="5" r:id="rId3"/>
    <sheet name="Sheet1" sheetId="6" r:id="rId4"/>
    <sheet name="gen_weapon_components" sheetId="3" r:id="rId5"/>
  </sheets>
  <calcPr calcId="171027"/>
</workbook>
</file>

<file path=xl/calcChain.xml><?xml version="1.0" encoding="utf-8"?>
<calcChain xmlns="http://schemas.openxmlformats.org/spreadsheetml/2006/main">
  <c r="H122" i="2" l="1"/>
  <c r="I122" i="2"/>
  <c r="J122" i="2"/>
  <c r="I121" i="2"/>
  <c r="J121" i="2"/>
  <c r="H121" i="2"/>
  <c r="G121" i="2" s="1"/>
  <c r="G122" i="2"/>
  <c r="G11" i="2"/>
  <c r="G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19" i="2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I9" i="6" l="1"/>
  <c r="H9" i="6"/>
  <c r="H8" i="6"/>
  <c r="J8" i="6" s="1"/>
  <c r="I8" i="6"/>
  <c r="H7" i="6"/>
  <c r="G7" i="6"/>
  <c r="H6" i="6"/>
  <c r="G6" i="6"/>
  <c r="C9" i="6"/>
  <c r="J6" i="6" l="1"/>
  <c r="J7" i="6"/>
  <c r="J9" i="6"/>
  <c r="B10" i="6"/>
  <c r="C10" i="6"/>
  <c r="P5" i="5"/>
  <c r="B13" i="5" s="1"/>
  <c r="B12" i="5"/>
  <c r="B11" i="5"/>
  <c r="D11" i="5"/>
  <c r="C11" i="5"/>
  <c r="E11" i="5"/>
  <c r="C14" i="5"/>
  <c r="D14" i="5"/>
  <c r="B14" i="5"/>
  <c r="E14" i="5"/>
  <c r="E12" i="5"/>
  <c r="M4" i="2"/>
  <c r="M5" i="2" s="1"/>
  <c r="M6" i="2" s="1"/>
  <c r="M3" i="2"/>
  <c r="N6" i="5"/>
  <c r="G11" i="5"/>
  <c r="B9" i="5"/>
  <c r="C9" i="5" s="1"/>
  <c r="D9" i="5"/>
  <c r="D13" i="5" l="1"/>
  <c r="C13" i="5"/>
  <c r="E13" i="5"/>
  <c r="E10" i="5" s="1"/>
  <c r="E9" i="5"/>
  <c r="E7" i="5" s="1"/>
  <c r="C12" i="5"/>
  <c r="R72" i="2"/>
  <c r="R73" i="2"/>
  <c r="H73" i="2"/>
  <c r="I73" i="2"/>
  <c r="J73" i="2"/>
  <c r="I72" i="2"/>
  <c r="J72" i="2"/>
  <c r="H72" i="2"/>
  <c r="M105" i="2"/>
  <c r="M106" i="2"/>
  <c r="M107" i="2"/>
  <c r="M108" i="2"/>
  <c r="M109" i="2"/>
  <c r="M110" i="2"/>
  <c r="M111" i="2"/>
  <c r="M112" i="2"/>
  <c r="M104" i="2"/>
  <c r="J104" i="2"/>
  <c r="T53" i="2"/>
  <c r="C10" i="5" l="1"/>
  <c r="K12" i="5" s="1"/>
  <c r="D12" i="5"/>
  <c r="D10" i="5"/>
  <c r="B10" i="5"/>
  <c r="J11" i="5" s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8" i="3"/>
  <c r="L29" i="3"/>
  <c r="L31" i="3"/>
  <c r="L32" i="3"/>
  <c r="L33" i="3"/>
  <c r="L34" i="3"/>
  <c r="L35" i="3"/>
  <c r="L36" i="3"/>
  <c r="L37" i="3"/>
  <c r="L38" i="3"/>
  <c r="L39" i="3"/>
  <c r="L41" i="3"/>
  <c r="L42" i="3"/>
  <c r="L44" i="3"/>
  <c r="L45" i="3"/>
  <c r="L46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80" i="3"/>
  <c r="L81" i="3"/>
  <c r="L82" i="3"/>
  <c r="L83" i="3"/>
  <c r="L84" i="3"/>
  <c r="L85" i="3"/>
  <c r="L86" i="3"/>
  <c r="L87" i="3"/>
  <c r="L88" i="3"/>
  <c r="L90" i="3"/>
  <c r="L9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3" i="3"/>
  <c r="L124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L8" i="3"/>
  <c r="L176" i="3"/>
  <c r="L177" i="3"/>
  <c r="L178" i="3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L78" i="3" s="1"/>
  <c r="S72" i="2"/>
  <c r="L77" i="3" s="1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K13" i="5" l="1"/>
  <c r="M14" i="5"/>
  <c r="M13" i="5"/>
  <c r="M16" i="5"/>
  <c r="M15" i="5"/>
  <c r="K11" i="5"/>
  <c r="K14" i="5"/>
  <c r="M11" i="5"/>
  <c r="K16" i="5"/>
  <c r="K15" i="5"/>
  <c r="M12" i="5"/>
  <c r="L12" i="5"/>
  <c r="L14" i="5"/>
  <c r="L15" i="5"/>
  <c r="L16" i="5"/>
  <c r="L11" i="5"/>
  <c r="L13" i="5"/>
  <c r="J12" i="5"/>
  <c r="J16" i="5"/>
  <c r="J13" i="5"/>
  <c r="J14" i="5"/>
  <c r="J15" i="5"/>
  <c r="D6" i="5"/>
  <c r="E6" i="5"/>
  <c r="C6" i="5"/>
  <c r="N5" i="5"/>
  <c r="B8" i="5"/>
  <c r="C8" i="5"/>
  <c r="D8" i="5"/>
  <c r="E8" i="5"/>
  <c r="S3" i="5"/>
  <c r="C5" i="5"/>
  <c r="D5" i="5"/>
  <c r="E5" i="5"/>
  <c r="B5" i="5"/>
  <c r="C24" i="3" l="1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D176" i="3" l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G77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N55" i="3"/>
  <c r="N54" i="3"/>
  <c r="A118" i="2"/>
  <c r="A119" i="2"/>
  <c r="R43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H119" i="2"/>
  <c r="F118" i="2"/>
  <c r="H118" i="2" s="1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Q3" i="2"/>
  <c r="Q4" i="2"/>
  <c r="Q5" i="2"/>
  <c r="L72" i="2" s="1"/>
  <c r="F77" i="3" s="1"/>
  <c r="Q6" i="2"/>
  <c r="Q2" i="2"/>
  <c r="O3" i="2"/>
  <c r="O4" i="2"/>
  <c r="O5" i="2"/>
  <c r="G72" i="2" s="1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G118" i="2" l="1"/>
  <c r="L73" i="2"/>
  <c r="F78" i="3" s="1"/>
  <c r="L41" i="2"/>
  <c r="F42" i="3" s="1"/>
  <c r="L47" i="2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I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O12" i="2" s="1"/>
  <c r="D9" i="3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G91" i="2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14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P19" i="2" s="1"/>
  <c r="E16" i="3" s="1"/>
  <c r="A15" i="2"/>
  <c r="F15" i="2" s="1"/>
  <c r="H15" i="2" s="1"/>
  <c r="G15" i="2" s="1"/>
  <c r="O15" i="2" s="1"/>
  <c r="D12" i="3" s="1"/>
  <c r="A41" i="2"/>
  <c r="F41" i="2" s="1"/>
  <c r="H41" i="2" s="1"/>
  <c r="A73" i="2"/>
  <c r="G99" i="2"/>
  <c r="O99" i="2" s="1"/>
  <c r="D104" i="3" s="1"/>
  <c r="I91" i="2"/>
  <c r="H104" i="2"/>
  <c r="G104" i="2" s="1"/>
  <c r="K119" i="2"/>
  <c r="A83" i="2"/>
  <c r="P119" i="2"/>
  <c r="N119" i="2" s="1"/>
  <c r="I75" i="2"/>
  <c r="J99" i="2"/>
  <c r="I98" i="2"/>
  <c r="J95" i="2"/>
  <c r="J91" i="2"/>
  <c r="H117" i="2"/>
  <c r="G117" i="2" s="1"/>
  <c r="O117" i="2" s="1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A70" i="2"/>
  <c r="F70" i="2" s="1"/>
  <c r="A49" i="2"/>
  <c r="F49" i="2" s="1"/>
  <c r="I49" i="2" s="1"/>
  <c r="A45" i="2"/>
  <c r="F45" i="2" s="1"/>
  <c r="I45" i="2" s="1"/>
  <c r="O119" i="2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G60" i="2" s="1"/>
  <c r="K60" i="2" s="1"/>
  <c r="H61" i="3" s="1"/>
  <c r="I60" i="2"/>
  <c r="J69" i="2"/>
  <c r="H59" i="2"/>
  <c r="G59" i="2" s="1"/>
  <c r="I59" i="2"/>
  <c r="H70" i="2"/>
  <c r="I70" i="2"/>
  <c r="J70" i="2"/>
  <c r="I66" i="2"/>
  <c r="J66" i="2"/>
  <c r="H66" i="2"/>
  <c r="G66" i="2" s="1"/>
  <c r="K66" i="2" s="1"/>
  <c r="H67" i="3" s="1"/>
  <c r="I62" i="2"/>
  <c r="H62" i="2"/>
  <c r="J62" i="2"/>
  <c r="I58" i="2"/>
  <c r="J58" i="2"/>
  <c r="H58" i="2"/>
  <c r="H63" i="2"/>
  <c r="G63" i="2" s="1"/>
  <c r="K63" i="2" s="1"/>
  <c r="H64" i="3" s="1"/>
  <c r="I63" i="2"/>
  <c r="H57" i="2"/>
  <c r="H67" i="2"/>
  <c r="I67" i="2"/>
  <c r="J61" i="2"/>
  <c r="H65" i="2"/>
  <c r="G65" i="2" s="1"/>
  <c r="K65" i="2" s="1"/>
  <c r="H66" i="3" s="1"/>
  <c r="J68" i="2"/>
  <c r="J60" i="2"/>
  <c r="J67" i="2"/>
  <c r="J63" i="2"/>
  <c r="J59" i="2"/>
  <c r="I11" i="2"/>
  <c r="G114" i="2"/>
  <c r="O114" i="2" s="1"/>
  <c r="D123" i="3" s="1"/>
  <c r="J56" i="2"/>
  <c r="L24" i="2"/>
  <c r="F21" i="3" s="1"/>
  <c r="L23" i="2"/>
  <c r="F20" i="3" s="1"/>
  <c r="O16" i="2"/>
  <c r="D13" i="3" s="1"/>
  <c r="P93" i="2"/>
  <c r="E98" i="3" s="1"/>
  <c r="O93" i="2"/>
  <c r="D98" i="3" s="1"/>
  <c r="O98" i="2"/>
  <c r="D103" i="3" s="1"/>
  <c r="P98" i="2"/>
  <c r="E103" i="3" s="1"/>
  <c r="H11" i="2"/>
  <c r="G101" i="2"/>
  <c r="G94" i="2"/>
  <c r="G92" i="2"/>
  <c r="J85" i="2"/>
  <c r="L85" i="2" s="1"/>
  <c r="F90" i="3" s="1"/>
  <c r="J77" i="2"/>
  <c r="I23" i="2"/>
  <c r="H18" i="2"/>
  <c r="G18" i="2" s="1"/>
  <c r="H51" i="2"/>
  <c r="H49" i="2"/>
  <c r="I47" i="2"/>
  <c r="J45" i="2"/>
  <c r="I53" i="2"/>
  <c r="J53" i="2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J17" i="2"/>
  <c r="J15" i="2"/>
  <c r="F24" i="2" s="1"/>
  <c r="H24" i="2" s="1"/>
  <c r="G24" i="2" s="1"/>
  <c r="O24" i="2" s="1"/>
  <c r="D21" i="3" s="1"/>
  <c r="J33" i="2"/>
  <c r="I50" i="2"/>
  <c r="J48" i="2"/>
  <c r="H47" i="2"/>
  <c r="H45" i="2"/>
  <c r="G45" i="2" s="1"/>
  <c r="P45" i="2" s="1"/>
  <c r="E46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P15" i="2"/>
  <c r="E12" i="3" s="1"/>
  <c r="G67" i="2"/>
  <c r="G57" i="2"/>
  <c r="G58" i="2"/>
  <c r="G76" i="2"/>
  <c r="G77" i="2"/>
  <c r="K106" i="2"/>
  <c r="H115" i="3" s="1"/>
  <c r="G44" i="2"/>
  <c r="O44" i="2" s="1"/>
  <c r="D45" i="3" s="1"/>
  <c r="G62" i="2"/>
  <c r="I54" i="2"/>
  <c r="J54" i="2"/>
  <c r="J41" i="2"/>
  <c r="I41" i="2"/>
  <c r="P99" i="2" l="1"/>
  <c r="E104" i="3" s="1"/>
  <c r="K99" i="2"/>
  <c r="H104" i="3" s="1"/>
  <c r="N118" i="2"/>
  <c r="K117" i="2"/>
  <c r="P117" i="2"/>
  <c r="H61" i="2"/>
  <c r="G61" i="2" s="1"/>
  <c r="K61" i="2" s="1"/>
  <c r="H62" i="3" s="1"/>
  <c r="H69" i="2"/>
  <c r="J65" i="2"/>
  <c r="J57" i="2"/>
  <c r="H64" i="2"/>
  <c r="G64" i="2" s="1"/>
  <c r="K64" i="2" s="1"/>
  <c r="H65" i="3" s="1"/>
  <c r="K58" i="2"/>
  <c r="H59" i="3" s="1"/>
  <c r="I56" i="2"/>
  <c r="K56" i="2" s="1"/>
  <c r="H57" i="3" s="1"/>
  <c r="H40" i="2"/>
  <c r="H23" i="2"/>
  <c r="G23" i="2" s="1"/>
  <c r="K23" i="2" s="1"/>
  <c r="H20" i="3" s="1"/>
  <c r="I14" i="2"/>
  <c r="K17" i="2"/>
  <c r="H14" i="3" s="1"/>
  <c r="O19" i="2"/>
  <c r="D16" i="3" s="1"/>
  <c r="I19" i="2"/>
  <c r="K19" i="2" s="1"/>
  <c r="H16" i="3" s="1"/>
  <c r="P12" i="2"/>
  <c r="E9" i="3" s="1"/>
  <c r="I12" i="2"/>
  <c r="K12" i="2" s="1"/>
  <c r="H9" i="3" s="1"/>
  <c r="J19" i="2"/>
  <c r="J12" i="2"/>
  <c r="F21" i="2" s="1"/>
  <c r="P95" i="2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95" i="2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46" i="2"/>
  <c r="G33" i="2"/>
  <c r="G47" i="2"/>
  <c r="G78" i="2"/>
  <c r="G48" i="2"/>
  <c r="G69" i="2"/>
  <c r="K69" i="2" s="1"/>
  <c r="H70" i="3" s="1"/>
  <c r="N114" i="2" l="1"/>
  <c r="P13" i="2"/>
  <c r="E10" i="3" s="1"/>
  <c r="N19" i="2"/>
  <c r="H25" i="2"/>
  <c r="G25" i="2" s="1"/>
  <c r="K25" i="2" s="1"/>
  <c r="H22" i="3" s="1"/>
  <c r="O23" i="2"/>
  <c r="P23" i="2"/>
  <c r="E20" i="3" s="1"/>
  <c r="I21" i="2"/>
  <c r="H21" i="2"/>
  <c r="G21" i="2" s="1"/>
  <c r="N24" i="2"/>
  <c r="J32" i="2"/>
  <c r="H32" i="2"/>
  <c r="G32" i="2" s="1"/>
  <c r="I32" i="2"/>
  <c r="I31" i="2"/>
  <c r="H31" i="2"/>
  <c r="G31" i="2" s="1"/>
  <c r="J31" i="2"/>
  <c r="I35" i="2"/>
  <c r="H35" i="2"/>
  <c r="G35" i="2" s="1"/>
  <c r="O35" i="2" s="1"/>
  <c r="D36" i="3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P34" i="2" s="1"/>
  <c r="E35" i="3" s="1"/>
  <c r="I34" i="2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K33" i="2"/>
  <c r="H34" i="3" s="1"/>
  <c r="K22" i="2"/>
  <c r="H19" i="3" s="1"/>
  <c r="K13" i="2"/>
  <c r="H10" i="3" s="1"/>
  <c r="O25" i="2"/>
  <c r="D22" i="3" s="1"/>
  <c r="N13" i="2"/>
  <c r="K40" i="2"/>
  <c r="H41" i="3" s="1"/>
  <c r="O40" i="2"/>
  <c r="D41" i="3" s="1"/>
  <c r="N18" i="2"/>
  <c r="N22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P25" i="2" l="1"/>
  <c r="E22" i="3" s="1"/>
  <c r="K34" i="2"/>
  <c r="AC31" i="2" s="1"/>
  <c r="K32" i="2"/>
  <c r="H33" i="3" s="1"/>
  <c r="D20" i="3"/>
  <c r="N23" i="2"/>
  <c r="N14" i="2"/>
  <c r="K21" i="2"/>
  <c r="H18" i="3" s="1"/>
  <c r="O21" i="2"/>
  <c r="P21" i="2"/>
  <c r="E18" i="3" s="1"/>
  <c r="H35" i="3"/>
  <c r="AL29" i="2"/>
  <c r="K30" i="2"/>
  <c r="P32" i="2"/>
  <c r="E33" i="3" s="1"/>
  <c r="O32" i="2"/>
  <c r="AC29" i="2"/>
  <c r="P30" i="2"/>
  <c r="E31" i="3" s="1"/>
  <c r="O30" i="2"/>
  <c r="O31" i="2"/>
  <c r="P31" i="2"/>
  <c r="E32" i="3" s="1"/>
  <c r="K31" i="2"/>
  <c r="AK28" i="2" s="1"/>
  <c r="AB30" i="2"/>
  <c r="Y31" i="2"/>
  <c r="AD30" i="2"/>
  <c r="AA30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D31" i="2"/>
  <c r="AL32" i="2"/>
  <c r="Y32" i="2"/>
  <c r="AB32" i="2"/>
  <c r="AK32" i="2"/>
  <c r="AE32" i="2"/>
  <c r="AA31" i="2"/>
  <c r="N35" i="2"/>
  <c r="N34" i="2"/>
  <c r="N33" i="2"/>
  <c r="K28" i="2"/>
  <c r="H29" i="3" s="1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AL31" i="2" l="1"/>
  <c r="AP31" i="2"/>
  <c r="AB31" i="2"/>
  <c r="AA29" i="2"/>
  <c r="X31" i="2"/>
  <c r="AJ31" i="2"/>
  <c r="AM31" i="2"/>
  <c r="Z29" i="2"/>
  <c r="AI29" i="2"/>
  <c r="AE29" i="2"/>
  <c r="AI31" i="2"/>
  <c r="AF31" i="2"/>
  <c r="AN31" i="2"/>
  <c r="AM29" i="2"/>
  <c r="AO29" i="2"/>
  <c r="Y29" i="2"/>
  <c r="AB29" i="2"/>
  <c r="AF29" i="2"/>
  <c r="X29" i="2"/>
  <c r="AG29" i="2"/>
  <c r="AH29" i="2"/>
  <c r="AN29" i="2"/>
  <c r="Z31" i="2"/>
  <c r="AG31" i="2"/>
  <c r="AE31" i="2"/>
  <c r="AK31" i="2"/>
  <c r="N25" i="2"/>
  <c r="AP29" i="2"/>
  <c r="AJ29" i="2"/>
  <c r="AD29" i="2"/>
  <c r="AK29" i="2"/>
  <c r="AH28" i="2"/>
  <c r="AJ28" i="2"/>
  <c r="D18" i="3"/>
  <c r="N21" i="2"/>
  <c r="H32" i="3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O72" i="2"/>
  <c r="D77" i="3" s="1"/>
  <c r="P72" i="2" l="1"/>
  <c r="E77" i="3" s="1"/>
  <c r="K72" i="2"/>
  <c r="H77" i="3" s="1"/>
  <c r="N72" i="2" l="1"/>
  <c r="D7" i="5" l="1"/>
  <c r="C7" i="5"/>
  <c r="I27" i="2"/>
  <c r="A27" i="2"/>
  <c r="F27" i="2"/>
  <c r="J27" i="2" s="1"/>
  <c r="H27" i="2" l="1"/>
  <c r="G27" i="2" s="1"/>
  <c r="K27" i="2" s="1"/>
  <c r="H28" i="3" s="1"/>
  <c r="X36" i="2" l="1"/>
  <c r="Y36" i="2"/>
  <c r="AB36" i="2"/>
  <c r="AA36" i="2"/>
  <c r="P27" i="2"/>
  <c r="E28" i="3" s="1"/>
  <c r="AD36" i="2"/>
  <c r="AM36" i="2"/>
  <c r="AE36" i="2"/>
  <c r="AF36" i="2"/>
  <c r="AL36" i="2"/>
  <c r="AJ36" i="2"/>
  <c r="AI36" i="2"/>
  <c r="AK36" i="2"/>
  <c r="Z36" i="2"/>
  <c r="AO36" i="2"/>
  <c r="O27" i="2"/>
  <c r="AH36" i="2"/>
  <c r="AP36" i="2"/>
  <c r="AG36" i="2"/>
  <c r="AC36" i="2"/>
  <c r="AN36" i="2"/>
  <c r="D28" i="3" l="1"/>
  <c r="N27" i="2"/>
  <c r="A43" i="2"/>
  <c r="F43" i="2"/>
  <c r="I43" i="2" s="1"/>
  <c r="H43" i="2"/>
  <c r="G43" i="2" s="1"/>
  <c r="P43" i="2" l="1"/>
  <c r="E44" i="3" s="1"/>
  <c r="O43" i="2"/>
  <c r="K43" i="2"/>
  <c r="H44" i="3" s="1"/>
  <c r="J43" i="2"/>
  <c r="N43" i="2" l="1"/>
  <c r="D44" i="3"/>
  <c r="A114" i="2"/>
</calcChain>
</file>

<file path=xl/sharedStrings.xml><?xml version="1.0" encoding="utf-8"?>
<sst xmlns="http://schemas.openxmlformats.org/spreadsheetml/2006/main" count="703" uniqueCount="292">
  <si>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</si>
  <si>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</si>
  <si>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</si>
  <si>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</si>
  <si>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</si>
  <si>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</si>
  <si>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</si>
  <si>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</si>
  <si>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</si>
  <si>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</si>
  <si>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</si>
  <si>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</si>
  <si>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</si>
  <si>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</si>
  <si>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</si>
  <si>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</si>
  <si>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</si>
  <si>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</si>
  <si>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</si>
  <si>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</si>
  <si>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</si>
  <si>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</si>
  <si>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</si>
  <si>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</si>
  <si>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</si>
  <si>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</si>
  <si>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</si>
  <si>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</si>
  <si>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</si>
  <si>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</si>
  <si>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</si>
  <si>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</si>
  <si>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</si>
  <si>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</si>
  <si>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</si>
  <si>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</si>
  <si>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</si>
  <si>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</si>
  <si>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</si>
  <si>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</si>
  <si>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</si>
  <si>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</si>
  <si>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</si>
  <si>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</si>
  <si>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</si>
  <si>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</si>
  <si>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</si>
  <si>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</si>
  <si>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</si>
  <si>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</si>
  <si>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</si>
  <si>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</si>
  <si>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</si>
  <si>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</si>
  <si>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</si>
  <si>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</si>
  <si>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</si>
  <si>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</si>
  <si>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</si>
  <si>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</si>
  <si>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</si>
  <si>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</si>
  <si>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</si>
  <si>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</si>
  <si>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</si>
  <si>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</si>
  <si>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</si>
  <si>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</si>
  <si>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</si>
  <si>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</si>
  <si>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</si>
  <si>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</si>
  <si>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</si>
  <si>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</si>
  <si>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</si>
  <si>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</si>
  <si>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</si>
  <si>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</si>
  <si>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</si>
  <si>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</si>
  <si>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</si>
  <si>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</si>
  <si>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</si>
  <si>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</si>
  <si>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</si>
  <si>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</si>
  <si>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</si>
  <si>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</si>
  <si>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</si>
  <si>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</si>
  <si>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</si>
  <si>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</si>
  <si>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</si>
  <si>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</si>
  <si>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</si>
  <si>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</si>
  <si>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</si>
  <si>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</si>
  <si>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</si>
  <si>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</si>
  <si>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</si>
  <si>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</si>
  <si>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</si>
  <si>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</si>
  <si>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</si>
  <si>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</si>
  <si>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</si>
  <si>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</si>
  <si>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</si>
  <si>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</si>
  <si>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</si>
  <si>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</si>
  <si>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</si>
  <si>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</si>
  <si>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</si>
  <si>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</si>
  <si>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</si>
  <si>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</si>
  <si>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</si>
  <si>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</si>
  <si>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</si>
  <si>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</si>
  <si>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</si>
  <si>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</si>
  <si>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</si>
  <si>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</si>
  <si>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</si>
  <si>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</si>
  <si>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</si>
  <si>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</si>
  <si>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</si>
  <si>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</si>
  <si>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</si>
  <si>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</si>
  <si>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</si>
  <si>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</si>
  <si>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</si>
  <si>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</si>
  <si>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</si>
  <si>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</si>
  <si>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</si>
  <si>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</si>
  <si>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</si>
  <si>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</si>
  <si>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</si>
  <si>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</si>
  <si>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</si>
  <si>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</si>
  <si>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</si>
  <si>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</si>
  <si>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</si>
  <si>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</si>
  <si>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</si>
  <si>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</si>
  <si>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</si>
  <si>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</si>
  <si>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</si>
  <si>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</si>
  <si>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</si>
  <si>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</si>
  <si>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</si>
  <si>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</si>
  <si>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</si>
  <si>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</si>
  <si>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</si>
  <si>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</si>
  <si>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</si>
  <si>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</si>
  <si>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</si>
  <si>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</si>
  <si>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</si>
  <si>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</si>
  <si>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</si>
  <si>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</si>
  <si>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</si>
  <si>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</si>
  <si>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</si>
  <si>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</si>
  <si>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</si>
  <si>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</si>
  <si>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</si>
  <si>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</si>
  <si>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</si>
  <si>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</si>
  <si>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</si>
  <si>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</si>
  <si>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</si>
  <si>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</si>
  <si>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</si>
  <si>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</si>
  <si>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</si>
  <si>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</si>
  <si>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</si>
  <si>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</si>
  <si>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</si>
  <si>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</si>
  <si>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</si>
  <si>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</si>
  <si>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</si>
  <si>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</si>
  <si>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</si>
  <si>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</si>
  <si>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</si>
  <si>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</si>
  <si>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</si>
  <si>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</si>
  <si>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</si>
  <si>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</si>
  <si>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</si>
  <si>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</si>
  <si>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</si>
  <si>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</si>
  <si>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</si>
  <si>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</si>
  <si>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</si>
  <si>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</si>
  <si>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</si>
  <si>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</si>
  <si>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</si>
  <si>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</si>
  <si>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</si>
  <si>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</si>
  <si>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</si>
  <si>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</si>
  <si>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</si>
  <si>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</si>
  <si>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</si>
  <si>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</si>
  <si>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</si>
  <si>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</si>
  <si>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</si>
  <si>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</si>
  <si>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</si>
  <si>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</si>
  <si>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</si>
  <si>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</si>
  <si>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</si>
  <si>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</si>
  <si>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</si>
  <si>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</si>
  <si>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</si>
  <si>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</si>
  <si>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</si>
  <si>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</si>
  <si>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</si>
  <si>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</si>
  <si>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</si>
  <si>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</si>
  <si>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</si>
  <si>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</si>
  <si>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</si>
  <si>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</si>
  <si>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</si>
  <si>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</si>
  <si>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</si>
  <si>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</si>
  <si>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</si>
  <si>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</si>
  <si>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</si>
  <si>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</si>
  <si>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</si>
  <si>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</si>
  <si>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</si>
  <si>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</si>
  <si>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</si>
  <si>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</si>
  <si>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Total Evasion</t>
  </si>
  <si>
    <t>HP</t>
  </si>
  <si>
    <t>Tier Range Effect</t>
  </si>
  <si>
    <t>Armor Per Tier</t>
  </si>
  <si>
    <t>True Max Evasion/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</si>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</sst>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6.6033009620253154</c:v>
                </c:pt>
                <c:pt idx="1">
                  <c:v>7.0936135696202536</c:v>
                </c:pt>
                <c:pt idx="2">
                  <c:v>7.5839261772151909</c:v>
                </c:pt>
                <c:pt idx="3">
                  <c:v>8.0742387848101274</c:v>
                </c:pt>
                <c:pt idx="4">
                  <c:v>8.5645513924050629</c:v>
                </c:pt>
                <c:pt idx="5">
                  <c:v>9.0548640000000002</c:v>
                </c:pt>
                <c:pt idx="6">
                  <c:v>9.5451766075949376</c:v>
                </c:pt>
                <c:pt idx="7">
                  <c:v>10.035489215189873</c:v>
                </c:pt>
                <c:pt idx="8">
                  <c:v>10.525801822784809</c:v>
                </c:pt>
                <c:pt idx="9">
                  <c:v>11.016114430379744</c:v>
                </c:pt>
                <c:pt idx="10">
                  <c:v>11.506427037974682</c:v>
                </c:pt>
                <c:pt idx="11">
                  <c:v>11.996739645569621</c:v>
                </c:pt>
                <c:pt idx="12">
                  <c:v>12.487052253164558</c:v>
                </c:pt>
                <c:pt idx="13">
                  <c:v>12.977364860759495</c:v>
                </c:pt>
                <c:pt idx="14">
                  <c:v>13.467677468354431</c:v>
                </c:pt>
                <c:pt idx="15">
                  <c:v>13.957990075949366</c:v>
                </c:pt>
                <c:pt idx="16">
                  <c:v>14.448302683544306</c:v>
                </c:pt>
                <c:pt idx="17">
                  <c:v>14.938615291139245</c:v>
                </c:pt>
                <c:pt idx="18">
                  <c:v>15.42892789873418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6.074272531645569</c:v>
                </c:pt>
                <c:pt idx="1">
                  <c:v>6.8155020253164551</c:v>
                </c:pt>
                <c:pt idx="2">
                  <c:v>7.5567315189873421</c:v>
                </c:pt>
                <c:pt idx="3">
                  <c:v>8.2979610126582273</c:v>
                </c:pt>
                <c:pt idx="4">
                  <c:v>9.0391905063291134</c:v>
                </c:pt>
                <c:pt idx="5">
                  <c:v>9.7804199999999994</c:v>
                </c:pt>
                <c:pt idx="6">
                  <c:v>10.521649493670884</c:v>
                </c:pt>
                <c:pt idx="7">
                  <c:v>11.26287898734177</c:v>
                </c:pt>
                <c:pt idx="8">
                  <c:v>12.004108481012656</c:v>
                </c:pt>
                <c:pt idx="9">
                  <c:v>12.745337974683542</c:v>
                </c:pt>
                <c:pt idx="10">
                  <c:v>13.486567468354426</c:v>
                </c:pt>
                <c:pt idx="11">
                  <c:v>14.227796962025314</c:v>
                </c:pt>
                <c:pt idx="12">
                  <c:v>14.969026455696202</c:v>
                </c:pt>
                <c:pt idx="13">
                  <c:v>15.710255949367086</c:v>
                </c:pt>
                <c:pt idx="14">
                  <c:v>16.451485443037971</c:v>
                </c:pt>
                <c:pt idx="15">
                  <c:v>17.19271493670886</c:v>
                </c:pt>
                <c:pt idx="16">
                  <c:v>17.933944430379746</c:v>
                </c:pt>
                <c:pt idx="17">
                  <c:v>18.675173924050632</c:v>
                </c:pt>
                <c:pt idx="18">
                  <c:v>19.416403417721519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5.5482671898734175</c:v>
                </c:pt>
                <c:pt idx="1">
                  <c:v>6.538916151898734</c:v>
                </c:pt>
                <c:pt idx="2">
                  <c:v>7.5295651139240514</c:v>
                </c:pt>
                <c:pt idx="3">
                  <c:v>8.520214075949367</c:v>
                </c:pt>
                <c:pt idx="4">
                  <c:v>9.5108630379746817</c:v>
                </c:pt>
                <c:pt idx="5">
                  <c:v>10.501512</c:v>
                </c:pt>
                <c:pt idx="6">
                  <c:v>11.492160962025316</c:v>
                </c:pt>
                <c:pt idx="7">
                  <c:v>12.482809924050633</c:v>
                </c:pt>
                <c:pt idx="8">
                  <c:v>13.473458886075948</c:v>
                </c:pt>
                <c:pt idx="9">
                  <c:v>14.464107848101262</c:v>
                </c:pt>
                <c:pt idx="10">
                  <c:v>15.454756810126581</c:v>
                </c:pt>
                <c:pt idx="11">
                  <c:v>16.445405772151897</c:v>
                </c:pt>
                <c:pt idx="12">
                  <c:v>17.436054734177215</c:v>
                </c:pt>
                <c:pt idx="13">
                  <c:v>18.426703696202534</c:v>
                </c:pt>
                <c:pt idx="14">
                  <c:v>19.417352658227852</c:v>
                </c:pt>
                <c:pt idx="15">
                  <c:v>20.408001620253167</c:v>
                </c:pt>
                <c:pt idx="16">
                  <c:v>21.398650582278485</c:v>
                </c:pt>
                <c:pt idx="17">
                  <c:v>22.389299544303803</c:v>
                </c:pt>
                <c:pt idx="18">
                  <c:v>23.379948506329118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8.6130156581196591</c:v>
                </c:pt>
                <c:pt idx="1">
                  <c:v>9.4194135384615389</c:v>
                </c:pt>
                <c:pt idx="2">
                  <c:v>10.225811418803419</c:v>
                </c:pt>
                <c:pt idx="3">
                  <c:v>11.032209299145299</c:v>
                </c:pt>
                <c:pt idx="4">
                  <c:v>11.83860717948718</c:v>
                </c:pt>
                <c:pt idx="5">
                  <c:v>12.645005059829058</c:v>
                </c:pt>
                <c:pt idx="6">
                  <c:v>13.451402940170938</c:v>
                </c:pt>
                <c:pt idx="7">
                  <c:v>14.25780082051282</c:v>
                </c:pt>
                <c:pt idx="8">
                  <c:v>15.064198700854698</c:v>
                </c:pt>
                <c:pt idx="9">
                  <c:v>15.870596581196578</c:v>
                </c:pt>
                <c:pt idx="10">
                  <c:v>16.67699446153846</c:v>
                </c:pt>
                <c:pt idx="11">
                  <c:v>17.483392341880339</c:v>
                </c:pt>
                <c:pt idx="12">
                  <c:v>18.289790222222219</c:v>
                </c:pt>
                <c:pt idx="13">
                  <c:v>19.096188102564103</c:v>
                </c:pt>
                <c:pt idx="14">
                  <c:v>19.902585982905983</c:v>
                </c:pt>
                <c:pt idx="15">
                  <c:v>20.708983863247859</c:v>
                </c:pt>
                <c:pt idx="16">
                  <c:v>21.515381743589746</c:v>
                </c:pt>
                <c:pt idx="17">
                  <c:v>22.321779623931622</c:v>
                </c:pt>
                <c:pt idx="18">
                  <c:v>23.128177504273506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7.8046933333333337</c:v>
                </c:pt>
                <c:pt idx="1">
                  <c:v>8.9343200000000014</c:v>
                </c:pt>
                <c:pt idx="2">
                  <c:v>10.063946666666668</c:v>
                </c:pt>
                <c:pt idx="3">
                  <c:v>11.193573333333333</c:v>
                </c:pt>
                <c:pt idx="4">
                  <c:v>12.3232</c:v>
                </c:pt>
                <c:pt idx="5">
                  <c:v>13.452826666666665</c:v>
                </c:pt>
                <c:pt idx="6">
                  <c:v>14.582453333333332</c:v>
                </c:pt>
                <c:pt idx="7">
                  <c:v>15.71208</c:v>
                </c:pt>
                <c:pt idx="8">
                  <c:v>16.841706666666663</c:v>
                </c:pt>
                <c:pt idx="9">
                  <c:v>17.97133333333333</c:v>
                </c:pt>
                <c:pt idx="10">
                  <c:v>19.100959999999993</c:v>
                </c:pt>
                <c:pt idx="11">
                  <c:v>20.230586666666664</c:v>
                </c:pt>
                <c:pt idx="12">
                  <c:v>21.360213333333331</c:v>
                </c:pt>
                <c:pt idx="13">
                  <c:v>22.489839999999997</c:v>
                </c:pt>
                <c:pt idx="14">
                  <c:v>23.619466666666668</c:v>
                </c:pt>
                <c:pt idx="15">
                  <c:v>24.749093333333331</c:v>
                </c:pt>
                <c:pt idx="16">
                  <c:v>25.878720000000001</c:v>
                </c:pt>
                <c:pt idx="17">
                  <c:v>27.008346666666672</c:v>
                </c:pt>
                <c:pt idx="18">
                  <c:v>28.137973333333335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7.0002208547008546</c:v>
                </c:pt>
                <c:pt idx="1">
                  <c:v>8.4514861538461528</c:v>
                </c:pt>
                <c:pt idx="2">
                  <c:v>9.9027514529914527</c:v>
                </c:pt>
                <c:pt idx="3">
                  <c:v>11.354016752136751</c:v>
                </c:pt>
                <c:pt idx="4">
                  <c:v>12.805282051282051</c:v>
                </c:pt>
                <c:pt idx="5">
                  <c:v>14.256547350427349</c:v>
                </c:pt>
                <c:pt idx="6">
                  <c:v>15.707812649572649</c:v>
                </c:pt>
                <c:pt idx="7">
                  <c:v>17.159077948717947</c:v>
                </c:pt>
                <c:pt idx="8">
                  <c:v>18.610343247863245</c:v>
                </c:pt>
                <c:pt idx="9">
                  <c:v>20.061608547008543</c:v>
                </c:pt>
                <c:pt idx="10">
                  <c:v>21.512873846153841</c:v>
                </c:pt>
                <c:pt idx="11">
                  <c:v>22.964139145299143</c:v>
                </c:pt>
                <c:pt idx="12">
                  <c:v>24.415404444444441</c:v>
                </c:pt>
                <c:pt idx="13">
                  <c:v>25.866669743589739</c:v>
                </c:pt>
                <c:pt idx="14">
                  <c:v>27.317935042735044</c:v>
                </c:pt>
                <c:pt idx="15">
                  <c:v>28.769200341880342</c:v>
                </c:pt>
                <c:pt idx="16">
                  <c:v>30.220465641025644</c:v>
                </c:pt>
                <c:pt idx="17">
                  <c:v>31.671730940170942</c:v>
                </c:pt>
                <c:pt idx="18">
                  <c:v>33.122996239316244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10.356843733333335</c:v>
                </c:pt>
                <c:pt idx="1">
                  <c:v>11.461916389743591</c:v>
                </c:pt>
                <c:pt idx="2">
                  <c:v>12.566989046153845</c:v>
                </c:pt>
                <c:pt idx="3">
                  <c:v>13.672061702564102</c:v>
                </c:pt>
                <c:pt idx="4">
                  <c:v>14.777134358974356</c:v>
                </c:pt>
                <c:pt idx="5">
                  <c:v>15.882207015384614</c:v>
                </c:pt>
                <c:pt idx="6">
                  <c:v>16.98727967179487</c:v>
                </c:pt>
                <c:pt idx="7">
                  <c:v>18.092352328205124</c:v>
                </c:pt>
                <c:pt idx="8">
                  <c:v>19.197424984615377</c:v>
                </c:pt>
                <c:pt idx="9">
                  <c:v>20.302497641025635</c:v>
                </c:pt>
                <c:pt idx="10">
                  <c:v>21.407570297435893</c:v>
                </c:pt>
                <c:pt idx="11">
                  <c:v>22.51264295384615</c:v>
                </c:pt>
                <c:pt idx="12">
                  <c:v>23.617715610256404</c:v>
                </c:pt>
                <c:pt idx="13">
                  <c:v>24.722788266666662</c:v>
                </c:pt>
                <c:pt idx="14">
                  <c:v>25.827860923076919</c:v>
                </c:pt>
                <c:pt idx="15">
                  <c:v>26.932933579487177</c:v>
                </c:pt>
                <c:pt idx="16">
                  <c:v>28.038006235897438</c:v>
                </c:pt>
                <c:pt idx="17">
                  <c:v>29.143078892307692</c:v>
                </c:pt>
                <c:pt idx="18">
                  <c:v>30.248151548717949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9.1679866666666676</c:v>
                </c:pt>
                <c:pt idx="1">
                  <c:v>10.642557948717949</c:v>
                </c:pt>
                <c:pt idx="2">
                  <c:v>12.117129230769232</c:v>
                </c:pt>
                <c:pt idx="3">
                  <c:v>13.591700512820513</c:v>
                </c:pt>
                <c:pt idx="4">
                  <c:v>15.066271794871794</c:v>
                </c:pt>
                <c:pt idx="5">
                  <c:v>16.540843076923075</c:v>
                </c:pt>
                <c:pt idx="6">
                  <c:v>18.015414358974354</c:v>
                </c:pt>
                <c:pt idx="7">
                  <c:v>19.489985641025637</c:v>
                </c:pt>
                <c:pt idx="8">
                  <c:v>20.964556923076916</c:v>
                </c:pt>
                <c:pt idx="9">
                  <c:v>22.439128205128203</c:v>
                </c:pt>
                <c:pt idx="10">
                  <c:v>23.913699487179482</c:v>
                </c:pt>
                <c:pt idx="11">
                  <c:v>25.388270769230765</c:v>
                </c:pt>
                <c:pt idx="12">
                  <c:v>26.862842051282044</c:v>
                </c:pt>
                <c:pt idx="13">
                  <c:v>28.33741333333333</c:v>
                </c:pt>
                <c:pt idx="14">
                  <c:v>29.811984615384613</c:v>
                </c:pt>
                <c:pt idx="15">
                  <c:v>31.286555897435896</c:v>
                </c:pt>
                <c:pt idx="16">
                  <c:v>32.761127179487175</c:v>
                </c:pt>
                <c:pt idx="17">
                  <c:v>34.235698461538455</c:v>
                </c:pt>
                <c:pt idx="18">
                  <c:v>35.710269743589741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7.9841024000000012</c:v>
                </c:pt>
                <c:pt idx="1">
                  <c:v>9.8265875692307709</c:v>
                </c:pt>
                <c:pt idx="2">
                  <c:v>11.669072738461541</c:v>
                </c:pt>
                <c:pt idx="3">
                  <c:v>13.51155790769231</c:v>
                </c:pt>
                <c:pt idx="4">
                  <c:v>15.354043076923078</c:v>
                </c:pt>
                <c:pt idx="5">
                  <c:v>17.196528246153846</c:v>
                </c:pt>
                <c:pt idx="6">
                  <c:v>19.039013415384616</c:v>
                </c:pt>
                <c:pt idx="7">
                  <c:v>20.881498584615386</c:v>
                </c:pt>
                <c:pt idx="8">
                  <c:v>22.723983753846156</c:v>
                </c:pt>
                <c:pt idx="9">
                  <c:v>24.566468923076922</c:v>
                </c:pt>
                <c:pt idx="10">
                  <c:v>26.408954092307695</c:v>
                </c:pt>
                <c:pt idx="11">
                  <c:v>28.251439261538462</c:v>
                </c:pt>
                <c:pt idx="12">
                  <c:v>30.093924430769235</c:v>
                </c:pt>
                <c:pt idx="13">
                  <c:v>31.936409600000005</c:v>
                </c:pt>
                <c:pt idx="14">
                  <c:v>33.778894769230781</c:v>
                </c:pt>
                <c:pt idx="15">
                  <c:v>35.621379938461544</c:v>
                </c:pt>
                <c:pt idx="16">
                  <c:v>37.463865107692321</c:v>
                </c:pt>
                <c:pt idx="17">
                  <c:v>39.306350276923091</c:v>
                </c:pt>
                <c:pt idx="18">
                  <c:v>41.148835446153861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7.0043839316239307</c:v>
                </c:pt>
                <c:pt idx="1">
                  <c:v>8.4565123076923072</c:v>
                </c:pt>
                <c:pt idx="2">
                  <c:v>9.9086406837606837</c:v>
                </c:pt>
                <c:pt idx="3">
                  <c:v>11.360769059829058</c:v>
                </c:pt>
                <c:pt idx="4">
                  <c:v>12.812897435897433</c:v>
                </c:pt>
                <c:pt idx="5">
                  <c:v>14.26502581196581</c:v>
                </c:pt>
                <c:pt idx="6">
                  <c:v>15.717154188034185</c:v>
                </c:pt>
                <c:pt idx="7">
                  <c:v>17.169282564102559</c:v>
                </c:pt>
                <c:pt idx="8">
                  <c:v>18.621410940170936</c:v>
                </c:pt>
                <c:pt idx="9">
                  <c:v>20.073539316239312</c:v>
                </c:pt>
                <c:pt idx="10">
                  <c:v>21.525667692307689</c:v>
                </c:pt>
                <c:pt idx="11">
                  <c:v>22.977796068376062</c:v>
                </c:pt>
                <c:pt idx="12">
                  <c:v>24.429924444444445</c:v>
                </c:pt>
                <c:pt idx="13">
                  <c:v>25.882052820512818</c:v>
                </c:pt>
                <c:pt idx="14">
                  <c:v>27.334181196581195</c:v>
                </c:pt>
                <c:pt idx="15">
                  <c:v>28.786309572649575</c:v>
                </c:pt>
                <c:pt idx="16">
                  <c:v>30.238437948717952</c:v>
                </c:pt>
                <c:pt idx="17">
                  <c:v>31.690566324786328</c:v>
                </c:pt>
                <c:pt idx="18">
                  <c:v>33.142694700854712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7.9920512000000006</c:v>
                </c:pt>
                <c:pt idx="1">
                  <c:v>9.8363707076923088</c:v>
                </c:pt>
                <c:pt idx="2">
                  <c:v>11.680690215384617</c:v>
                </c:pt>
                <c:pt idx="3">
                  <c:v>13.525009723076924</c:v>
                </c:pt>
                <c:pt idx="4">
                  <c:v>15.369329230769232</c:v>
                </c:pt>
                <c:pt idx="5">
                  <c:v>17.213648738461536</c:v>
                </c:pt>
                <c:pt idx="6">
                  <c:v>19.057968246153845</c:v>
                </c:pt>
                <c:pt idx="7">
                  <c:v>20.902287753846153</c:v>
                </c:pt>
                <c:pt idx="8">
                  <c:v>22.746607261538461</c:v>
                </c:pt>
                <c:pt idx="9">
                  <c:v>24.590926769230766</c:v>
                </c:pt>
                <c:pt idx="10">
                  <c:v>26.435246276923078</c:v>
                </c:pt>
                <c:pt idx="11">
                  <c:v>28.279565784615382</c:v>
                </c:pt>
                <c:pt idx="12">
                  <c:v>30.123885292307694</c:v>
                </c:pt>
                <c:pt idx="13">
                  <c:v>31.968204800000002</c:v>
                </c:pt>
                <c:pt idx="14">
                  <c:v>33.812524307692314</c:v>
                </c:pt>
                <c:pt idx="15">
                  <c:v>35.656843815384619</c:v>
                </c:pt>
                <c:pt idx="16">
                  <c:v>37.501163323076931</c:v>
                </c:pt>
                <c:pt idx="17">
                  <c:v>39.345482830769235</c:v>
                </c:pt>
                <c:pt idx="18">
                  <c:v>41.189802338461554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Armor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Balancing'!$J$11:$J$16</c:f>
              <c:numCache>
                <c:formatCode>0%</c:formatCode>
                <c:ptCount val="6"/>
                <c:pt idx="0">
                  <c:v>4.0697674418604654E-2</c:v>
                </c:pt>
                <c:pt idx="1">
                  <c:v>7.8212290502793311E-2</c:v>
                </c:pt>
                <c:pt idx="2">
                  <c:v>0.11290322580645162</c:v>
                </c:pt>
                <c:pt idx="3">
                  <c:v>0.1450777202072539</c:v>
                </c:pt>
                <c:pt idx="4">
                  <c:v>0.17499999999999999</c:v>
                </c:pt>
                <c:pt idx="5">
                  <c:v>0.22047244094488189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Balancing'!$K$11:$K$16</c:f>
              <c:numCache>
                <c:formatCode>0%</c:formatCode>
                <c:ptCount val="6"/>
                <c:pt idx="0">
                  <c:v>9.722222222222221E-2</c:v>
                </c:pt>
                <c:pt idx="1">
                  <c:v>0.17721518987341772</c:v>
                </c:pt>
                <c:pt idx="2">
                  <c:v>0.24418604651162792</c:v>
                </c:pt>
                <c:pt idx="3">
                  <c:v>0.30107526881720431</c:v>
                </c:pt>
                <c:pt idx="4">
                  <c:v>0.35</c:v>
                </c:pt>
                <c:pt idx="5">
                  <c:v>0.41791044776119401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Balancing'!$L$11:$L$16</c:f>
              <c:numCache>
                <c:formatCode>0%</c:formatCode>
                <c:ptCount val="6"/>
                <c:pt idx="0">
                  <c:v>0.18103448275862061</c:v>
                </c:pt>
                <c:pt idx="1">
                  <c:v>0.30656934306569333</c:v>
                </c:pt>
                <c:pt idx="2">
                  <c:v>0.39873417721518978</c:v>
                </c:pt>
                <c:pt idx="3">
                  <c:v>0.46927374301675967</c:v>
                </c:pt>
                <c:pt idx="4">
                  <c:v>0.52499999999999991</c:v>
                </c:pt>
                <c:pt idx="5">
                  <c:v>0.59574468085106369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Balancing'!$M$11:$M$16</c:f>
              <c:numCache>
                <c:formatCode>0%</c:formatCode>
                <c:ptCount val="6"/>
                <c:pt idx="0">
                  <c:v>0.31818181818181812</c:v>
                </c:pt>
                <c:pt idx="1">
                  <c:v>0.48275862068965514</c:v>
                </c:pt>
                <c:pt idx="2">
                  <c:v>0.58333333333333337</c:v>
                </c:pt>
                <c:pt idx="3">
                  <c:v>0.65116279069767435</c:v>
                </c:pt>
                <c:pt idx="4">
                  <c:v>0.7</c:v>
                </c:pt>
                <c:pt idx="5">
                  <c:v>0.75675675675675669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7</xdr:row>
      <xdr:rowOff>57149</xdr:rowOff>
    </xdr:from>
    <xdr:to>
      <xdr:col>23</xdr:col>
      <xdr:colOff>228599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127" workbookViewId="0">
      <selection activeCell="F129" sqref="F129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 t="shared" si="0"/>
        <v>11.8</v>
      </c>
    </row>
    <row r="23" spans="1:17" x14ac:dyDescent="0.25">
      <c r="A23" s="15" t="s">
        <v>150</v>
      </c>
      <c r="Q23" s="30" t="e">
        <f t="shared" si="0"/>
        <v>#DIV/0!</v>
      </c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 t="e">
        <f t="shared" si="0"/>
        <v>#DIV/0!</v>
      </c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 t="e">
        <f t="shared" si="0"/>
        <v>#DIV/0!</v>
      </c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 t="e">
        <f t="shared" si="0"/>
        <v>#DIV/0!</v>
      </c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9"/>
  <sheetViews>
    <sheetView tabSelected="1" topLeftCell="A103" zoomScale="85" zoomScaleNormal="85" workbookViewId="0">
      <selection activeCell="H121" sqref="H121:J122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M2/2</f>
        <v>7.0000000000000007E-2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I3" t="s">
        <v>268</v>
      </c>
      <c r="J3">
        <f>0.12</f>
        <v>0.12</v>
      </c>
      <c r="M3" s="2">
        <f>M2+0.14</f>
        <v>0.28000000000000003</v>
      </c>
      <c r="N3">
        <v>2</v>
      </c>
      <c r="O3" s="2">
        <f t="shared" ref="O3:O6" si="0">M3/2</f>
        <v>0.14000000000000001</v>
      </c>
      <c r="P3" s="2">
        <v>0.18</v>
      </c>
      <c r="Q3" s="2">
        <f t="shared" ref="Q3:Q6" si="1"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2">(Y$2*$W3)-$W3</f>
        <v>1</v>
      </c>
      <c r="Z3" s="2">
        <f t="shared" si="2"/>
        <v>2</v>
      </c>
      <c r="AA3" s="2">
        <f t="shared" si="2"/>
        <v>3</v>
      </c>
      <c r="AB3" s="2">
        <f t="shared" si="2"/>
        <v>4</v>
      </c>
      <c r="AC3" s="2">
        <f t="shared" si="2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3">M3+0.14</f>
        <v>0.42000000000000004</v>
      </c>
      <c r="N4">
        <v>3</v>
      </c>
      <c r="O4" s="2">
        <f t="shared" si="0"/>
        <v>0.21000000000000002</v>
      </c>
      <c r="P4" s="2">
        <v>0.3</v>
      </c>
      <c r="Q4" s="2">
        <f t="shared" si="1"/>
        <v>0.6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3"/>
        <v>0.56000000000000005</v>
      </c>
      <c r="N5">
        <v>4</v>
      </c>
      <c r="O5" s="2">
        <f t="shared" si="0"/>
        <v>0.28000000000000003</v>
      </c>
      <c r="P5" s="2">
        <v>0.32500000000000001</v>
      </c>
      <c r="Q5" s="2">
        <f t="shared" si="1"/>
        <v>0.65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7">
        <f t="shared" si="3"/>
        <v>0.70000000000000007</v>
      </c>
      <c r="N6">
        <v>5</v>
      </c>
      <c r="O6" s="2">
        <f t="shared" si="0"/>
        <v>0.35000000000000003</v>
      </c>
      <c r="P6" s="2">
        <v>0.375</v>
      </c>
      <c r="Q6" s="2">
        <f t="shared" si="1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32" t="s">
        <v>141</v>
      </c>
      <c r="I8" s="32"/>
      <c r="J8" s="32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2.6559585492227984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-4.700000000000002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2.6559585492227984</v>
      </c>
      <c r="O11" s="2">
        <f t="shared" ref="O11:O25" si="7">0.75*(((G11*INDEX($R$1:$R$3,$D11+2))*Q11)/R11)</f>
        <v>10.825917999549452</v>
      </c>
      <c r="P11">
        <f t="shared" ref="P11:P25" si="8">1.25*(((G11*INDEX($R$1:$R$3,$D11+2))*Q11)/R11)</f>
        <v>18.043196665915751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2.901036269430052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-8.2090909090909108</v>
      </c>
      <c r="L12" s="10">
        <f t="shared" ref="L12:L24" si="12">(INDEX($Q$2:$Q$6,C12)/((1/INDEX($F$4:$F$6,J$9))-1))</f>
        <v>8.8888888888888889E-3</v>
      </c>
      <c r="M12" s="10">
        <v>0</v>
      </c>
      <c r="N12" s="2">
        <f t="shared" ref="N12:N25" si="13">((AVERAGE(O12,P12)*R12)/Q12)/INDEX($R$1:$R$3,D12+2)</f>
        <v>2.901036269430052</v>
      </c>
      <c r="O12" s="2">
        <f t="shared" si="7"/>
        <v>20.397911269430054</v>
      </c>
      <c r="P12" s="2">
        <f t="shared" si="8"/>
        <v>33.996518782383419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3.1423834196891192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-11.133333333333331</v>
      </c>
      <c r="L13" s="10">
        <f t="shared" si="12"/>
        <v>8.8888888888888889E-3</v>
      </c>
      <c r="M13" s="10">
        <v>0</v>
      </c>
      <c r="N13" s="2">
        <f t="shared" si="13"/>
        <v>3.1423834196891192</v>
      </c>
      <c r="O13" s="2">
        <f t="shared" si="7"/>
        <v>47.135751295336789</v>
      </c>
      <c r="P13" s="2">
        <f t="shared" si="8"/>
        <v>78.559585492227981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5.4359999999999992E-2</v>
      </c>
      <c r="C14">
        <v>2</v>
      </c>
      <c r="D14">
        <v>-1</v>
      </c>
      <c r="E14" s="5" t="s">
        <v>27</v>
      </c>
      <c r="F14" s="2">
        <f t="shared" si="10"/>
        <v>5.05436</v>
      </c>
      <c r="G14" s="2">
        <f t="shared" si="15"/>
        <v>5.9782752688172049</v>
      </c>
      <c r="H14" s="2">
        <f t="shared" si="11"/>
        <v>5.5597960000000004</v>
      </c>
      <c r="I14" s="2">
        <f t="shared" si="5"/>
        <v>3.6391391999999998</v>
      </c>
      <c r="J14" s="2">
        <f t="shared" si="5"/>
        <v>0.90978479999999995</v>
      </c>
      <c r="K14" s="10">
        <f t="shared" si="6"/>
        <v>-1.173737373737374</v>
      </c>
      <c r="L14" s="10">
        <f t="shared" si="12"/>
        <v>0.04</v>
      </c>
      <c r="M14" s="10">
        <v>0</v>
      </c>
      <c r="N14" s="2">
        <f t="shared" si="13"/>
        <v>5.9782752688172058</v>
      </c>
      <c r="O14" s="2">
        <f t="shared" si="7"/>
        <v>20.504755114083405</v>
      </c>
      <c r="P14" s="2">
        <f t="shared" si="8"/>
        <v>34.174591856805677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3.4199999999999994E-2</v>
      </c>
      <c r="C15">
        <v>2</v>
      </c>
      <c r="D15">
        <v>0</v>
      </c>
      <c r="E15" s="5" t="s">
        <v>28</v>
      </c>
      <c r="F15" s="2">
        <f t="shared" si="10"/>
        <v>5.0342000000000002</v>
      </c>
      <c r="G15" s="2">
        <f t="shared" si="15"/>
        <v>6.4957419354838715</v>
      </c>
      <c r="H15" s="2">
        <f t="shared" si="11"/>
        <v>6.0410399999999997</v>
      </c>
      <c r="I15" s="2">
        <f t="shared" si="5"/>
        <v>3.2218880000000003</v>
      </c>
      <c r="J15" s="2">
        <f t="shared" si="5"/>
        <v>0.80547200000000008</v>
      </c>
      <c r="K15" s="10">
        <f t="shared" si="6"/>
        <v>-1.8000000000000003</v>
      </c>
      <c r="L15" s="10">
        <f t="shared" si="12"/>
        <v>0.04</v>
      </c>
      <c r="M15" s="10">
        <v>0</v>
      </c>
      <c r="N15" s="2">
        <f t="shared" si="13"/>
        <v>6.4957419354838715</v>
      </c>
      <c r="O15" s="2">
        <f t="shared" si="7"/>
        <v>45.673185483870967</v>
      </c>
      <c r="P15" s="2">
        <f t="shared" si="8"/>
        <v>76.121975806451616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1.4039999999999978E-2</v>
      </c>
      <c r="C16">
        <v>2</v>
      </c>
      <c r="D16">
        <v>1</v>
      </c>
      <c r="E16" s="5" t="s">
        <v>29</v>
      </c>
      <c r="F16" s="2">
        <f t="shared" si="10"/>
        <v>5.0140399999999996</v>
      </c>
      <c r="G16" s="2">
        <f t="shared" si="15"/>
        <v>7.0088731182795696</v>
      </c>
      <c r="H16" s="2">
        <f t="shared" si="11"/>
        <v>6.5182519999999995</v>
      </c>
      <c r="I16" s="2">
        <f t="shared" si="5"/>
        <v>2.8078623999999999</v>
      </c>
      <c r="J16" s="2">
        <f t="shared" si="5"/>
        <v>0.70196559999999997</v>
      </c>
      <c r="K16" s="10">
        <f t="shared" si="6"/>
        <v>-2.3299145299145301</v>
      </c>
      <c r="L16" s="10">
        <f t="shared" si="12"/>
        <v>0.04</v>
      </c>
      <c r="M16" s="10">
        <v>0</v>
      </c>
      <c r="N16" s="2">
        <f t="shared" si="13"/>
        <v>7.0088731182795696</v>
      </c>
      <c r="O16" s="2">
        <f t="shared" si="7"/>
        <v>105.13309677419355</v>
      </c>
      <c r="P16" s="2">
        <f t="shared" si="8"/>
        <v>175.22182795698924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4.5720000000000004E-2</v>
      </c>
      <c r="C17" s="2">
        <v>3</v>
      </c>
      <c r="D17" s="2">
        <v>-1</v>
      </c>
      <c r="E17" s="5" t="s">
        <v>30</v>
      </c>
      <c r="F17" s="2">
        <f t="shared" si="10"/>
        <v>7.5457200000000002</v>
      </c>
      <c r="G17" s="2">
        <f t="shared" si="15"/>
        <v>10.117166480446928</v>
      </c>
      <c r="H17" s="2">
        <f t="shared" si="11"/>
        <v>9.0548640000000002</v>
      </c>
      <c r="I17" s="2">
        <f t="shared" si="5"/>
        <v>4.8292608000000001</v>
      </c>
      <c r="J17" s="2">
        <f t="shared" si="5"/>
        <v>1.2073152</v>
      </c>
      <c r="K17" s="10">
        <f t="shared" si="6"/>
        <v>-0.74222222222222212</v>
      </c>
      <c r="L17" s="10">
        <f t="shared" si="12"/>
        <v>6.6666666666666666E-2</v>
      </c>
      <c r="M17" s="10">
        <v>0</v>
      </c>
      <c r="N17" s="2">
        <f t="shared" si="13"/>
        <v>10.117166480446928</v>
      </c>
      <c r="O17" s="2">
        <f t="shared" si="7"/>
        <v>34.700647227142667</v>
      </c>
      <c r="P17" s="2">
        <f t="shared" si="8"/>
        <v>57.834412045237769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2.339999999999999E-2</v>
      </c>
      <c r="C18" s="2">
        <v>3</v>
      </c>
      <c r="D18" s="2">
        <v>0</v>
      </c>
      <c r="E18" s="5" t="s">
        <v>31</v>
      </c>
      <c r="F18" s="2">
        <f t="shared" si="10"/>
        <v>7.5233999999999996</v>
      </c>
      <c r="G18" s="2">
        <f t="shared" si="15"/>
        <v>10.927843575418994</v>
      </c>
      <c r="H18" s="2">
        <f t="shared" si="11"/>
        <v>9.7804199999999994</v>
      </c>
      <c r="I18" s="2">
        <f t="shared" si="5"/>
        <v>4.2131040000000004</v>
      </c>
      <c r="J18" s="2">
        <f t="shared" si="5"/>
        <v>1.0532760000000001</v>
      </c>
      <c r="K18" s="10">
        <f t="shared" si="6"/>
        <v>-1.0482051282051281</v>
      </c>
      <c r="L18" s="10">
        <f t="shared" si="12"/>
        <v>6.6666666666666666E-2</v>
      </c>
      <c r="M18" s="10">
        <v>0</v>
      </c>
      <c r="N18" s="2">
        <f t="shared" si="13"/>
        <v>10.927843575418995</v>
      </c>
      <c r="O18" s="2">
        <f t="shared" si="7"/>
        <v>76.836400139664804</v>
      </c>
      <c r="P18" s="2">
        <f t="shared" si="8"/>
        <v>128.06066689944134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1.0799999999999983E-3</v>
      </c>
      <c r="C19" s="2">
        <v>3</v>
      </c>
      <c r="D19" s="2">
        <v>1</v>
      </c>
      <c r="E19" s="5" t="s">
        <v>32</v>
      </c>
      <c r="F19" s="2">
        <f t="shared" si="10"/>
        <v>7.50108</v>
      </c>
      <c r="G19" s="2">
        <f t="shared" si="15"/>
        <v>11.733532960893854</v>
      </c>
      <c r="H19" s="2">
        <f t="shared" si="11"/>
        <v>10.501512</v>
      </c>
      <c r="I19" s="2">
        <f t="shared" si="5"/>
        <v>3.6005183999999999</v>
      </c>
      <c r="J19" s="2">
        <f t="shared" si="5"/>
        <v>0.90012959999999997</v>
      </c>
      <c r="K19" s="10">
        <f t="shared" ref="K19:K23" si="16">1-((1-(I19/G19))/INDEX($P$2:$P$6,C19))</f>
        <v>-1.3104761904761904</v>
      </c>
      <c r="L19" s="10">
        <f t="shared" si="12"/>
        <v>6.6666666666666666E-2</v>
      </c>
      <c r="M19" s="10">
        <v>0</v>
      </c>
      <c r="N19" s="2">
        <f t="shared" si="13"/>
        <v>11.733532960893854</v>
      </c>
      <c r="O19" s="2">
        <f t="shared" si="7"/>
        <v>176.00299441340781</v>
      </c>
      <c r="P19" s="2">
        <f t="shared" si="8"/>
        <v>293.33832402234634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3.7080000000000002E-2</v>
      </c>
      <c r="C20" s="2">
        <v>4</v>
      </c>
      <c r="D20" s="2">
        <v>-1</v>
      </c>
      <c r="E20" s="5" t="s">
        <v>33</v>
      </c>
      <c r="F20" s="2">
        <f t="shared" si="10"/>
        <v>10.03708</v>
      </c>
      <c r="G20" s="2">
        <f t="shared" si="15"/>
        <v>15.17233023255814</v>
      </c>
      <c r="H20" s="2">
        <f t="shared" si="11"/>
        <v>13.048204</v>
      </c>
      <c r="I20" s="2">
        <f t="shared" si="5"/>
        <v>5.6207647999999999</v>
      </c>
      <c r="J20" s="2">
        <f t="shared" si="5"/>
        <v>1.4051912</v>
      </c>
      <c r="K20" s="10">
        <f t="shared" si="16"/>
        <v>-0.93704142011834324</v>
      </c>
      <c r="L20" s="10">
        <f t="shared" si="12"/>
        <v>7.2222222222222229E-2</v>
      </c>
      <c r="M20" s="10">
        <v>0</v>
      </c>
      <c r="N20" s="2">
        <f t="shared" si="13"/>
        <v>15.17233023255814</v>
      </c>
      <c r="O20" s="2">
        <f t="shared" si="7"/>
        <v>52.039242413499721</v>
      </c>
      <c r="P20" s="2">
        <f t="shared" si="8"/>
        <v>86.732070689166193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1.2600000000000009E-2</v>
      </c>
      <c r="C21" s="2">
        <v>4</v>
      </c>
      <c r="D21" s="2">
        <v>0</v>
      </c>
      <c r="E21" s="5" t="s">
        <v>34</v>
      </c>
      <c r="F21" s="2">
        <f t="shared" si="10"/>
        <v>10.012600000000001</v>
      </c>
      <c r="G21" s="2">
        <f t="shared" si="15"/>
        <v>16.299581395348838</v>
      </c>
      <c r="H21" s="2">
        <f t="shared" si="11"/>
        <v>14.01764</v>
      </c>
      <c r="I21" s="2">
        <f t="shared" si="5"/>
        <v>4.8060480000000005</v>
      </c>
      <c r="J21" s="2">
        <f t="shared" si="5"/>
        <v>1.2015120000000001</v>
      </c>
      <c r="K21" s="10">
        <f t="shared" si="16"/>
        <v>-1.1696703296703292</v>
      </c>
      <c r="L21" s="10">
        <f t="shared" si="12"/>
        <v>7.2222222222222229E-2</v>
      </c>
      <c r="M21" s="10">
        <v>0</v>
      </c>
      <c r="N21" s="2">
        <f t="shared" si="13"/>
        <v>16.299581395348842</v>
      </c>
      <c r="O21" s="2">
        <f t="shared" si="7"/>
        <v>114.60643168604652</v>
      </c>
      <c r="P21" s="2">
        <f t="shared" si="8"/>
        <v>191.01071947674421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-1.1879999999999981E-2</v>
      </c>
      <c r="C22" s="2">
        <v>4</v>
      </c>
      <c r="D22" s="2">
        <v>1</v>
      </c>
      <c r="E22" s="5" t="s">
        <v>35</v>
      </c>
      <c r="F22" s="2">
        <f t="shared" si="10"/>
        <v>9.9881200000000003</v>
      </c>
      <c r="G22" s="2">
        <f t="shared" si="15"/>
        <v>17.421139534883721</v>
      </c>
      <c r="H22" s="2">
        <f t="shared" si="11"/>
        <v>14.98218</v>
      </c>
      <c r="I22" s="2">
        <f t="shared" si="5"/>
        <v>3.9952479999999997</v>
      </c>
      <c r="J22" s="2">
        <f t="shared" si="5"/>
        <v>0.99881199999999992</v>
      </c>
      <c r="K22" s="10">
        <f t="shared" si="16"/>
        <v>-1.3712820512820514</v>
      </c>
      <c r="L22" s="10">
        <f t="shared" si="12"/>
        <v>7.2222222222222229E-2</v>
      </c>
      <c r="M22" s="10">
        <v>0</v>
      </c>
      <c r="N22" s="2">
        <f t="shared" si="13"/>
        <v>17.421139534883721</v>
      </c>
      <c r="O22" s="2">
        <f t="shared" si="7"/>
        <v>261.31709302325584</v>
      </c>
      <c r="P22" s="2">
        <f t="shared" si="8"/>
        <v>435.52848837209302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2.8440000000000014E-2</v>
      </c>
      <c r="C23" s="2">
        <v>5</v>
      </c>
      <c r="D23" s="2">
        <v>-1</v>
      </c>
      <c r="E23" s="5" t="s">
        <v>36</v>
      </c>
      <c r="F23" s="2">
        <f t="shared" si="10"/>
        <v>12.52844</v>
      </c>
      <c r="G23" s="2">
        <f t="shared" si="15"/>
        <v>21.260383030303029</v>
      </c>
      <c r="H23" s="2">
        <f t="shared" si="11"/>
        <v>17.539815999999998</v>
      </c>
      <c r="I23" s="2">
        <f t="shared" si="5"/>
        <v>6.0136512</v>
      </c>
      <c r="J23" s="2">
        <f t="shared" si="5"/>
        <v>1.5034128</v>
      </c>
      <c r="K23" s="10">
        <f t="shared" si="16"/>
        <v>-0.91238095238095229</v>
      </c>
      <c r="L23" s="10">
        <f t="shared" si="12"/>
        <v>8.3333333333333329E-2</v>
      </c>
      <c r="M23" s="10">
        <v>0</v>
      </c>
      <c r="N23" s="2">
        <f t="shared" si="13"/>
        <v>21.260383030303029</v>
      </c>
      <c r="O23" s="2">
        <f t="shared" si="7"/>
        <v>72.920521064301539</v>
      </c>
      <c r="P23" s="2">
        <f t="shared" si="8"/>
        <v>121.53420177383592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1.8000000000000043E-3</v>
      </c>
      <c r="C24" s="2">
        <v>5</v>
      </c>
      <c r="D24" s="2">
        <v>0</v>
      </c>
      <c r="E24" s="5" t="s">
        <v>37</v>
      </c>
      <c r="F24" s="2">
        <f t="shared" si="10"/>
        <v>12.501799999999999</v>
      </c>
      <c r="G24" s="2">
        <f t="shared" si="15"/>
        <v>22.730545454545453</v>
      </c>
      <c r="H24" s="2">
        <f t="shared" si="11"/>
        <v>18.752699999999997</v>
      </c>
      <c r="I24" s="2">
        <f t="shared" si="5"/>
        <v>5.0007199999999994</v>
      </c>
      <c r="J24" s="2">
        <f t="shared" si="5"/>
        <v>1.2501799999999998</v>
      </c>
      <c r="K24" s="10">
        <f>1-((1-(I24/G24))/INDEX($P$2:$P$6,C24))</f>
        <v>-1.08</v>
      </c>
      <c r="L24" s="10">
        <f t="shared" si="12"/>
        <v>8.3333333333333329E-2</v>
      </c>
      <c r="M24" s="10">
        <v>0</v>
      </c>
      <c r="N24" s="2">
        <f t="shared" si="13"/>
        <v>22.730545454545453</v>
      </c>
      <c r="O24" s="2">
        <f t="shared" si="7"/>
        <v>159.8241477272727</v>
      </c>
      <c r="P24" s="2">
        <f t="shared" si="8"/>
        <v>266.3735795454545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-2.4840000000000004E-2</v>
      </c>
      <c r="C25" s="2">
        <v>5</v>
      </c>
      <c r="D25" s="2">
        <v>1</v>
      </c>
      <c r="E25" s="5" t="s">
        <v>38</v>
      </c>
      <c r="F25" s="2">
        <f t="shared" si="10"/>
        <v>12.475160000000001</v>
      </c>
      <c r="G25" s="2">
        <f t="shared" si="15"/>
        <v>24.194249696969699</v>
      </c>
      <c r="H25" s="2">
        <f t="shared" si="11"/>
        <v>19.960256000000001</v>
      </c>
      <c r="I25" s="2">
        <f t="shared" si="5"/>
        <v>3.9920511999999997</v>
      </c>
      <c r="J25" s="2">
        <f t="shared" si="5"/>
        <v>0.99801279999999992</v>
      </c>
      <c r="K25" s="10">
        <f>1-((1-(I25/G25))/INDEX($P$2:$P$6,C25))</f>
        <v>-1.2266666666666666</v>
      </c>
      <c r="L25" s="10">
        <f>(INDEX($Q$2:$Q$6,C25)/((1/INDEX($F$4:$F$6,J$9))-1))</f>
        <v>8.3333333333333329E-2</v>
      </c>
      <c r="M25" s="10">
        <v>0</v>
      </c>
      <c r="N25" s="2">
        <f t="shared" si="13"/>
        <v>24.194249696969699</v>
      </c>
      <c r="O25" s="2">
        <f t="shared" si="7"/>
        <v>362.91374545454551</v>
      </c>
      <c r="P25" s="2">
        <f t="shared" si="8"/>
        <v>604.85624242424251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19.988119999999999</v>
      </c>
      <c r="G27" s="2">
        <f>IF(G$26=1,H27,H27/(1-INDEX($O$2:$O$6,C27)))</f>
        <v>11.10451111111111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29.98218</v>
      </c>
      <c r="J27" s="2">
        <f t="shared" ref="I27:J28" si="18">$F27*(INDEX($F$3:$F$5,J$26)+(($C27+($D27*$F$7))*INDEX($G$3:$G$5,J$26)))</f>
        <v>1.9988119999999996</v>
      </c>
      <c r="K27" s="10">
        <f>1-((1-(I27/G27))/INDEX($P$2:$P$6,C27))</f>
        <v>6.2307692307692308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11.10451111111111</v>
      </c>
      <c r="O27" s="2">
        <f>0.75*(((G27*INDEX($R$1:$R$3,$D27+2))*Q27)/R27)</f>
        <v>327.5830777777777</v>
      </c>
      <c r="P27" s="2">
        <f>1.25*(((G27*INDEX($R$1:$R$3,$D27+2))*Q27)/R27)</f>
        <v>545.97179629629625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6.6033009620253154</v>
      </c>
      <c r="Y27" s="2">
        <f t="shared" ref="Y27:AP27" si="19">$G30*(1-(Y$26*(1-$K30)))</f>
        <v>7.0936135696202536</v>
      </c>
      <c r="Z27" s="2">
        <f t="shared" si="19"/>
        <v>7.5839261772151909</v>
      </c>
      <c r="AA27" s="2">
        <f t="shared" si="19"/>
        <v>8.0742387848101274</v>
      </c>
      <c r="AB27" s="2">
        <f t="shared" si="19"/>
        <v>8.5645513924050629</v>
      </c>
      <c r="AC27" s="2">
        <f t="shared" si="19"/>
        <v>9.0548640000000002</v>
      </c>
      <c r="AD27" s="2">
        <f t="shared" si="19"/>
        <v>9.5451766075949376</v>
      </c>
      <c r="AE27" s="2">
        <f t="shared" si="19"/>
        <v>10.035489215189873</v>
      </c>
      <c r="AF27" s="2">
        <f t="shared" si="19"/>
        <v>10.525801822784809</v>
      </c>
      <c r="AG27" s="2">
        <f t="shared" si="19"/>
        <v>11.016114430379744</v>
      </c>
      <c r="AH27" s="2">
        <f t="shared" si="19"/>
        <v>11.506427037974682</v>
      </c>
      <c r="AI27" s="2">
        <f t="shared" si="19"/>
        <v>11.996739645569621</v>
      </c>
      <c r="AJ27" s="2">
        <f t="shared" si="19"/>
        <v>12.487052253164558</v>
      </c>
      <c r="AK27" s="2">
        <f t="shared" si="19"/>
        <v>12.977364860759495</v>
      </c>
      <c r="AL27" s="2">
        <f t="shared" si="19"/>
        <v>13.467677468354431</v>
      </c>
      <c r="AM27" s="2">
        <f t="shared" si="19"/>
        <v>13.957990075949366</v>
      </c>
      <c r="AN27" s="2">
        <f t="shared" si="19"/>
        <v>14.448302683544306</v>
      </c>
      <c r="AO27" s="2">
        <f t="shared" si="19"/>
        <v>14.938615291139245</v>
      </c>
      <c r="AP27" s="2">
        <f t="shared" si="19"/>
        <v>15.42892789873418</v>
      </c>
    </row>
    <row r="28" spans="1:42" x14ac:dyDescent="0.25">
      <c r="A28" s="21">
        <f t="shared" si="9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24.975159999999999</v>
      </c>
      <c r="G28" s="2">
        <f>IF(G$26=1,H28,H28/(1-INDEX($O$2:$O$6,C28)))</f>
        <v>12.295463384615385</v>
      </c>
      <c r="H28" s="2">
        <f>$F28*(INDEX($F$3:$F$5,H$26)+(($C28+($D28*$F$7))*INDEX($G$3:$G$5,H$26)))</f>
        <v>7.9920511999999988</v>
      </c>
      <c r="I28" s="2">
        <f t="shared" si="18"/>
        <v>39.960256000000001</v>
      </c>
      <c r="J28" s="2">
        <f t="shared" si="18"/>
        <v>1.9980127999999997</v>
      </c>
      <c r="K28" s="10">
        <f>1-((1-(I28/G28))/INDEX($P$2:$P$6,C28))</f>
        <v>7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12.295463384615386</v>
      </c>
      <c r="O28" s="2">
        <f>0.75*(((G28*INDEX($R$1:$R$3,$D28+2))*Q28)/R28)</f>
        <v>362.71616984615383</v>
      </c>
      <c r="P28" s="2">
        <f>1.25*(((G28*INDEX($R$1:$R$3,$D28+2))*Q28)/R28)</f>
        <v>604.52694974358974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6.074272531645569</v>
      </c>
      <c r="Y28" s="2">
        <f t="shared" si="20"/>
        <v>6.8155020253164551</v>
      </c>
      <c r="Z28" s="2">
        <f t="shared" si="20"/>
        <v>7.5567315189873421</v>
      </c>
      <c r="AA28" s="2">
        <f t="shared" si="20"/>
        <v>8.2979610126582273</v>
      </c>
      <c r="AB28" s="2">
        <f t="shared" si="20"/>
        <v>9.0391905063291134</v>
      </c>
      <c r="AC28" s="2">
        <f t="shared" si="20"/>
        <v>9.7804199999999994</v>
      </c>
      <c r="AD28" s="2">
        <f t="shared" si="20"/>
        <v>10.521649493670884</v>
      </c>
      <c r="AE28" s="2">
        <f t="shared" si="20"/>
        <v>11.26287898734177</v>
      </c>
      <c r="AF28" s="2">
        <f t="shared" si="20"/>
        <v>12.004108481012656</v>
      </c>
      <c r="AG28" s="2">
        <f t="shared" si="20"/>
        <v>12.745337974683542</v>
      </c>
      <c r="AH28" s="2">
        <f t="shared" si="20"/>
        <v>13.486567468354426</v>
      </c>
      <c r="AI28" s="2">
        <f t="shared" si="20"/>
        <v>14.227796962025314</v>
      </c>
      <c r="AJ28" s="2">
        <f t="shared" si="20"/>
        <v>14.969026455696202</v>
      </c>
      <c r="AK28" s="2">
        <f t="shared" si="20"/>
        <v>15.710255949367086</v>
      </c>
      <c r="AL28" s="2">
        <f t="shared" si="20"/>
        <v>16.451485443037971</v>
      </c>
      <c r="AM28" s="2">
        <f t="shared" si="20"/>
        <v>17.19271493670886</v>
      </c>
      <c r="AN28" s="2">
        <f t="shared" si="20"/>
        <v>17.933944430379746</v>
      </c>
      <c r="AO28" s="2">
        <f t="shared" si="20"/>
        <v>18.675173924050632</v>
      </c>
      <c r="AP28" s="2">
        <f t="shared" si="20"/>
        <v>19.416403417721519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21">$S$9*(1+(D29*$F$8))</f>
        <v>30</v>
      </c>
      <c r="T29" s="2">
        <v>0</v>
      </c>
      <c r="U29" s="14"/>
      <c r="W29" s="14" t="s">
        <v>223</v>
      </c>
      <c r="X29" s="2">
        <f t="shared" ref="X29:AP29" si="22">$G32*(1-(X$26*(1-$K32)))</f>
        <v>5.5482671898734175</v>
      </c>
      <c r="Y29" s="2">
        <f t="shared" si="22"/>
        <v>6.538916151898734</v>
      </c>
      <c r="Z29" s="2">
        <f t="shared" si="22"/>
        <v>7.5295651139240514</v>
      </c>
      <c r="AA29" s="2">
        <f t="shared" si="22"/>
        <v>8.520214075949367</v>
      </c>
      <c r="AB29" s="2">
        <f t="shared" si="22"/>
        <v>9.5108630379746817</v>
      </c>
      <c r="AC29" s="2">
        <f t="shared" si="22"/>
        <v>10.501512</v>
      </c>
      <c r="AD29" s="2">
        <f t="shared" si="22"/>
        <v>11.492160962025316</v>
      </c>
      <c r="AE29" s="2">
        <f t="shared" si="22"/>
        <v>12.482809924050633</v>
      </c>
      <c r="AF29" s="2">
        <f t="shared" si="22"/>
        <v>13.473458886075948</v>
      </c>
      <c r="AG29" s="2">
        <f t="shared" si="22"/>
        <v>14.464107848101262</v>
      </c>
      <c r="AH29" s="2">
        <f t="shared" si="22"/>
        <v>15.454756810126581</v>
      </c>
      <c r="AI29" s="2">
        <f t="shared" si="22"/>
        <v>16.445405772151897</v>
      </c>
      <c r="AJ29" s="2">
        <f t="shared" si="22"/>
        <v>17.436054734177215</v>
      </c>
      <c r="AK29" s="2">
        <f t="shared" si="22"/>
        <v>18.426703696202534</v>
      </c>
      <c r="AL29" s="2">
        <f t="shared" si="22"/>
        <v>19.417352658227852</v>
      </c>
      <c r="AM29" s="2">
        <f t="shared" si="22"/>
        <v>20.408001620253167</v>
      </c>
      <c r="AN29" s="2">
        <f t="shared" si="22"/>
        <v>21.398650582278485</v>
      </c>
      <c r="AO29" s="2">
        <f t="shared" si="22"/>
        <v>22.389299544303803</v>
      </c>
      <c r="AP29" s="2">
        <f t="shared" si="22"/>
        <v>23.379948506329118</v>
      </c>
    </row>
    <row r="30" spans="1:42" x14ac:dyDescent="0.25">
      <c r="A30" s="21">
        <f t="shared" si="9"/>
        <v>4.5720000000000004E-2</v>
      </c>
      <c r="C30" s="2">
        <v>3</v>
      </c>
      <c r="D30">
        <v>-1</v>
      </c>
      <c r="E30" s="5" t="s">
        <v>43</v>
      </c>
      <c r="F30" s="2">
        <f t="shared" si="10"/>
        <v>7.5457200000000002</v>
      </c>
      <c r="G30" s="2">
        <f>IF(G$29=1,H30,H30/(1-INDEX($O$2:$O$6,C30)))</f>
        <v>6.1129883544303798</v>
      </c>
      <c r="H30" s="2">
        <f>$F30*(INDEX($F$3:$F$5,H$29)+(($C30+($D30*$F$7))*INDEX($G$3:$G$5,H$29)))</f>
        <v>4.8292608000000001</v>
      </c>
      <c r="I30" s="2">
        <f t="shared" ref="I30:J38" si="23">$F30*(INDEX($F$3:$F$5,I$29)+(($C30+($D30*$F$7))*INDEX($G$3:$G$5,I$29)))</f>
        <v>9.0548640000000002</v>
      </c>
      <c r="J30" s="2">
        <f t="shared" si="23"/>
        <v>1.2073152</v>
      </c>
      <c r="K30" s="10">
        <f t="shared" ref="K30:K89" si="24">1-((1-(I30/G30))/INDEX($P$2:$P$6,C30))</f>
        <v>2.6041666666666665</v>
      </c>
      <c r="L30" s="10">
        <f>(INDEX($Q$2:$Q$6,C30)/((1/INDEX($F$4:$F$6,J$29))-1))</f>
        <v>6.6666666666666666E-2</v>
      </c>
      <c r="M30" s="10">
        <v>0</v>
      </c>
      <c r="N30" s="2">
        <f t="shared" ref="N30:N38" si="25">((AVERAGE(O30,P30)*R30)/Q30)/INDEX($R$1:$R$3,D30+2)</f>
        <v>6.1129883544303798</v>
      </c>
      <c r="O30" s="2">
        <f t="shared" ref="O30:O38" si="26">0.75*(((G30*INDEX($R$1:$R$3,$D30+2))*Q30)/R30)</f>
        <v>24.321493300401357</v>
      </c>
      <c r="P30" s="2">
        <f t="shared" ref="P30:P38" si="27">1.25*(((G30*INDEX($R$1:$R$3,$D30+2))*Q30)/R30)</f>
        <v>40.535822167335596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8">$G33*(1-(X$26*(1-$K33)))</f>
        <v>8.6130156581196591</v>
      </c>
      <c r="Y30" s="2">
        <f t="shared" si="28"/>
        <v>9.4194135384615389</v>
      </c>
      <c r="Z30" s="2">
        <f t="shared" si="28"/>
        <v>10.225811418803419</v>
      </c>
      <c r="AA30" s="2">
        <f t="shared" si="28"/>
        <v>11.032209299145299</v>
      </c>
      <c r="AB30" s="2">
        <f t="shared" si="28"/>
        <v>11.83860717948718</v>
      </c>
      <c r="AC30" s="2">
        <f t="shared" si="28"/>
        <v>12.645005059829058</v>
      </c>
      <c r="AD30" s="2">
        <f t="shared" si="28"/>
        <v>13.451402940170938</v>
      </c>
      <c r="AE30" s="2">
        <f t="shared" si="28"/>
        <v>14.25780082051282</v>
      </c>
      <c r="AF30" s="2">
        <f t="shared" si="28"/>
        <v>15.064198700854698</v>
      </c>
      <c r="AG30" s="2">
        <f t="shared" si="28"/>
        <v>15.870596581196578</v>
      </c>
      <c r="AH30" s="2">
        <f t="shared" si="28"/>
        <v>16.67699446153846</v>
      </c>
      <c r="AI30" s="2">
        <f t="shared" si="28"/>
        <v>17.483392341880339</v>
      </c>
      <c r="AJ30" s="2">
        <f t="shared" si="28"/>
        <v>18.289790222222219</v>
      </c>
      <c r="AK30" s="2">
        <f t="shared" si="28"/>
        <v>19.096188102564103</v>
      </c>
      <c r="AL30" s="2">
        <f t="shared" si="28"/>
        <v>19.902585982905983</v>
      </c>
      <c r="AM30" s="2">
        <f t="shared" si="28"/>
        <v>20.708983863247859</v>
      </c>
      <c r="AN30" s="2">
        <f t="shared" si="28"/>
        <v>21.515381743589746</v>
      </c>
      <c r="AO30" s="2">
        <f t="shared" si="28"/>
        <v>22.321779623931622</v>
      </c>
      <c r="AP30" s="2">
        <f t="shared" si="28"/>
        <v>23.128177504273506</v>
      </c>
    </row>
    <row r="31" spans="1:42" x14ac:dyDescent="0.25">
      <c r="A31" s="21">
        <f t="shared" si="9"/>
        <v>2.339999999999999E-2</v>
      </c>
      <c r="C31" s="2">
        <v>3</v>
      </c>
      <c r="D31">
        <v>0</v>
      </c>
      <c r="E31" s="5" t="s">
        <v>44</v>
      </c>
      <c r="F31" s="2">
        <f t="shared" si="10"/>
        <v>7.5233999999999996</v>
      </c>
      <c r="G31" s="2">
        <f t="shared" ref="G31:G38" si="29">IF(G$29=1,H31,H31/(1-INDEX($O$2:$O$6,C31)))</f>
        <v>5.3330430379746838</v>
      </c>
      <c r="H31" s="2">
        <f t="shared" ref="H31:H38" si="30">$F31*(INDEX($F$3:$F$5,H$29)+(($C31+($D31*$F$7))*INDEX($G$3:$G$5,H$29)))</f>
        <v>4.2131040000000004</v>
      </c>
      <c r="I31" s="2">
        <f t="shared" si="23"/>
        <v>9.7804199999999994</v>
      </c>
      <c r="J31" s="2">
        <f t="shared" si="23"/>
        <v>1.0532760000000001</v>
      </c>
      <c r="K31" s="10">
        <f t="shared" si="24"/>
        <v>3.7797619047619038</v>
      </c>
      <c r="L31" s="10">
        <f t="shared" ref="L31:L38" si="31">(INDEX($Q$2:$Q$6,C31)/((1/INDEX($F$4:$F$6,J$29))-1))</f>
        <v>6.6666666666666666E-2</v>
      </c>
      <c r="M31" s="10">
        <v>0</v>
      </c>
      <c r="N31" s="2">
        <f t="shared" si="25"/>
        <v>5.3330430379746838</v>
      </c>
      <c r="O31" s="2">
        <f t="shared" si="26"/>
        <v>43.497632278481007</v>
      </c>
      <c r="P31" s="2">
        <f t="shared" si="27"/>
        <v>72.496053797468349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5">
        <f t="shared" ref="S31:S38" si="32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3">$G34*(1-(X$26*(1-$K34)))</f>
        <v>7.8046933333333337</v>
      </c>
      <c r="Y31" s="2">
        <f t="shared" si="33"/>
        <v>8.9343200000000014</v>
      </c>
      <c r="Z31" s="2">
        <f t="shared" si="33"/>
        <v>10.063946666666668</v>
      </c>
      <c r="AA31" s="2">
        <f t="shared" si="33"/>
        <v>11.193573333333333</v>
      </c>
      <c r="AB31" s="2">
        <f t="shared" si="33"/>
        <v>12.3232</v>
      </c>
      <c r="AC31" s="2">
        <f t="shared" si="33"/>
        <v>13.452826666666665</v>
      </c>
      <c r="AD31" s="2">
        <f t="shared" si="33"/>
        <v>14.582453333333332</v>
      </c>
      <c r="AE31" s="2">
        <f t="shared" si="33"/>
        <v>15.71208</v>
      </c>
      <c r="AF31" s="2">
        <f t="shared" si="33"/>
        <v>16.841706666666663</v>
      </c>
      <c r="AG31" s="2">
        <f t="shared" si="33"/>
        <v>17.97133333333333</v>
      </c>
      <c r="AH31" s="2">
        <f t="shared" si="33"/>
        <v>19.100959999999993</v>
      </c>
      <c r="AI31" s="2">
        <f t="shared" si="33"/>
        <v>20.230586666666664</v>
      </c>
      <c r="AJ31" s="2">
        <f t="shared" si="33"/>
        <v>21.360213333333331</v>
      </c>
      <c r="AK31" s="2">
        <f t="shared" si="33"/>
        <v>22.489839999999997</v>
      </c>
      <c r="AL31" s="2">
        <f t="shared" si="33"/>
        <v>23.619466666666668</v>
      </c>
      <c r="AM31" s="2">
        <f t="shared" si="33"/>
        <v>24.749093333333331</v>
      </c>
      <c r="AN31" s="2">
        <f t="shared" si="33"/>
        <v>25.878720000000001</v>
      </c>
      <c r="AO31" s="2">
        <f t="shared" si="33"/>
        <v>27.008346666666672</v>
      </c>
      <c r="AP31" s="2">
        <f t="shared" si="33"/>
        <v>28.137973333333335</v>
      </c>
    </row>
    <row r="32" spans="1:42" x14ac:dyDescent="0.25">
      <c r="A32" s="21">
        <f t="shared" si="9"/>
        <v>1.0799999999999983E-3</v>
      </c>
      <c r="C32" s="2">
        <v>3</v>
      </c>
      <c r="D32">
        <v>1</v>
      </c>
      <c r="E32" s="5" t="s">
        <v>45</v>
      </c>
      <c r="F32" s="2">
        <f t="shared" si="10"/>
        <v>7.50108</v>
      </c>
      <c r="G32" s="2">
        <f t="shared" si="29"/>
        <v>4.557618227848101</v>
      </c>
      <c r="H32" s="2">
        <f t="shared" si="30"/>
        <v>3.6005183999999999</v>
      </c>
      <c r="I32" s="2">
        <f t="shared" si="23"/>
        <v>10.501512</v>
      </c>
      <c r="J32" s="2">
        <f t="shared" si="23"/>
        <v>0.90012959999999997</v>
      </c>
      <c r="K32" s="10">
        <f t="shared" si="24"/>
        <v>5.3472222222222223</v>
      </c>
      <c r="L32" s="10">
        <f t="shared" si="31"/>
        <v>6.6666666666666666E-2</v>
      </c>
      <c r="M32" s="10">
        <v>0</v>
      </c>
      <c r="N32" s="2">
        <f t="shared" si="25"/>
        <v>4.5576182278481001</v>
      </c>
      <c r="O32" s="2">
        <f t="shared" si="26"/>
        <v>79.302557164556944</v>
      </c>
      <c r="P32" s="2">
        <f t="shared" si="27"/>
        <v>132.1709286075949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5">
        <f t="shared" si="32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4">$G35*(1-(X$26*(1-$K35)))</f>
        <v>7.0002208547008546</v>
      </c>
      <c r="Y32" s="2">
        <f t="shared" si="34"/>
        <v>8.4514861538461528</v>
      </c>
      <c r="Z32" s="2">
        <f t="shared" si="34"/>
        <v>9.9027514529914527</v>
      </c>
      <c r="AA32" s="2">
        <f t="shared" si="34"/>
        <v>11.354016752136751</v>
      </c>
      <c r="AB32" s="2">
        <f t="shared" si="34"/>
        <v>12.805282051282051</v>
      </c>
      <c r="AC32" s="2">
        <f t="shared" si="34"/>
        <v>14.256547350427349</v>
      </c>
      <c r="AD32" s="2">
        <f t="shared" si="34"/>
        <v>15.707812649572649</v>
      </c>
      <c r="AE32" s="2">
        <f t="shared" si="34"/>
        <v>17.159077948717947</v>
      </c>
      <c r="AF32" s="2">
        <f t="shared" si="34"/>
        <v>18.610343247863245</v>
      </c>
      <c r="AG32" s="2">
        <f t="shared" si="34"/>
        <v>20.061608547008543</v>
      </c>
      <c r="AH32" s="2">
        <f t="shared" si="34"/>
        <v>21.512873846153841</v>
      </c>
      <c r="AI32" s="2">
        <f t="shared" si="34"/>
        <v>22.964139145299143</v>
      </c>
      <c r="AJ32" s="2">
        <f t="shared" si="34"/>
        <v>24.415404444444441</v>
      </c>
      <c r="AK32" s="2">
        <f t="shared" si="34"/>
        <v>25.866669743589739</v>
      </c>
      <c r="AL32" s="2">
        <f t="shared" si="34"/>
        <v>27.317935042735044</v>
      </c>
      <c r="AM32" s="2">
        <f t="shared" si="34"/>
        <v>28.769200341880342</v>
      </c>
      <c r="AN32" s="2">
        <f t="shared" si="34"/>
        <v>30.220465641025644</v>
      </c>
      <c r="AO32" s="2">
        <f t="shared" si="34"/>
        <v>31.671730940170942</v>
      </c>
      <c r="AP32" s="2">
        <f t="shared" si="34"/>
        <v>33.122996239316244</v>
      </c>
    </row>
    <row r="33" spans="1:42" x14ac:dyDescent="0.25">
      <c r="A33" s="21">
        <f t="shared" si="9"/>
        <v>3.7080000000000002E-2</v>
      </c>
      <c r="C33" s="2">
        <v>4</v>
      </c>
      <c r="D33">
        <v>-1</v>
      </c>
      <c r="E33" s="5" t="s">
        <v>46</v>
      </c>
      <c r="F33" s="2">
        <f t="shared" si="10"/>
        <v>10.03708</v>
      </c>
      <c r="G33" s="2">
        <f t="shared" si="29"/>
        <v>7.8066177777777783</v>
      </c>
      <c r="H33" s="2">
        <f t="shared" si="30"/>
        <v>5.6207647999999999</v>
      </c>
      <c r="I33" s="2">
        <f t="shared" si="23"/>
        <v>13.048204</v>
      </c>
      <c r="J33" s="2">
        <f t="shared" si="23"/>
        <v>1.4051912</v>
      </c>
      <c r="K33" s="10">
        <f t="shared" si="24"/>
        <v>3.0659340659340653</v>
      </c>
      <c r="L33" s="10">
        <f t="shared" si="31"/>
        <v>7.2222222222222229E-2</v>
      </c>
      <c r="M33" s="10">
        <v>0</v>
      </c>
      <c r="N33" s="2">
        <f t="shared" si="25"/>
        <v>7.8066177777777783</v>
      </c>
      <c r="O33" s="2">
        <f t="shared" si="26"/>
        <v>31.059866463414636</v>
      </c>
      <c r="P33" s="2">
        <f t="shared" si="27"/>
        <v>51.766444105691065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5">
        <f t="shared" si="32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5">$G36*(1-(X$26*(1-$K36)))</f>
        <v>10.356843733333335</v>
      </c>
      <c r="Y33" s="2">
        <f t="shared" si="35"/>
        <v>11.461916389743591</v>
      </c>
      <c r="Z33" s="2">
        <f t="shared" si="35"/>
        <v>12.566989046153845</v>
      </c>
      <c r="AA33" s="2">
        <f t="shared" si="35"/>
        <v>13.672061702564102</v>
      </c>
      <c r="AB33" s="2">
        <f t="shared" si="35"/>
        <v>14.777134358974356</v>
      </c>
      <c r="AC33" s="2">
        <f t="shared" si="35"/>
        <v>15.882207015384614</v>
      </c>
      <c r="AD33" s="2">
        <f t="shared" si="35"/>
        <v>16.98727967179487</v>
      </c>
      <c r="AE33" s="2">
        <f t="shared" si="35"/>
        <v>18.092352328205124</v>
      </c>
      <c r="AF33" s="2">
        <f t="shared" si="35"/>
        <v>19.197424984615377</v>
      </c>
      <c r="AG33" s="2">
        <f t="shared" si="35"/>
        <v>20.302497641025635</v>
      </c>
      <c r="AH33" s="2">
        <f t="shared" si="35"/>
        <v>21.407570297435893</v>
      </c>
      <c r="AI33" s="2">
        <f t="shared" si="35"/>
        <v>22.51264295384615</v>
      </c>
      <c r="AJ33" s="2">
        <f t="shared" si="35"/>
        <v>23.617715610256404</v>
      </c>
      <c r="AK33" s="2">
        <f t="shared" si="35"/>
        <v>24.722788266666662</v>
      </c>
      <c r="AL33" s="2">
        <f t="shared" si="35"/>
        <v>25.827860923076919</v>
      </c>
      <c r="AM33" s="2">
        <f t="shared" si="35"/>
        <v>26.932933579487177</v>
      </c>
      <c r="AN33" s="2">
        <f t="shared" si="35"/>
        <v>28.038006235897438</v>
      </c>
      <c r="AO33" s="2">
        <f t="shared" si="35"/>
        <v>29.143078892307692</v>
      </c>
      <c r="AP33" s="2">
        <f t="shared" si="35"/>
        <v>30.248151548717949</v>
      </c>
    </row>
    <row r="34" spans="1:42" x14ac:dyDescent="0.25">
      <c r="A34" s="21">
        <f t="shared" si="9"/>
        <v>1.2600000000000009E-2</v>
      </c>
      <c r="C34" s="2">
        <v>4</v>
      </c>
      <c r="D34">
        <v>0</v>
      </c>
      <c r="E34" s="5" t="s">
        <v>47</v>
      </c>
      <c r="F34" s="2">
        <f t="shared" si="10"/>
        <v>10.012600000000001</v>
      </c>
      <c r="G34" s="2">
        <f t="shared" si="29"/>
        <v>6.6750666666666678</v>
      </c>
      <c r="H34" s="2">
        <f t="shared" si="30"/>
        <v>4.8060480000000005</v>
      </c>
      <c r="I34" s="2">
        <f t="shared" si="23"/>
        <v>14.01764</v>
      </c>
      <c r="J34" s="2">
        <f t="shared" si="23"/>
        <v>1.2015120000000001</v>
      </c>
      <c r="K34" s="10">
        <f t="shared" si="24"/>
        <v>4.3846153846153832</v>
      </c>
      <c r="L34" s="10">
        <f t="shared" si="31"/>
        <v>7.2222222222222229E-2</v>
      </c>
      <c r="M34" s="10">
        <v>0</v>
      </c>
      <c r="N34" s="2">
        <f t="shared" si="25"/>
        <v>6.6750666666666678</v>
      </c>
      <c r="O34" s="2">
        <f t="shared" si="26"/>
        <v>54.443512500000004</v>
      </c>
      <c r="P34" s="2">
        <f t="shared" si="27"/>
        <v>90.739187500000014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5">
        <f t="shared" si="32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6">$G37*(1-(X$26*(1-$K37)))</f>
        <v>9.1679866666666676</v>
      </c>
      <c r="Y34" s="2">
        <f t="shared" si="36"/>
        <v>10.642557948717949</v>
      </c>
      <c r="Z34" s="2">
        <f t="shared" si="36"/>
        <v>12.117129230769232</v>
      </c>
      <c r="AA34" s="2">
        <f t="shared" si="36"/>
        <v>13.591700512820513</v>
      </c>
      <c r="AB34" s="2">
        <f t="shared" si="36"/>
        <v>15.066271794871794</v>
      </c>
      <c r="AC34" s="2">
        <f t="shared" si="36"/>
        <v>16.540843076923075</v>
      </c>
      <c r="AD34" s="2">
        <f t="shared" si="36"/>
        <v>18.015414358974354</v>
      </c>
      <c r="AE34" s="2">
        <f t="shared" si="36"/>
        <v>19.489985641025637</v>
      </c>
      <c r="AF34" s="2">
        <f t="shared" si="36"/>
        <v>20.964556923076916</v>
      </c>
      <c r="AG34" s="2">
        <f t="shared" si="36"/>
        <v>22.439128205128203</v>
      </c>
      <c r="AH34" s="2">
        <f t="shared" si="36"/>
        <v>23.913699487179482</v>
      </c>
      <c r="AI34" s="2">
        <f t="shared" si="36"/>
        <v>25.388270769230765</v>
      </c>
      <c r="AJ34" s="2">
        <f t="shared" si="36"/>
        <v>26.862842051282044</v>
      </c>
      <c r="AK34" s="2">
        <f t="shared" si="36"/>
        <v>28.33741333333333</v>
      </c>
      <c r="AL34" s="2">
        <f t="shared" si="36"/>
        <v>29.811984615384613</v>
      </c>
      <c r="AM34" s="2">
        <f t="shared" si="36"/>
        <v>31.286555897435896</v>
      </c>
      <c r="AN34" s="2">
        <f t="shared" si="36"/>
        <v>32.761127179487175</v>
      </c>
      <c r="AO34" s="2">
        <f t="shared" si="36"/>
        <v>34.235698461538455</v>
      </c>
      <c r="AP34" s="2">
        <f t="shared" si="36"/>
        <v>35.710269743589741</v>
      </c>
    </row>
    <row r="35" spans="1:42" x14ac:dyDescent="0.25">
      <c r="A35" s="21">
        <f t="shared" si="9"/>
        <v>-1.1879999999999981E-2</v>
      </c>
      <c r="C35" s="2">
        <v>4</v>
      </c>
      <c r="D35">
        <v>1</v>
      </c>
      <c r="E35" s="5" t="s">
        <v>48</v>
      </c>
      <c r="F35" s="2">
        <f t="shared" si="10"/>
        <v>9.9881200000000003</v>
      </c>
      <c r="G35" s="2">
        <f t="shared" si="29"/>
        <v>5.5489555555555556</v>
      </c>
      <c r="H35" s="2">
        <f t="shared" si="30"/>
        <v>3.9952479999999997</v>
      </c>
      <c r="I35" s="2">
        <f t="shared" si="23"/>
        <v>14.98218</v>
      </c>
      <c r="J35" s="2">
        <f t="shared" si="23"/>
        <v>0.99881199999999992</v>
      </c>
      <c r="K35" s="10">
        <f t="shared" si="24"/>
        <v>6.2307692307692299</v>
      </c>
      <c r="L35" s="10">
        <f t="shared" si="31"/>
        <v>7.2222222222222229E-2</v>
      </c>
      <c r="M35" s="10">
        <v>0</v>
      </c>
      <c r="N35" s="2">
        <f t="shared" si="25"/>
        <v>5.5489555555555565</v>
      </c>
      <c r="O35" s="2">
        <f t="shared" si="26"/>
        <v>96.55182666666667</v>
      </c>
      <c r="P35" s="2">
        <f t="shared" si="27"/>
        <v>160.9197111111111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5">
        <f t="shared" si="32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7">$G38*(1-(X$26*(1-$K38)))</f>
        <v>7.9841024000000012</v>
      </c>
      <c r="Y35" s="2">
        <f t="shared" si="37"/>
        <v>9.8265875692307709</v>
      </c>
      <c r="Z35" s="2">
        <f t="shared" si="37"/>
        <v>11.669072738461541</v>
      </c>
      <c r="AA35" s="2">
        <f t="shared" si="37"/>
        <v>13.51155790769231</v>
      </c>
      <c r="AB35" s="2">
        <f t="shared" si="37"/>
        <v>15.354043076923078</v>
      </c>
      <c r="AC35" s="2">
        <f t="shared" si="37"/>
        <v>17.196528246153846</v>
      </c>
      <c r="AD35" s="2">
        <f t="shared" si="37"/>
        <v>19.039013415384616</v>
      </c>
      <c r="AE35" s="2">
        <f t="shared" si="37"/>
        <v>20.881498584615386</v>
      </c>
      <c r="AF35" s="2">
        <f t="shared" si="37"/>
        <v>22.723983753846156</v>
      </c>
      <c r="AG35" s="2">
        <f t="shared" si="37"/>
        <v>24.566468923076922</v>
      </c>
      <c r="AH35" s="2">
        <f t="shared" si="37"/>
        <v>26.408954092307695</v>
      </c>
      <c r="AI35" s="2">
        <f t="shared" si="37"/>
        <v>28.251439261538462</v>
      </c>
      <c r="AJ35" s="2">
        <f t="shared" si="37"/>
        <v>30.093924430769235</v>
      </c>
      <c r="AK35" s="2">
        <f t="shared" si="37"/>
        <v>31.936409600000005</v>
      </c>
      <c r="AL35" s="2">
        <f t="shared" si="37"/>
        <v>33.778894769230781</v>
      </c>
      <c r="AM35" s="2">
        <f t="shared" si="37"/>
        <v>35.621379938461544</v>
      </c>
      <c r="AN35" s="2">
        <f t="shared" si="37"/>
        <v>37.463865107692321</v>
      </c>
      <c r="AO35" s="2">
        <f t="shared" si="37"/>
        <v>39.306350276923091</v>
      </c>
      <c r="AP35" s="2">
        <f t="shared" si="37"/>
        <v>41.148835446153861</v>
      </c>
    </row>
    <row r="36" spans="1:42" x14ac:dyDescent="0.25">
      <c r="A36" s="21">
        <f t="shared" si="9"/>
        <v>2.8440000000000014E-2</v>
      </c>
      <c r="C36" s="2">
        <v>5</v>
      </c>
      <c r="D36">
        <v>-1</v>
      </c>
      <c r="E36" s="5" t="s">
        <v>49</v>
      </c>
      <c r="F36" s="2">
        <f t="shared" si="10"/>
        <v>12.52844</v>
      </c>
      <c r="G36" s="2">
        <f t="shared" si="29"/>
        <v>9.2517710769230774</v>
      </c>
      <c r="H36" s="2">
        <f t="shared" si="30"/>
        <v>6.0136512</v>
      </c>
      <c r="I36" s="2">
        <f t="shared" si="23"/>
        <v>17.539815999999998</v>
      </c>
      <c r="J36" s="2">
        <f t="shared" si="23"/>
        <v>1.5034128</v>
      </c>
      <c r="K36" s="10">
        <f t="shared" si="24"/>
        <v>3.388888888888888</v>
      </c>
      <c r="L36" s="10">
        <f t="shared" si="31"/>
        <v>8.3333333333333329E-2</v>
      </c>
      <c r="M36" s="10">
        <v>0</v>
      </c>
      <c r="N36" s="2">
        <f t="shared" si="25"/>
        <v>9.2517710769230774</v>
      </c>
      <c r="O36" s="2">
        <f t="shared" si="26"/>
        <v>36.809637973733587</v>
      </c>
      <c r="P36" s="2">
        <f t="shared" si="27"/>
        <v>61.349396622889302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5">
        <f t="shared" si="32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7.0043839316239307</v>
      </c>
      <c r="Y36" s="2">
        <f t="shared" ref="Y36:AP36" si="38">($G27*(1-(Y$26*(1-$K27))))/2</f>
        <v>8.4565123076923072</v>
      </c>
      <c r="Z36" s="2">
        <f t="shared" si="38"/>
        <v>9.9086406837606837</v>
      </c>
      <c r="AA36" s="2">
        <f t="shared" si="38"/>
        <v>11.360769059829058</v>
      </c>
      <c r="AB36" s="2">
        <f t="shared" si="38"/>
        <v>12.812897435897433</v>
      </c>
      <c r="AC36" s="2">
        <f t="shared" si="38"/>
        <v>14.26502581196581</v>
      </c>
      <c r="AD36" s="2">
        <f t="shared" si="38"/>
        <v>15.717154188034185</v>
      </c>
      <c r="AE36" s="2">
        <f t="shared" si="38"/>
        <v>17.169282564102559</v>
      </c>
      <c r="AF36" s="2">
        <f t="shared" si="38"/>
        <v>18.621410940170936</v>
      </c>
      <c r="AG36" s="2">
        <f t="shared" si="38"/>
        <v>20.073539316239312</v>
      </c>
      <c r="AH36" s="2">
        <f t="shared" si="38"/>
        <v>21.525667692307689</v>
      </c>
      <c r="AI36" s="2">
        <f t="shared" si="38"/>
        <v>22.977796068376062</v>
      </c>
      <c r="AJ36" s="2">
        <f t="shared" si="38"/>
        <v>24.429924444444445</v>
      </c>
      <c r="AK36" s="2">
        <f t="shared" si="38"/>
        <v>25.882052820512818</v>
      </c>
      <c r="AL36" s="2">
        <f t="shared" si="38"/>
        <v>27.334181196581195</v>
      </c>
      <c r="AM36" s="2">
        <f t="shared" si="38"/>
        <v>28.786309572649575</v>
      </c>
      <c r="AN36" s="2">
        <f t="shared" si="38"/>
        <v>30.238437948717952</v>
      </c>
      <c r="AO36" s="2">
        <f t="shared" si="38"/>
        <v>31.690566324786328</v>
      </c>
      <c r="AP36" s="2">
        <f t="shared" si="38"/>
        <v>33.142694700854712</v>
      </c>
    </row>
    <row r="37" spans="1:42" x14ac:dyDescent="0.25">
      <c r="A37" s="21">
        <f t="shared" si="9"/>
        <v>1.8000000000000043E-3</v>
      </c>
      <c r="C37" s="2">
        <v>5</v>
      </c>
      <c r="D37">
        <v>0</v>
      </c>
      <c r="E37" s="5" t="s">
        <v>50</v>
      </c>
      <c r="F37" s="2">
        <f t="shared" si="10"/>
        <v>12.501799999999999</v>
      </c>
      <c r="G37" s="2">
        <f t="shared" si="29"/>
        <v>7.6934153846153848</v>
      </c>
      <c r="H37" s="2">
        <f t="shared" si="30"/>
        <v>5.0007199999999994</v>
      </c>
      <c r="I37" s="2">
        <f t="shared" si="23"/>
        <v>18.752699999999997</v>
      </c>
      <c r="J37" s="2">
        <f t="shared" si="23"/>
        <v>1.2501799999999998</v>
      </c>
      <c r="K37" s="10">
        <f t="shared" si="24"/>
        <v>4.8333333333333321</v>
      </c>
      <c r="L37" s="10">
        <f t="shared" si="31"/>
        <v>8.3333333333333329E-2</v>
      </c>
      <c r="M37" s="10">
        <v>0</v>
      </c>
      <c r="N37" s="2">
        <f t="shared" si="25"/>
        <v>7.6934153846153848</v>
      </c>
      <c r="O37" s="2">
        <f t="shared" si="26"/>
        <v>62.749419230769227</v>
      </c>
      <c r="P37" s="2">
        <f t="shared" si="27"/>
        <v>104.58236538461537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5">
        <f t="shared" si="32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7.9920512000000006</v>
      </c>
      <c r="Y37" s="2">
        <f t="shared" ref="Y37:AP37" si="39">($G28*(1-(Y$26*(1-$K28))))/2</f>
        <v>9.8363707076923088</v>
      </c>
      <c r="Z37" s="2">
        <f t="shared" si="39"/>
        <v>11.680690215384617</v>
      </c>
      <c r="AA37" s="2">
        <f t="shared" si="39"/>
        <v>13.525009723076924</v>
      </c>
      <c r="AB37" s="2">
        <f t="shared" si="39"/>
        <v>15.369329230769232</v>
      </c>
      <c r="AC37" s="2">
        <f t="shared" si="39"/>
        <v>17.213648738461536</v>
      </c>
      <c r="AD37" s="2">
        <f t="shared" si="39"/>
        <v>19.057968246153845</v>
      </c>
      <c r="AE37" s="2">
        <f t="shared" si="39"/>
        <v>20.902287753846153</v>
      </c>
      <c r="AF37" s="2">
        <f t="shared" si="39"/>
        <v>22.746607261538461</v>
      </c>
      <c r="AG37" s="2">
        <f t="shared" si="39"/>
        <v>24.590926769230766</v>
      </c>
      <c r="AH37" s="2">
        <f t="shared" si="39"/>
        <v>26.435246276923078</v>
      </c>
      <c r="AI37" s="2">
        <f t="shared" si="39"/>
        <v>28.279565784615382</v>
      </c>
      <c r="AJ37" s="2">
        <f t="shared" si="39"/>
        <v>30.123885292307694</v>
      </c>
      <c r="AK37" s="2">
        <f t="shared" si="39"/>
        <v>31.968204800000002</v>
      </c>
      <c r="AL37" s="2">
        <f t="shared" si="39"/>
        <v>33.812524307692314</v>
      </c>
      <c r="AM37" s="2">
        <f t="shared" si="39"/>
        <v>35.656843815384619</v>
      </c>
      <c r="AN37" s="2">
        <f t="shared" si="39"/>
        <v>37.501163323076931</v>
      </c>
      <c r="AO37" s="2">
        <f t="shared" si="39"/>
        <v>39.345482830769235</v>
      </c>
      <c r="AP37" s="2">
        <f t="shared" si="39"/>
        <v>41.189802338461554</v>
      </c>
    </row>
    <row r="38" spans="1:42" x14ac:dyDescent="0.25">
      <c r="A38" s="21">
        <f t="shared" si="9"/>
        <v>-2.4840000000000004E-2</v>
      </c>
      <c r="C38" s="2">
        <v>5</v>
      </c>
      <c r="D38">
        <v>1</v>
      </c>
      <c r="E38" s="5" t="s">
        <v>51</v>
      </c>
      <c r="F38" s="2">
        <f t="shared" si="10"/>
        <v>12.475160000000001</v>
      </c>
      <c r="G38" s="2">
        <f t="shared" si="29"/>
        <v>6.1416172307692314</v>
      </c>
      <c r="H38" s="2">
        <f t="shared" si="30"/>
        <v>3.9920511999999997</v>
      </c>
      <c r="I38" s="2">
        <f t="shared" si="23"/>
        <v>19.960256000000001</v>
      </c>
      <c r="J38" s="2">
        <f t="shared" si="23"/>
        <v>0.99801279999999992</v>
      </c>
      <c r="K38" s="10">
        <f t="shared" si="24"/>
        <v>7</v>
      </c>
      <c r="L38" s="10">
        <f t="shared" si="31"/>
        <v>8.3333333333333329E-2</v>
      </c>
      <c r="M38" s="10">
        <v>0</v>
      </c>
      <c r="N38" s="2">
        <f t="shared" si="25"/>
        <v>6.1416172307692314</v>
      </c>
      <c r="O38" s="2">
        <f t="shared" si="26"/>
        <v>106.86413981538462</v>
      </c>
      <c r="P38" s="2">
        <f t="shared" si="27"/>
        <v>178.10689969230768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5">
        <f t="shared" si="32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19.988119999999999</v>
      </c>
      <c r="G40" s="2">
        <f>IF(G$39=1,H40,H40/(1-INDEX($O$2:$O$6,C40)))</f>
        <v>41.641916666666667</v>
      </c>
      <c r="H40" s="2">
        <f>$F40*(INDEX($F$3:$F$5,H$39)+(($C40+($D40*$F$7))*INDEX($G$3:$G$5,H$39)))</f>
        <v>29.98218</v>
      </c>
      <c r="I40" s="2">
        <f t="shared" ref="I40:J41" si="40">$F40*(INDEX($F$3:$F$5,I$39)+(($C40+($D40*$F$7))*INDEX($G$3:$G$5,I$39)))</f>
        <v>7.9952479999999984</v>
      </c>
      <c r="J40" s="2">
        <f t="shared" si="40"/>
        <v>1.9988119999999996</v>
      </c>
      <c r="K40" s="10">
        <f t="shared" si="24"/>
        <v>-1.4861538461538464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41.64191666666666</v>
      </c>
      <c r="O40" s="2">
        <f>0.75*(((G40*INDEX($R$1:$R$3,$D40+2))*Q40)/R40)</f>
        <v>824.50994999999989</v>
      </c>
      <c r="P40" s="2">
        <f>1.25*(((G40*INDEX($R$1:$R$3,$D40+2))*Q40)/R40)</f>
        <v>1374.1832499999998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24.975159999999999</v>
      </c>
      <c r="G41" s="2">
        <f>IF(G$39=1,H41,H41/(1-INDEX($O$2:$O$6,C41)))</f>
        <v>61.477316923076934</v>
      </c>
      <c r="H41" s="2">
        <f>$F41*(INDEX($F$3:$F$5,H$39)+(($C41+($D41*$F$7))*INDEX($G$3:$G$5,H$39)))</f>
        <v>39.960256000000001</v>
      </c>
      <c r="I41" s="2">
        <f t="shared" si="40"/>
        <v>7.9920511999999988</v>
      </c>
      <c r="J41" s="2">
        <f t="shared" si="40"/>
        <v>1.9980127999999997</v>
      </c>
      <c r="K41" s="10">
        <f t="shared" si="24"/>
        <v>-1.3200000000000003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61.477316923076941</v>
      </c>
      <c r="O41" s="2">
        <f>0.75*(((G41*INDEX($R$1:$R$3,$D41+2))*Q41)/R41)</f>
        <v>1217.2508750769234</v>
      </c>
      <c r="P41" s="2">
        <f>1.25*(((G41*INDEX($R$1:$R$3,$D41+2))*Q41)/R41)</f>
        <v>2028.7514584615387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6.8040000000000003E-2</v>
      </c>
      <c r="C43" s="2">
        <v>3</v>
      </c>
      <c r="D43" s="2">
        <v>1</v>
      </c>
      <c r="E43" s="5" t="s">
        <v>56</v>
      </c>
      <c r="F43" s="2">
        <f t="shared" si="10"/>
        <v>7.5680399999999999</v>
      </c>
      <c r="G43" s="2">
        <f>IF(G$42=1,H43,H43/(1-INDEX($O$2:$O$6,C43)))</f>
        <v>4.5983027848101266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41">$F43*(INDEX($F$3:$F$5,J$42)+(($C43+($D43*$F$7))*INDEX($G$3:$G$5,J$42)))</f>
        <v>10.595255999999999</v>
      </c>
      <c r="K43" s="10">
        <f>1-((1-(I43/G43))/INDEX($P$2:$P$6,C43))</f>
        <v>-1.6750000000000003</v>
      </c>
      <c r="L43" s="10">
        <f>(INDEX($Q$2:$Q$6,C43)/((1/INDEX($F$4:$F$6,J$42))-1))</f>
        <v>2.4</v>
      </c>
      <c r="M43" s="10">
        <v>0</v>
      </c>
      <c r="N43" s="2">
        <f>((AVERAGE(O43,P43)*R43)/Q43)/INDEX($R$1:$R$3,D43)</f>
        <v>18.393211139240506</v>
      </c>
      <c r="O43" s="2">
        <f>0.75*(((G43*INDEX($R$1:$R$3,$D43+2))*Q43)/R43)</f>
        <v>60.563012287743135</v>
      </c>
      <c r="P43" s="2">
        <f>1.25*(((G43*INDEX($R$1:$R$3,$D43+2))*Q43)/R43)</f>
        <v>100.93835381290523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5.6880000000000007E-2</v>
      </c>
      <c r="C44" s="2">
        <v>3</v>
      </c>
      <c r="D44" s="2">
        <v>2</v>
      </c>
      <c r="E44" s="5" t="s">
        <v>57</v>
      </c>
      <c r="F44" s="2">
        <f t="shared" si="10"/>
        <v>7.5568799999999996</v>
      </c>
      <c r="G44" s="2">
        <f t="shared" ref="G44:G51" si="42">IF(G$42=1,H44,H44/(1-INDEX($O$2:$O$6,C44)))</f>
        <v>3.826268354430379</v>
      </c>
      <c r="H44" s="2">
        <f t="shared" ref="H44:H51" si="43">$F44*(INDEX($F$3:$F$5,H$42)+(($C44+($D44*$F$7))*INDEX($G$3:$G$5,H$42)))</f>
        <v>3.0227519999999997</v>
      </c>
      <c r="I44" s="2">
        <f t="shared" si="41"/>
        <v>0.75568799999999992</v>
      </c>
      <c r="J44" s="2">
        <f t="shared" si="41"/>
        <v>11.335319999999999</v>
      </c>
      <c r="K44" s="10">
        <f t="shared" si="24"/>
        <v>-1.6750000000000003</v>
      </c>
      <c r="L44" s="10">
        <f t="shared" ref="L44:L51" si="44">(INDEX($Q$2:$Q$6,C44)/((1/INDEX($F$4:$F$6,J$42))-1))</f>
        <v>2.4</v>
      </c>
      <c r="M44" s="10">
        <v>0</v>
      </c>
      <c r="N44" s="2">
        <f t="shared" ref="N44:N51" si="45">((AVERAGE(O44,P44)*R44)/Q44)/INDEX($R$1:$R$3,D44)</f>
        <v>3.826268354430379</v>
      </c>
      <c r="O44" s="2">
        <f>0.75*(((G44*INDEX($R$1:$R$3,$D44))*Q44)/R44)</f>
        <v>25.827311392405058</v>
      </c>
      <c r="P44" s="2">
        <f>1.25*(((G44*INDEX($R$1:$R$3,$D44))*Q44)/R44)</f>
        <v>43.045518987341758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5">
        <f t="shared" ref="S44:S51" si="46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4.5720000000000004E-2</v>
      </c>
      <c r="C45" s="2">
        <v>3</v>
      </c>
      <c r="D45" s="2">
        <v>3</v>
      </c>
      <c r="E45" s="5" t="s">
        <v>58</v>
      </c>
      <c r="F45" s="2">
        <f t="shared" si="10"/>
        <v>7.5457200000000002</v>
      </c>
      <c r="G45" s="2">
        <f t="shared" si="42"/>
        <v>3.0564941772151895</v>
      </c>
      <c r="H45" s="2">
        <f t="shared" si="43"/>
        <v>2.4146303999999996</v>
      </c>
      <c r="I45" s="2">
        <f t="shared" si="41"/>
        <v>0.60365759999999991</v>
      </c>
      <c r="J45" s="2">
        <f t="shared" si="41"/>
        <v>12.073152</v>
      </c>
      <c r="K45" s="10">
        <f>1-((1-(I45/G45))/INDEX($P$2:$P$6,C45))</f>
        <v>-1.6750000000000003</v>
      </c>
      <c r="L45" s="10">
        <f t="shared" si="44"/>
        <v>2.4</v>
      </c>
      <c r="M45" s="10">
        <v>0</v>
      </c>
      <c r="N45" s="2">
        <f t="shared" si="45"/>
        <v>3.0564941772151895</v>
      </c>
      <c r="O45" s="2">
        <f t="shared" ref="O45:O51" si="47">0.75*(((G45*INDEX($R$1:$R$3,$D45))*Q45)/R45)</f>
        <v>44.013516151898727</v>
      </c>
      <c r="P45" s="2">
        <f>1.25*(((G45*INDEX($R$1:$R$3,$D45))*Q45)/R45)</f>
        <v>73.35586025316455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5">
        <f t="shared" si="46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6.1560000000000011E-2</v>
      </c>
      <c r="C46" s="2">
        <v>4</v>
      </c>
      <c r="D46" s="2">
        <v>1</v>
      </c>
      <c r="E46" s="5" t="s">
        <v>59</v>
      </c>
      <c r="F46" s="2">
        <f t="shared" si="10"/>
        <v>10.06156</v>
      </c>
      <c r="G46" s="2">
        <f t="shared" si="42"/>
        <v>5.5897555555555547</v>
      </c>
      <c r="H46" s="2">
        <f t="shared" si="43"/>
        <v>4.0246239999999993</v>
      </c>
      <c r="I46" s="2">
        <f t="shared" si="41"/>
        <v>1.0061559999999998</v>
      </c>
      <c r="J46" s="2">
        <f t="shared" si="41"/>
        <v>15.09234</v>
      </c>
      <c r="K46" s="10">
        <f t="shared" si="24"/>
        <v>-1.523076923076923</v>
      </c>
      <c r="L46" s="10">
        <f t="shared" si="44"/>
        <v>2.6</v>
      </c>
      <c r="M46" s="10">
        <v>0</v>
      </c>
      <c r="N46" s="2">
        <f t="shared" si="45"/>
        <v>5.5897555555555547</v>
      </c>
      <c r="O46" s="2">
        <f t="shared" si="47"/>
        <v>18.405292682926827</v>
      </c>
      <c r="P46" s="2">
        <f t="shared" ref="P46:P51" si="48">1.25*(((G46*INDEX($R$1:$R$3,$D46))*Q46)/R46)</f>
        <v>30.675487804878045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5">
        <f t="shared" si="46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4.9320000000000003E-2</v>
      </c>
      <c r="C47" s="2">
        <v>4</v>
      </c>
      <c r="D47" s="2">
        <v>2</v>
      </c>
      <c r="E47" s="5" t="s">
        <v>60</v>
      </c>
      <c r="F47" s="2">
        <f t="shared" si="10"/>
        <v>10.04932</v>
      </c>
      <c r="G47" s="2">
        <f t="shared" si="42"/>
        <v>4.4663644444444435</v>
      </c>
      <c r="H47" s="2">
        <f t="shared" si="43"/>
        <v>3.2157823999999993</v>
      </c>
      <c r="I47" s="2">
        <f t="shared" si="41"/>
        <v>0.80394559999999982</v>
      </c>
      <c r="J47" s="2">
        <f t="shared" si="41"/>
        <v>16.078911999999999</v>
      </c>
      <c r="K47" s="10">
        <f t="shared" si="24"/>
        <v>-1.523076923076923</v>
      </c>
      <c r="L47" s="10">
        <f t="shared" si="44"/>
        <v>2.6</v>
      </c>
      <c r="M47" s="10">
        <v>0</v>
      </c>
      <c r="N47" s="2">
        <f t="shared" si="45"/>
        <v>4.4663644444444435</v>
      </c>
      <c r="O47" s="2">
        <f t="shared" si="47"/>
        <v>30.147959999999991</v>
      </c>
      <c r="P47" s="2">
        <f t="shared" si="48"/>
        <v>50.24659999999998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5">
        <f t="shared" si="46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3.7080000000000002E-2</v>
      </c>
      <c r="C48" s="2">
        <v>4</v>
      </c>
      <c r="D48" s="2">
        <v>3</v>
      </c>
      <c r="E48" s="5" t="s">
        <v>61</v>
      </c>
      <c r="F48" s="2">
        <f t="shared" si="10"/>
        <v>10.03708</v>
      </c>
      <c r="G48" s="2">
        <f t="shared" si="42"/>
        <v>3.3456933333333336</v>
      </c>
      <c r="H48" s="2">
        <f t="shared" si="43"/>
        <v>2.4088992</v>
      </c>
      <c r="I48" s="2">
        <f t="shared" si="41"/>
        <v>0.6022248</v>
      </c>
      <c r="J48" s="2">
        <f t="shared" si="41"/>
        <v>17.063036</v>
      </c>
      <c r="K48" s="10">
        <f t="shared" si="24"/>
        <v>-1.523076923076923</v>
      </c>
      <c r="L48" s="10">
        <f t="shared" si="44"/>
        <v>2.6</v>
      </c>
      <c r="M48" s="10">
        <v>0</v>
      </c>
      <c r="N48" s="2">
        <f t="shared" si="45"/>
        <v>3.3456933333333332</v>
      </c>
      <c r="O48" s="2">
        <f t="shared" si="47"/>
        <v>48.177984000000002</v>
      </c>
      <c r="P48" s="2">
        <f t="shared" si="48"/>
        <v>80.296639999999996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5">
        <f t="shared" si="46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5.5079999999999997E-2</v>
      </c>
      <c r="C49" s="2">
        <v>5</v>
      </c>
      <c r="D49" s="2">
        <v>1</v>
      </c>
      <c r="E49" s="5" t="s">
        <v>62</v>
      </c>
      <c r="F49" s="2">
        <f t="shared" si="10"/>
        <v>12.55508</v>
      </c>
      <c r="G49" s="2">
        <f t="shared" si="42"/>
        <v>6.1809624615384617</v>
      </c>
      <c r="H49" s="2">
        <f t="shared" si="43"/>
        <v>4.0176255999999997</v>
      </c>
      <c r="I49" s="2">
        <f t="shared" si="41"/>
        <v>1.0044063999999999</v>
      </c>
      <c r="J49" s="2">
        <f t="shared" si="41"/>
        <v>20.088128000000001</v>
      </c>
      <c r="K49" s="10">
        <f t="shared" si="24"/>
        <v>-1.2333333333333334</v>
      </c>
      <c r="L49" s="10">
        <f t="shared" si="44"/>
        <v>3</v>
      </c>
      <c r="M49" s="10">
        <v>0</v>
      </c>
      <c r="N49" s="2">
        <f t="shared" si="45"/>
        <v>6.1809624615384626</v>
      </c>
      <c r="O49" s="2">
        <f t="shared" si="47"/>
        <v>20.351949568480304</v>
      </c>
      <c r="P49" s="2">
        <f t="shared" si="48"/>
        <v>33.919915947467175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5">
        <f t="shared" si="46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4.1760000000000005E-2</v>
      </c>
      <c r="C50" s="2">
        <v>5</v>
      </c>
      <c r="D50" s="2">
        <v>2</v>
      </c>
      <c r="E50" s="5" t="s">
        <v>63</v>
      </c>
      <c r="F50" s="2">
        <f t="shared" si="10"/>
        <v>12.54176</v>
      </c>
      <c r="G50" s="2">
        <f t="shared" si="42"/>
        <v>4.6308036923076932</v>
      </c>
      <c r="H50" s="2">
        <f t="shared" si="43"/>
        <v>3.0100224</v>
      </c>
      <c r="I50" s="2">
        <f t="shared" si="41"/>
        <v>0.7525056</v>
      </c>
      <c r="J50" s="2">
        <f t="shared" si="41"/>
        <v>21.320992000000004</v>
      </c>
      <c r="K50" s="10">
        <f t="shared" si="24"/>
        <v>-1.2333333333333334</v>
      </c>
      <c r="L50" s="10">
        <f t="shared" si="44"/>
        <v>3</v>
      </c>
      <c r="M50" s="10">
        <v>0</v>
      </c>
      <c r="N50" s="2">
        <f t="shared" si="45"/>
        <v>4.6308036923076932</v>
      </c>
      <c r="O50" s="2">
        <f t="shared" si="47"/>
        <v>31.257924923076928</v>
      </c>
      <c r="P50" s="2">
        <f t="shared" si="48"/>
        <v>52.096541538461551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5">
        <f t="shared" si="46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2.8440000000000014E-2</v>
      </c>
      <c r="C51" s="2">
        <v>5</v>
      </c>
      <c r="D51" s="2">
        <v>3</v>
      </c>
      <c r="E51" s="5" t="s">
        <v>64</v>
      </c>
      <c r="F51" s="2">
        <f t="shared" si="10"/>
        <v>12.52844</v>
      </c>
      <c r="G51" s="2">
        <f t="shared" si="42"/>
        <v>3.0839236923076911</v>
      </c>
      <c r="H51" s="2">
        <f t="shared" si="43"/>
        <v>2.004550399999999</v>
      </c>
      <c r="I51" s="2">
        <f t="shared" si="41"/>
        <v>0.50113759999999974</v>
      </c>
      <c r="J51" s="2">
        <f t="shared" si="41"/>
        <v>22.551192</v>
      </c>
      <c r="K51" s="10">
        <f>1-((1-(I51/G51))/INDEX($P$2:$P$6,C51))</f>
        <v>-1.2333333333333334</v>
      </c>
      <c r="L51" s="10">
        <f t="shared" si="44"/>
        <v>3</v>
      </c>
      <c r="M51" s="10">
        <v>0</v>
      </c>
      <c r="N51" s="2">
        <f t="shared" si="45"/>
        <v>3.0839236923076916</v>
      </c>
      <c r="O51" s="2">
        <f t="shared" si="47"/>
        <v>44.408501169230753</v>
      </c>
      <c r="P51" s="2">
        <f t="shared" si="48"/>
        <v>74.014168615384591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5">
        <f t="shared" si="46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19.841239999999999</v>
      </c>
      <c r="G53" s="2">
        <f>IF(G$52=1,H53,H53/(1-INDEX($O$2:$O$6,C53)))</f>
        <v>29.761859999999999</v>
      </c>
      <c r="H53" s="2">
        <f>$F53*(INDEX($F$3:$F$5,H$9)+(($C53+($D53*$F$7))*INDEX($G$3:$G$5,H$9)))</f>
        <v>29.761859999999999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>1-((1-(I53/G53))/INDEX($P$2:$P$6,C53))</f>
        <v>-1.2564102564102564</v>
      </c>
      <c r="L53" s="10">
        <f>(INDEX($Q$2:$Q$6,C53)/((1/INDEX($F$4:$F$6,J$52))-1))</f>
        <v>7.2222222222222229E-2</v>
      </c>
      <c r="M53" s="10">
        <v>0</v>
      </c>
      <c r="N53" s="2">
        <f t="shared" ref="N53:N89" si="49">(AVERAGE(O53,P53)*R53)/Q53</f>
        <v>119.04744000000001</v>
      </c>
      <c r="O53" s="2">
        <f>0.75*(((G53*INDEX($R$1:$R$3,$D53+2))*Q53)/R53)</f>
        <v>634.39754210526314</v>
      </c>
      <c r="P53" s="2">
        <f>1.25*(((G53*INDEX($R$1:$R$3,$D53+2))*Q53)/R53)</f>
        <v>1057.3292368421053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24.81532</v>
      </c>
      <c r="G54" s="2">
        <f>IF(G$52=1,H54,H54/(1-INDEX($O$2:$O$6,C54)))</f>
        <v>39.704512000000001</v>
      </c>
      <c r="H54" s="2">
        <f t="shared" ref="H54:J75" si="50">$F54*(INDEX($F$3:$F$5,H$9)+(($C54+($D54*$F$7))*INDEX($G$3:$G$5,H$9)))</f>
        <v>39.704512000000001</v>
      </c>
      <c r="I54" s="2">
        <f t="shared" si="50"/>
        <v>7.9409023999999988</v>
      </c>
      <c r="J54" s="2">
        <f t="shared" si="50"/>
        <v>1.9852255999999997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9"/>
        <v>158.81804799999998</v>
      </c>
      <c r="O54" s="2">
        <f>0.75*(((G54*INDEX($R$1:$R$3,$D54+2))*Q54)/R54)</f>
        <v>846.33301894736837</v>
      </c>
      <c r="P54" s="2">
        <f>1.25*(((G54*INDEX($R$1:$R$3,$D54+2))*Q54)/R54)</f>
        <v>1410.5550315789471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2.1737634408602156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1">1-((1-(I56/G56))/INDEX($P$2:$P$6,C56))</f>
        <v>-18.1875</v>
      </c>
      <c r="L56" s="10">
        <v>0</v>
      </c>
      <c r="M56" s="10">
        <v>1</v>
      </c>
      <c r="N56" s="2">
        <f t="shared" si="49"/>
        <v>2.1737634408602156</v>
      </c>
      <c r="O56" s="2">
        <f t="shared" ref="O56:O70" si="52">0.75*(((G56*INDEX($R$1:$R$3,$D56+2))*Q56)/R56)</f>
        <v>8.0443548387096797</v>
      </c>
      <c r="P56" s="2">
        <f t="shared" ref="P56:P70" si="53">1.25*(((G56*INDEX($R$1:$R$3,$D56+2))*Q56)/R56)</f>
        <v>13.407258064516132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4">IF(G$55=1,H57,H57/(1-INDEX($O$2:$O$6,C57)))</f>
        <v>1.8279569892473122</v>
      </c>
      <c r="H57" s="2">
        <f>$F57*(0.68-(0.12*$D57))</f>
        <v>1.7000000000000002</v>
      </c>
      <c r="I57" s="2">
        <f t="shared" ref="I57:I70" si="55">$F57*(0.32+(0.12*D57))</f>
        <v>0.8</v>
      </c>
      <c r="J57" s="2">
        <f t="shared" ref="J57:J70" si="56">F57</f>
        <v>2.5</v>
      </c>
      <c r="K57" s="10">
        <f t="shared" si="51"/>
        <v>-13.058823529411768</v>
      </c>
      <c r="L57" s="10">
        <v>0</v>
      </c>
      <c r="M57" s="10">
        <v>1</v>
      </c>
      <c r="N57" s="2">
        <f t="shared" si="49"/>
        <v>3.6559139784946248</v>
      </c>
      <c r="O57" s="2">
        <f t="shared" si="52"/>
        <v>14.280913978494628</v>
      </c>
      <c r="P57" s="2">
        <f t="shared" si="53"/>
        <v>23.801523297491048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5">
        <f t="shared" ref="S57:S69" si="57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4"/>
        <v>1.4891182795698927</v>
      </c>
      <c r="H58" s="2">
        <f t="shared" ref="H58:H70" si="58">$F58*(0.68-(0.12*$D58))</f>
        <v>1.3848800000000001</v>
      </c>
      <c r="I58" s="2">
        <f t="shared" si="55"/>
        <v>1.08812</v>
      </c>
      <c r="J58" s="2">
        <f t="shared" si="56"/>
        <v>2.4729999999999999</v>
      </c>
      <c r="K58" s="10">
        <f t="shared" si="51"/>
        <v>-5.7321428571428612</v>
      </c>
      <c r="L58" s="10">
        <v>0</v>
      </c>
      <c r="M58" s="10">
        <v>1</v>
      </c>
      <c r="N58" s="2">
        <f t="shared" si="49"/>
        <v>5.9564731182795718</v>
      </c>
      <c r="O58" s="2">
        <f t="shared" si="52"/>
        <v>25.00385170919596</v>
      </c>
      <c r="P58" s="2">
        <f t="shared" si="53"/>
        <v>41.67308618199327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5">
        <f t="shared" si="57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1.4039999999999978E-2</v>
      </c>
      <c r="C59" s="2">
        <v>2</v>
      </c>
      <c r="D59" s="2">
        <v>-1</v>
      </c>
      <c r="E59" s="16" t="s">
        <v>72</v>
      </c>
      <c r="F59" s="2">
        <f t="shared" si="10"/>
        <v>5.0140399999999996</v>
      </c>
      <c r="G59" s="2">
        <f t="shared" si="54"/>
        <v>4.6642232558139529</v>
      </c>
      <c r="H59" s="2">
        <f t="shared" si="58"/>
        <v>4.0112319999999997</v>
      </c>
      <c r="I59" s="2">
        <f t="shared" si="55"/>
        <v>1.0028079999999999</v>
      </c>
      <c r="J59" s="2">
        <f t="shared" si="56"/>
        <v>5.0140399999999996</v>
      </c>
      <c r="K59" s="10">
        <f t="shared" si="51"/>
        <v>-3.3611111111111116</v>
      </c>
      <c r="L59" s="10">
        <v>0</v>
      </c>
      <c r="M59" s="10">
        <v>1</v>
      </c>
      <c r="N59" s="2">
        <f t="shared" si="49"/>
        <v>4.6642232558139529</v>
      </c>
      <c r="O59" s="2">
        <f t="shared" si="52"/>
        <v>17.260694614443082</v>
      </c>
      <c r="P59" s="2">
        <f t="shared" si="53"/>
        <v>28.767824357405139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5">
        <f t="shared" si="57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-1.6200000000000016E-2</v>
      </c>
      <c r="C60" s="2">
        <v>2</v>
      </c>
      <c r="D60" s="2">
        <v>0</v>
      </c>
      <c r="E60" s="16" t="s">
        <v>73</v>
      </c>
      <c r="F60" s="2">
        <f t="shared" si="10"/>
        <v>4.9837999999999996</v>
      </c>
      <c r="G60" s="2">
        <f t="shared" si="54"/>
        <v>3.9406790697674419</v>
      </c>
      <c r="H60" s="2">
        <f t="shared" si="58"/>
        <v>3.3889839999999998</v>
      </c>
      <c r="I60" s="2">
        <f t="shared" si="55"/>
        <v>1.5948159999999998</v>
      </c>
      <c r="J60" s="2">
        <f t="shared" si="56"/>
        <v>4.9837999999999996</v>
      </c>
      <c r="K60" s="10">
        <f t="shared" si="51"/>
        <v>-2.3071895424836604</v>
      </c>
      <c r="L60" s="10">
        <v>0</v>
      </c>
      <c r="M60" s="10">
        <v>1</v>
      </c>
      <c r="N60" s="2">
        <f t="shared" si="49"/>
        <v>7.8813581395348837</v>
      </c>
      <c r="O60" s="2">
        <f t="shared" si="52"/>
        <v>30.78655523255814</v>
      </c>
      <c r="P60" s="2">
        <f t="shared" si="53"/>
        <v>51.310925387596896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5">
        <f t="shared" si="57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-4.6440000000000016E-2</v>
      </c>
      <c r="C61" s="2">
        <v>2</v>
      </c>
      <c r="D61" s="2">
        <v>1</v>
      </c>
      <c r="E61" s="16" t="s">
        <v>74</v>
      </c>
      <c r="F61" s="2">
        <f t="shared" si="10"/>
        <v>4.9535600000000004</v>
      </c>
      <c r="G61" s="2">
        <f t="shared" si="54"/>
        <v>3.2255739534883725</v>
      </c>
      <c r="H61" s="2">
        <f t="shared" si="58"/>
        <v>2.7739936000000003</v>
      </c>
      <c r="I61" s="2">
        <f t="shared" si="55"/>
        <v>2.1795664000000001</v>
      </c>
      <c r="J61" s="2">
        <f t="shared" si="56"/>
        <v>4.9535600000000004</v>
      </c>
      <c r="K61" s="10">
        <f t="shared" si="51"/>
        <v>-0.80158730158730163</v>
      </c>
      <c r="L61" s="10">
        <v>0</v>
      </c>
      <c r="M61" s="10">
        <v>1</v>
      </c>
      <c r="N61" s="2">
        <f t="shared" si="49"/>
        <v>12.902295813953492</v>
      </c>
      <c r="O61" s="2">
        <f t="shared" si="52"/>
        <v>54.160756681707753</v>
      </c>
      <c r="P61" s="2">
        <f t="shared" si="53"/>
        <v>90.267927802846245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5">
        <f t="shared" si="57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1.0799999999999983E-3</v>
      </c>
      <c r="C62" s="2">
        <v>3</v>
      </c>
      <c r="D62" s="2">
        <v>-1</v>
      </c>
      <c r="E62" s="16" t="s">
        <v>75</v>
      </c>
      <c r="F62" s="2">
        <f t="shared" si="10"/>
        <v>7.50108</v>
      </c>
      <c r="G62" s="2">
        <f t="shared" si="54"/>
        <v>7.5960303797468347</v>
      </c>
      <c r="H62" s="2">
        <f t="shared" si="58"/>
        <v>6.000864</v>
      </c>
      <c r="I62" s="2">
        <f t="shared" si="55"/>
        <v>1.500216</v>
      </c>
      <c r="J62" s="2">
        <f t="shared" si="56"/>
        <v>7.50108</v>
      </c>
      <c r="K62" s="10">
        <f t="shared" si="51"/>
        <v>-1.6750000000000003</v>
      </c>
      <c r="L62" s="10">
        <v>0</v>
      </c>
      <c r="M62" s="10">
        <v>1</v>
      </c>
      <c r="N62" s="2">
        <f t="shared" si="49"/>
        <v>7.5960303797468347</v>
      </c>
      <c r="O62" s="2">
        <f t="shared" si="52"/>
        <v>28.110309793471018</v>
      </c>
      <c r="P62" s="2">
        <f t="shared" si="53"/>
        <v>46.850516322451696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5">
        <f t="shared" si="57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-3.2399999999999991E-2</v>
      </c>
      <c r="C63" s="2">
        <v>3</v>
      </c>
      <c r="D63" s="2">
        <v>0</v>
      </c>
      <c r="E63" s="16" t="s">
        <v>76</v>
      </c>
      <c r="F63" s="2">
        <f t="shared" si="10"/>
        <v>7.4676</v>
      </c>
      <c r="G63" s="2">
        <f t="shared" si="54"/>
        <v>6.4278075949367093</v>
      </c>
      <c r="H63" s="2">
        <f t="shared" si="58"/>
        <v>5.0779680000000003</v>
      </c>
      <c r="I63" s="2">
        <f t="shared" si="55"/>
        <v>2.3896320000000002</v>
      </c>
      <c r="J63" s="2">
        <f t="shared" si="56"/>
        <v>7.4676</v>
      </c>
      <c r="K63" s="10">
        <f t="shared" si="51"/>
        <v>-1.0941176470588236</v>
      </c>
      <c r="L63" s="10">
        <v>0</v>
      </c>
      <c r="M63" s="10">
        <v>1</v>
      </c>
      <c r="N63" s="2">
        <f t="shared" si="49"/>
        <v>12.855615189873419</v>
      </c>
      <c r="O63" s="2">
        <f t="shared" si="52"/>
        <v>50.217246835443042</v>
      </c>
      <c r="P63" s="2">
        <f t="shared" si="53"/>
        <v>83.695411392405077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5">
        <f t="shared" si="57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-6.587999999999998E-2</v>
      </c>
      <c r="C64" s="2">
        <v>3</v>
      </c>
      <c r="D64" s="2">
        <v>1</v>
      </c>
      <c r="E64" s="16" t="s">
        <v>77</v>
      </c>
      <c r="F64" s="2">
        <f t="shared" si="10"/>
        <v>7.4341200000000001</v>
      </c>
      <c r="G64" s="2">
        <f t="shared" si="54"/>
        <v>5.2697559493670889</v>
      </c>
      <c r="H64" s="2">
        <f t="shared" si="58"/>
        <v>4.1631072000000007</v>
      </c>
      <c r="I64" s="2">
        <f t="shared" si="55"/>
        <v>3.2710127999999998</v>
      </c>
      <c r="J64" s="2">
        <f t="shared" si="56"/>
        <v>7.4341200000000001</v>
      </c>
      <c r="K64" s="10">
        <f t="shared" si="51"/>
        <v>-0.26428571428571446</v>
      </c>
      <c r="L64" s="10">
        <v>0</v>
      </c>
      <c r="M64" s="10">
        <v>1</v>
      </c>
      <c r="N64" s="2">
        <f t="shared" si="49"/>
        <v>21.079023797468356</v>
      </c>
      <c r="O64" s="2">
        <f t="shared" si="52"/>
        <v>88.48470810504439</v>
      </c>
      <c r="P64" s="2">
        <f t="shared" si="53"/>
        <v>147.47451350840731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5">
        <f t="shared" si="57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-1.1879999999999981E-2</v>
      </c>
      <c r="C65" s="2">
        <v>4</v>
      </c>
      <c r="D65" s="2">
        <v>-1</v>
      </c>
      <c r="E65" s="16" t="s">
        <v>78</v>
      </c>
      <c r="F65" s="2">
        <f t="shared" si="10"/>
        <v>9.9881200000000003</v>
      </c>
      <c r="G65" s="2">
        <f t="shared" si="54"/>
        <v>11.097911111111111</v>
      </c>
      <c r="H65" s="2">
        <f t="shared" si="58"/>
        <v>7.9904960000000003</v>
      </c>
      <c r="I65" s="2">
        <f t="shared" si="55"/>
        <v>1.9976240000000001</v>
      </c>
      <c r="J65" s="2">
        <f t="shared" si="56"/>
        <v>9.9881200000000003</v>
      </c>
      <c r="K65" s="10">
        <f t="shared" si="51"/>
        <v>-1.523076923076923</v>
      </c>
      <c r="L65" s="10">
        <v>0</v>
      </c>
      <c r="M65" s="10">
        <v>1</v>
      </c>
      <c r="N65" s="2">
        <f t="shared" si="49"/>
        <v>11.097911111111111</v>
      </c>
      <c r="O65" s="2">
        <f t="shared" si="52"/>
        <v>41.069572368421056</v>
      </c>
      <c r="P65" s="2">
        <f t="shared" si="53"/>
        <v>68.449287280701753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5">
        <f t="shared" si="57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-4.859999999999999E-2</v>
      </c>
      <c r="C66" s="2">
        <v>4</v>
      </c>
      <c r="D66" s="2">
        <v>0</v>
      </c>
      <c r="E66" s="16" t="s">
        <v>79</v>
      </c>
      <c r="F66" s="2">
        <f t="shared" si="10"/>
        <v>9.9513999999999996</v>
      </c>
      <c r="G66" s="2">
        <f t="shared" si="54"/>
        <v>9.398544444444445</v>
      </c>
      <c r="H66" s="2">
        <f t="shared" si="58"/>
        <v>6.7669519999999999</v>
      </c>
      <c r="I66" s="2">
        <f t="shared" si="55"/>
        <v>3.1844479999999997</v>
      </c>
      <c r="J66" s="2">
        <f t="shared" si="56"/>
        <v>9.9513999999999996</v>
      </c>
      <c r="K66" s="10">
        <f t="shared" si="51"/>
        <v>-1.0343891402714935</v>
      </c>
      <c r="L66" s="10">
        <v>0</v>
      </c>
      <c r="M66" s="10">
        <v>1</v>
      </c>
      <c r="N66" s="2">
        <f t="shared" si="49"/>
        <v>18.79708888888889</v>
      </c>
      <c r="O66" s="2">
        <f t="shared" si="52"/>
        <v>73.426128472222231</v>
      </c>
      <c r="P66" s="2">
        <f t="shared" si="53"/>
        <v>122.37688078703705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5">
        <f t="shared" si="57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-8.5319999999999993E-2</v>
      </c>
      <c r="C67" s="2">
        <v>4</v>
      </c>
      <c r="D67" s="2">
        <v>1</v>
      </c>
      <c r="E67" s="16" t="s">
        <v>80</v>
      </c>
      <c r="F67" s="2">
        <f t="shared" si="10"/>
        <v>9.9146800000000006</v>
      </c>
      <c r="G67" s="2">
        <f t="shared" si="54"/>
        <v>7.711417777777779</v>
      </c>
      <c r="H67" s="2">
        <f t="shared" si="58"/>
        <v>5.5522208000000006</v>
      </c>
      <c r="I67" s="2">
        <f t="shared" si="55"/>
        <v>4.3624592</v>
      </c>
      <c r="J67" s="2">
        <f t="shared" si="56"/>
        <v>9.9146800000000006</v>
      </c>
      <c r="K67" s="10">
        <f t="shared" si="51"/>
        <v>-0.33626373626373662</v>
      </c>
      <c r="L67" s="10">
        <v>0</v>
      </c>
      <c r="M67" s="10">
        <v>1</v>
      </c>
      <c r="N67" s="2">
        <f t="shared" si="49"/>
        <v>30.84567111111112</v>
      </c>
      <c r="O67" s="2">
        <f t="shared" si="52"/>
        <v>129.48276119402988</v>
      </c>
      <c r="P67" s="2">
        <f t="shared" si="53"/>
        <v>215.80460199004978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5">
        <f t="shared" si="57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-2.4840000000000004E-2</v>
      </c>
      <c r="C68" s="2">
        <v>5</v>
      </c>
      <c r="D68" s="2">
        <v>-1</v>
      </c>
      <c r="E68" s="16" t="s">
        <v>81</v>
      </c>
      <c r="F68" s="2">
        <f t="shared" si="10"/>
        <v>12.475160000000001</v>
      </c>
      <c r="G68" s="2">
        <f t="shared" si="54"/>
        <v>15.35404307692308</v>
      </c>
      <c r="H68" s="2">
        <f t="shared" si="58"/>
        <v>9.9801280000000006</v>
      </c>
      <c r="I68" s="2">
        <f t="shared" si="55"/>
        <v>2.4950320000000001</v>
      </c>
      <c r="J68" s="2">
        <f t="shared" si="56"/>
        <v>12.475160000000001</v>
      </c>
      <c r="K68" s="10">
        <f t="shared" si="51"/>
        <v>-1.2333333333333334</v>
      </c>
      <c r="L68" s="10">
        <v>0</v>
      </c>
      <c r="M68" s="10">
        <v>1</v>
      </c>
      <c r="N68" s="2">
        <f t="shared" si="49"/>
        <v>15.35404307692308</v>
      </c>
      <c r="O68" s="2">
        <f t="shared" si="52"/>
        <v>56.820060728744949</v>
      </c>
      <c r="P68" s="2">
        <f t="shared" si="53"/>
        <v>94.700101214574914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5">
        <f t="shared" si="57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-6.4799999999999983E-2</v>
      </c>
      <c r="C69" s="2">
        <v>5</v>
      </c>
      <c r="D69" s="2">
        <v>0</v>
      </c>
      <c r="E69" s="16" t="s">
        <v>82</v>
      </c>
      <c r="F69" s="2">
        <f t="shared" si="10"/>
        <v>12.4352</v>
      </c>
      <c r="G69" s="2">
        <f t="shared" si="54"/>
        <v>13.009132307692312</v>
      </c>
      <c r="H69" s="2">
        <f>$F69*(0.68-(0.12*$D69))</f>
        <v>8.4559360000000012</v>
      </c>
      <c r="I69" s="2">
        <f t="shared" si="55"/>
        <v>3.9792640000000001</v>
      </c>
      <c r="J69" s="2">
        <f t="shared" si="56"/>
        <v>12.4352</v>
      </c>
      <c r="K69" s="10">
        <f t="shared" si="51"/>
        <v>-0.85098039215686305</v>
      </c>
      <c r="L69" s="10">
        <v>0</v>
      </c>
      <c r="M69" s="10">
        <v>1</v>
      </c>
      <c r="N69" s="2">
        <f t="shared" si="49"/>
        <v>26.018264615384627</v>
      </c>
      <c r="O69" s="2">
        <f t="shared" si="52"/>
        <v>101.63384615384621</v>
      </c>
      <c r="P69" s="2">
        <f t="shared" si="53"/>
        <v>169.38974358974366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5">
        <f t="shared" si="57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-0.10476000000000001</v>
      </c>
      <c r="C70" s="2">
        <v>5</v>
      </c>
      <c r="D70" s="2">
        <v>1</v>
      </c>
      <c r="E70" s="16" t="s">
        <v>83</v>
      </c>
      <c r="F70" s="2">
        <f t="shared" si="10"/>
        <v>12.395239999999999</v>
      </c>
      <c r="G70" s="2">
        <f t="shared" si="54"/>
        <v>10.678976000000002</v>
      </c>
      <c r="H70" s="2">
        <f t="shared" si="58"/>
        <v>6.9413344000000006</v>
      </c>
      <c r="I70" s="2">
        <f t="shared" si="55"/>
        <v>5.4539055999999997</v>
      </c>
      <c r="J70" s="2">
        <f t="shared" si="56"/>
        <v>12.395239999999999</v>
      </c>
      <c r="K70" s="10">
        <f t="shared" si="51"/>
        <v>-0.30476190476190523</v>
      </c>
      <c r="L70" s="10">
        <v>0</v>
      </c>
      <c r="M70" s="10">
        <v>1</v>
      </c>
      <c r="N70" s="2">
        <f t="shared" si="49"/>
        <v>42.715904000000009</v>
      </c>
      <c r="O70" s="2">
        <f t="shared" si="52"/>
        <v>179.31116417910451</v>
      </c>
      <c r="P70" s="2">
        <f t="shared" si="53"/>
        <v>298.85194029850754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</row>
    <row r="72" spans="1:21" x14ac:dyDescent="0.25">
      <c r="A72" s="21">
        <f t="shared" si="9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9">($F$2+(C72*$F$1))*(B72+1)</f>
        <v>20</v>
      </c>
      <c r="G72" s="26">
        <f>IF(G$71=1,H72,H72/(1-INDEX($O$2:$O$6,C72)))</f>
        <v>41.666666666666671</v>
      </c>
      <c r="H72" s="26">
        <f>$F72*(INDEX($F$3:$F$5,H$71)+(($C72+($D72*$F$7))*INDEX($G$3:$G$5,H$71)))</f>
        <v>30</v>
      </c>
      <c r="I72" s="26">
        <f t="shared" ref="I72:J73" si="60">$F72*(INDEX($F$3:$F$5,I$71)+(($C72+($D72*$F$7))*INDEX($G$3:$G$5,I$71)))</f>
        <v>1.9999999999999998</v>
      </c>
      <c r="J72" s="26">
        <f t="shared" si="60"/>
        <v>1.9999999999999998</v>
      </c>
      <c r="K72" s="10">
        <f>1-((1-(I72/G72))/INDEX($P$2:$P$6,C72))</f>
        <v>-1.9292307692307689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166.66666666666669</v>
      </c>
      <c r="O72" s="2">
        <f>0.75*(((G72*INDEX($R$1:$R$3,$D72+2))*Q72)/R72)</f>
        <v>1785.7142857142862</v>
      </c>
      <c r="P72" s="2">
        <f>1.25*(((G72*INDEX($R$1:$R$3,$D72+2))*Q72)/R72)</f>
        <v>2976.1904761904771</v>
      </c>
      <c r="Q72" s="2">
        <v>10</v>
      </c>
      <c r="R72" s="2">
        <f>VLOOKUP(E72,weapon_components!$A$8:$M$178,13,0)</f>
        <v>0.7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61.538461538461547</v>
      </c>
      <c r="H73" s="26">
        <f>$F73*(INDEX($F$3:$F$5,H$71)+(($C73+($D73*$F$7))*INDEX($G$3:$G$5,H$71)))</f>
        <v>40</v>
      </c>
      <c r="I73" s="26">
        <f t="shared" si="60"/>
        <v>1.9999999999999998</v>
      </c>
      <c r="J73" s="26">
        <f t="shared" si="60"/>
        <v>1.9999999999999998</v>
      </c>
      <c r="K73" s="10">
        <f>1-((1-(I73/G73))/INDEX($P$2:$P$6,C73))</f>
        <v>-1.58</v>
      </c>
      <c r="L73" s="10">
        <f>(INDEX($Q$2:$Q$6,C73)/((1/INDEX($F$4:$F$6,J$71))-1))</f>
        <v>8.3333333333333329E-2</v>
      </c>
      <c r="M73" s="10">
        <v>0</v>
      </c>
      <c r="N73" s="2">
        <f t="shared" si="49"/>
        <v>246.15384615384625</v>
      </c>
      <c r="O73" s="2">
        <f>0.75*(((G73*INDEX($R$1:$R$3,$D73+2))*Q73)/R73)</f>
        <v>2637.362637362638</v>
      </c>
      <c r="P73" s="2">
        <f>1.25*(((G73*INDEX($R$1:$R$3,$D73+2))*Q73)/R73)</f>
        <v>4395.6043956043968</v>
      </c>
      <c r="Q73" s="2">
        <v>10</v>
      </c>
      <c r="R73" s="2">
        <f>VLOOKUP(E73,weapon_components!$A$8:$M$178,13,0)</f>
        <v>0.7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1.0799999999999983E-3</v>
      </c>
      <c r="C75" s="2">
        <v>3</v>
      </c>
      <c r="D75" s="2">
        <v>-1</v>
      </c>
      <c r="E75" s="16" t="s">
        <v>88</v>
      </c>
      <c r="F75" s="2">
        <f t="shared" si="59"/>
        <v>7.5</v>
      </c>
      <c r="G75" s="2">
        <f>IF(G$74=1,H75,H75/(1-INDEX($O$2:$O$6,C75)))</f>
        <v>4.1772151898734169</v>
      </c>
      <c r="H75" s="2">
        <f>$F75*(0.32-(0.12*$D75))</f>
        <v>3.3</v>
      </c>
      <c r="I75" s="2">
        <f>$F75*(0.68+(0.12*D75))</f>
        <v>4.2</v>
      </c>
      <c r="J75" s="2">
        <f t="shared" si="50"/>
        <v>1.2</v>
      </c>
      <c r="K75" s="10">
        <f t="shared" si="24"/>
        <v>1.0181818181818187</v>
      </c>
      <c r="L75" s="10">
        <v>0</v>
      </c>
      <c r="M75" s="10">
        <v>1</v>
      </c>
      <c r="N75" s="2">
        <f t="shared" si="49"/>
        <v>4.1772151898734169</v>
      </c>
      <c r="O75" s="2">
        <f t="shared" ref="O75:O83" si="61">0.75*(((G75*INDEX($R$1:$R$3,$D75+2))*Q75)/R75)</f>
        <v>12.03496449521457</v>
      </c>
      <c r="P75" s="2">
        <f t="shared" ref="P75:P83" si="62">1.25*(((G75*INDEX($R$1:$R$3,$D75+2))*Q75)/R75)</f>
        <v>20.058274158690953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3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4">($F$2+(C76*$F$1))*(B76+1)</f>
        <v>7.5</v>
      </c>
      <c r="G76" s="2">
        <f t="shared" ref="G76:G83" si="65">IF(G$74=1,H76,H76/(1-INDEX($O$2:$O$6,C76)))</f>
        <v>3.0379746835443036</v>
      </c>
      <c r="H76" s="2">
        <f t="shared" ref="H76:H83" si="66">$F76*(0.32-(0.12*$D76))</f>
        <v>2.4</v>
      </c>
      <c r="I76" s="2">
        <f t="shared" ref="I76:I83" si="67">$F76*(0.68+(0.12*D76))</f>
        <v>5.1000000000000005</v>
      </c>
      <c r="J76" s="2">
        <f t="shared" ref="H76:J86" si="68">$F76*(INDEX($F$3:$F$5,J$9)+(($C76+($D76*$F$7))*INDEX($G$3:$G$5,J$9)))</f>
        <v>1.05</v>
      </c>
      <c r="K76" s="10">
        <f t="shared" si="24"/>
        <v>3.2625000000000015</v>
      </c>
      <c r="L76" s="10">
        <v>0</v>
      </c>
      <c r="M76" s="10">
        <v>1</v>
      </c>
      <c r="N76" s="2">
        <f t="shared" si="49"/>
        <v>6.0759493670886071</v>
      </c>
      <c r="O76" s="2">
        <f t="shared" si="61"/>
        <v>17.943037974683541</v>
      </c>
      <c r="P76" s="2">
        <f t="shared" si="62"/>
        <v>29.905063291139236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5">
        <f t="shared" ref="S76:S83" si="69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3"/>
        <v>-6.587999999999998E-2</v>
      </c>
      <c r="C77" s="2">
        <v>3</v>
      </c>
      <c r="D77" s="2">
        <v>1</v>
      </c>
      <c r="E77" s="16" t="s">
        <v>90</v>
      </c>
      <c r="F77" s="2">
        <f t="shared" si="64"/>
        <v>7.5</v>
      </c>
      <c r="G77" s="2">
        <f t="shared" si="65"/>
        <v>1.8987341772151898</v>
      </c>
      <c r="H77" s="2">
        <f t="shared" si="66"/>
        <v>1.5</v>
      </c>
      <c r="I77" s="2">
        <f t="shared" si="67"/>
        <v>6</v>
      </c>
      <c r="J77" s="2">
        <f t="shared" si="68"/>
        <v>0.89999999999999991</v>
      </c>
      <c r="K77" s="10">
        <f t="shared" si="24"/>
        <v>8.2000000000000011</v>
      </c>
      <c r="L77" s="10">
        <v>0</v>
      </c>
      <c r="M77" s="10">
        <v>1</v>
      </c>
      <c r="N77" s="2">
        <f t="shared" si="49"/>
        <v>7.59493670886076</v>
      </c>
      <c r="O77" s="2">
        <f t="shared" si="61"/>
        <v>23.924050632911392</v>
      </c>
      <c r="P77" s="2">
        <f t="shared" si="62"/>
        <v>39.87341772151899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5">
        <f t="shared" si="69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3"/>
        <v>-1.1879999999999981E-2</v>
      </c>
      <c r="C78" s="2">
        <v>4</v>
      </c>
      <c r="D78" s="2">
        <v>-1</v>
      </c>
      <c r="E78" s="16" t="s">
        <v>91</v>
      </c>
      <c r="F78" s="2">
        <f t="shared" si="64"/>
        <v>10</v>
      </c>
      <c r="G78" s="2">
        <f t="shared" si="65"/>
        <v>6.1111111111111116</v>
      </c>
      <c r="H78" s="2">
        <f t="shared" si="66"/>
        <v>4.4000000000000004</v>
      </c>
      <c r="I78" s="2">
        <f t="shared" si="67"/>
        <v>5.6000000000000005</v>
      </c>
      <c r="J78" s="2">
        <f t="shared" si="68"/>
        <v>1.4000000000000001</v>
      </c>
      <c r="K78" s="10">
        <f t="shared" si="24"/>
        <v>0.74265734265734273</v>
      </c>
      <c r="L78" s="10">
        <v>0</v>
      </c>
      <c r="M78" s="10">
        <v>1</v>
      </c>
      <c r="N78" s="2">
        <f t="shared" si="49"/>
        <v>6.1111111111111116</v>
      </c>
      <c r="O78" s="2">
        <f t="shared" si="61"/>
        <v>17.606707317073173</v>
      </c>
      <c r="P78" s="2">
        <f t="shared" si="62"/>
        <v>29.344512195121951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5">
        <f t="shared" si="69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3"/>
        <v>-4.859999999999999E-2</v>
      </c>
      <c r="C79" s="2">
        <v>4</v>
      </c>
      <c r="D79" s="2">
        <v>0</v>
      </c>
      <c r="E79" s="16" t="s">
        <v>92</v>
      </c>
      <c r="F79" s="2">
        <f t="shared" si="64"/>
        <v>10</v>
      </c>
      <c r="G79" s="2">
        <f t="shared" si="65"/>
        <v>4.4444444444444446</v>
      </c>
      <c r="H79" s="2">
        <f t="shared" si="66"/>
        <v>3.2</v>
      </c>
      <c r="I79" s="2">
        <f t="shared" si="67"/>
        <v>6.8000000000000007</v>
      </c>
      <c r="J79" s="2">
        <f t="shared" si="68"/>
        <v>1.2</v>
      </c>
      <c r="K79" s="10">
        <f t="shared" si="24"/>
        <v>2.6307692307692307</v>
      </c>
      <c r="L79" s="10">
        <v>0</v>
      </c>
      <c r="M79" s="10">
        <v>1</v>
      </c>
      <c r="N79" s="2">
        <f t="shared" si="49"/>
        <v>8.8888888888888893</v>
      </c>
      <c r="O79" s="2">
        <f t="shared" si="61"/>
        <v>26.25</v>
      </c>
      <c r="P79" s="2">
        <f t="shared" si="62"/>
        <v>43.75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5">
        <f t="shared" si="69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3"/>
        <v>-8.5319999999999993E-2</v>
      </c>
      <c r="C80" s="2">
        <v>4</v>
      </c>
      <c r="D80" s="2">
        <v>1</v>
      </c>
      <c r="E80" s="16" t="s">
        <v>93</v>
      </c>
      <c r="F80" s="2">
        <f t="shared" si="64"/>
        <v>10</v>
      </c>
      <c r="G80" s="2">
        <f t="shared" si="65"/>
        <v>2.7777777777777777</v>
      </c>
      <c r="H80" s="2">
        <f t="shared" si="66"/>
        <v>2</v>
      </c>
      <c r="I80" s="2">
        <f t="shared" si="67"/>
        <v>8</v>
      </c>
      <c r="J80" s="2">
        <f t="shared" si="68"/>
        <v>0.99999999999999989</v>
      </c>
      <c r="K80" s="10">
        <f t="shared" si="24"/>
        <v>6.7846153846153845</v>
      </c>
      <c r="L80" s="10">
        <v>0</v>
      </c>
      <c r="M80" s="10">
        <v>1</v>
      </c>
      <c r="N80" s="2">
        <f t="shared" si="49"/>
        <v>11.111111111111111</v>
      </c>
      <c r="O80" s="2">
        <f t="shared" si="61"/>
        <v>35</v>
      </c>
      <c r="P80" s="2">
        <f t="shared" si="62"/>
        <v>58.333333333333329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5">
        <f t="shared" si="69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3"/>
        <v>-2.4840000000000004E-2</v>
      </c>
      <c r="C81" s="2">
        <v>5</v>
      </c>
      <c r="D81" s="2">
        <v>-1</v>
      </c>
      <c r="E81" s="16" t="s">
        <v>94</v>
      </c>
      <c r="F81" s="2">
        <f t="shared" si="64"/>
        <v>12.5</v>
      </c>
      <c r="G81" s="2">
        <f t="shared" si="65"/>
        <v>8.4615384615384635</v>
      </c>
      <c r="H81" s="2">
        <f t="shared" si="66"/>
        <v>5.5</v>
      </c>
      <c r="I81" s="2">
        <f t="shared" si="67"/>
        <v>7.0000000000000009</v>
      </c>
      <c r="J81" s="2">
        <f t="shared" si="68"/>
        <v>1.5</v>
      </c>
      <c r="K81" s="10">
        <f t="shared" si="24"/>
        <v>0.53939393939393909</v>
      </c>
      <c r="L81" s="10">
        <v>0</v>
      </c>
      <c r="M81" s="10">
        <v>1</v>
      </c>
      <c r="N81" s="2">
        <f t="shared" si="49"/>
        <v>8.4615384615384652</v>
      </c>
      <c r="O81" s="2">
        <f t="shared" si="61"/>
        <v>24.378517823639783</v>
      </c>
      <c r="P81" s="2">
        <f t="shared" si="62"/>
        <v>40.630863039399642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5">
        <f t="shared" si="69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3"/>
        <v>-6.4799999999999983E-2</v>
      </c>
      <c r="C82" s="2">
        <v>5</v>
      </c>
      <c r="D82" s="2">
        <v>0</v>
      </c>
      <c r="E82" s="16" t="s">
        <v>95</v>
      </c>
      <c r="F82" s="2">
        <f t="shared" si="64"/>
        <v>12.5</v>
      </c>
      <c r="G82" s="2">
        <f t="shared" si="65"/>
        <v>6.1538461538461551</v>
      </c>
      <c r="H82" s="2">
        <f t="shared" si="66"/>
        <v>4</v>
      </c>
      <c r="I82" s="2">
        <f t="shared" si="67"/>
        <v>8.5</v>
      </c>
      <c r="J82" s="2">
        <f t="shared" si="68"/>
        <v>1.25</v>
      </c>
      <c r="K82" s="10">
        <f t="shared" si="24"/>
        <v>2.0166666666666657</v>
      </c>
      <c r="L82" s="10">
        <v>0</v>
      </c>
      <c r="M82" s="10">
        <v>1</v>
      </c>
      <c r="N82" s="2">
        <f t="shared" si="49"/>
        <v>12.30769230769231</v>
      </c>
      <c r="O82" s="2">
        <f t="shared" si="61"/>
        <v>36.346153846153854</v>
      </c>
      <c r="P82" s="2">
        <f t="shared" si="62"/>
        <v>60.57692307692308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5">
        <f t="shared" si="69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3"/>
        <v>-0.10476000000000001</v>
      </c>
      <c r="C83" s="2">
        <v>5</v>
      </c>
      <c r="D83" s="2">
        <v>1</v>
      </c>
      <c r="E83" s="16" t="s">
        <v>96</v>
      </c>
      <c r="F83" s="2">
        <f t="shared" si="64"/>
        <v>12.5</v>
      </c>
      <c r="G83" s="2">
        <f t="shared" si="65"/>
        <v>3.8461538461538467</v>
      </c>
      <c r="H83" s="2">
        <f t="shared" si="66"/>
        <v>2.5</v>
      </c>
      <c r="I83" s="2">
        <f t="shared" si="67"/>
        <v>10</v>
      </c>
      <c r="J83" s="2">
        <f t="shared" si="68"/>
        <v>0.99999999999999989</v>
      </c>
      <c r="K83" s="10">
        <f t="shared" si="24"/>
        <v>5.2666666666666657</v>
      </c>
      <c r="L83" s="10">
        <v>0</v>
      </c>
      <c r="M83" s="10">
        <v>1</v>
      </c>
      <c r="N83" s="2">
        <f t="shared" si="49"/>
        <v>15.384615384615387</v>
      </c>
      <c r="O83" s="2">
        <f t="shared" si="61"/>
        <v>48.461538461538467</v>
      </c>
      <c r="P83" s="2">
        <f t="shared" si="62"/>
        <v>80.769230769230788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5">
        <f t="shared" si="69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3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3"/>
        <v>0.09</v>
      </c>
      <c r="C85">
        <v>4</v>
      </c>
      <c r="D85">
        <v>1</v>
      </c>
      <c r="E85" s="5" t="s">
        <v>98</v>
      </c>
      <c r="F85" s="2">
        <f t="shared" si="64"/>
        <v>10</v>
      </c>
      <c r="G85" s="2">
        <f>IF(G$84=1,H85,H85/(1-INDEX($O$2:$O$6,C85)))</f>
        <v>20.833333333333336</v>
      </c>
      <c r="H85" s="2">
        <f t="shared" si="68"/>
        <v>15</v>
      </c>
      <c r="I85" s="2">
        <f t="shared" si="68"/>
        <v>3.9999999999999996</v>
      </c>
      <c r="J85" s="2">
        <f t="shared" si="68"/>
        <v>0.99999999999999989</v>
      </c>
      <c r="K85" s="10">
        <v>-1</v>
      </c>
      <c r="L85" s="10">
        <f t="shared" ref="L85" si="70">J85/F85</f>
        <v>9.9999999999999992E-2</v>
      </c>
      <c r="M85" s="10">
        <v>0</v>
      </c>
      <c r="N85" s="2">
        <f t="shared" si="49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3"/>
        <v>7.4999999999999997E-2</v>
      </c>
      <c r="C86">
        <v>5</v>
      </c>
      <c r="D86">
        <v>1</v>
      </c>
      <c r="E86" s="5" t="s">
        <v>99</v>
      </c>
      <c r="F86" s="2">
        <f t="shared" si="64"/>
        <v>12.5</v>
      </c>
      <c r="G86" s="2">
        <f>IF(G$84=1,H86,H86/(1-INDEX($O$2:$O$6,C86)))</f>
        <v>30.769230769230774</v>
      </c>
      <c r="H86" s="2">
        <f t="shared" si="68"/>
        <v>20</v>
      </c>
      <c r="I86" s="2">
        <f t="shared" si="68"/>
        <v>3.9999999999999996</v>
      </c>
      <c r="J86" s="2">
        <f t="shared" si="68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3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3"/>
        <v>-9.0000000000000011E-3</v>
      </c>
      <c r="C88" s="2">
        <v>1</v>
      </c>
      <c r="D88" s="2">
        <v>-1</v>
      </c>
      <c r="E88" s="5" t="s">
        <v>101</v>
      </c>
      <c r="F88" s="2">
        <f t="shared" si="64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71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4"/>
        <v>-3.9999999999999991</v>
      </c>
      <c r="L88" s="10">
        <v>0</v>
      </c>
      <c r="M88" s="10">
        <v>1</v>
      </c>
      <c r="N88" s="2">
        <f t="shared" si="49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3"/>
        <v>-4.4999999999999998E-2</v>
      </c>
      <c r="C89" s="2">
        <v>1</v>
      </c>
      <c r="D89" s="2">
        <v>0</v>
      </c>
      <c r="E89" s="5" t="s">
        <v>102</v>
      </c>
      <c r="F89" s="2">
        <f t="shared" si="64"/>
        <v>2.5</v>
      </c>
      <c r="G89" s="2">
        <f t="shared" ref="G89:G102" si="72">IF(G$87=1,H89,H89/(1-INDEX($O$2:$O$6,C89)))</f>
        <v>2.75</v>
      </c>
      <c r="H89" s="2">
        <f t="shared" si="71"/>
        <v>2.75</v>
      </c>
      <c r="I89" s="2">
        <f t="shared" si="71"/>
        <v>1.7999999999999998</v>
      </c>
      <c r="J89" s="2">
        <f t="shared" si="71"/>
        <v>2.4500000000000002</v>
      </c>
      <c r="K89" s="10">
        <f t="shared" si="24"/>
        <v>-7.6363636363636385</v>
      </c>
      <c r="L89" s="10">
        <v>0</v>
      </c>
      <c r="M89" s="10">
        <v>1</v>
      </c>
      <c r="N89" s="2">
        <f t="shared" si="49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5">
        <f t="shared" ref="S89:S102" si="73">($S$87)*(1+(D89*$F$8))*(1+((C89-1)*$J$3))</f>
        <v>60</v>
      </c>
      <c r="T89" s="2">
        <f t="shared" ref="T89:T115" si="74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3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2"/>
        <v>3</v>
      </c>
      <c r="H90" s="2">
        <f t="shared" si="71"/>
        <v>3</v>
      </c>
      <c r="I90" s="2">
        <f t="shared" si="71"/>
        <v>1.6</v>
      </c>
      <c r="J90" s="2">
        <f t="shared" si="71"/>
        <v>2.4</v>
      </c>
      <c r="K90" s="10">
        <f t="shared" ref="K90:K102" si="75">1-((1-(I90/G90))/INDEX($P$2:$P$6,C90))</f>
        <v>-10.666666666666666</v>
      </c>
      <c r="L90" s="10">
        <v>0</v>
      </c>
      <c r="M90" s="10">
        <v>1</v>
      </c>
      <c r="N90" s="2">
        <f t="shared" ref="N90:N115" si="76">(AVERAGE(O90,P90)*R90)/Q90</f>
        <v>12</v>
      </c>
      <c r="O90" s="2">
        <f t="shared" ref="O90:O115" si="77">0.75*(((G90*INDEX($R$1:$R$3,$D90+2))*Q90)/R90)</f>
        <v>49.5</v>
      </c>
      <c r="P90" s="2">
        <f t="shared" ref="P90:P115" si="78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5">
        <f t="shared" si="73"/>
        <v>72</v>
      </c>
      <c r="T90" s="2">
        <f t="shared" si="74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3"/>
        <v>-2.6280000000000015E-2</v>
      </c>
      <c r="C91" s="2">
        <v>2</v>
      </c>
      <c r="D91" s="2">
        <v>-1</v>
      </c>
      <c r="E91" s="5" t="s">
        <v>104</v>
      </c>
      <c r="F91" s="2">
        <f t="shared" si="64"/>
        <v>5</v>
      </c>
      <c r="G91" s="2">
        <f t="shared" si="72"/>
        <v>5.5</v>
      </c>
      <c r="H91" s="2">
        <f t="shared" si="71"/>
        <v>5.5</v>
      </c>
      <c r="I91" s="2">
        <f t="shared" si="71"/>
        <v>3.5999999999999996</v>
      </c>
      <c r="J91" s="2">
        <f t="shared" si="71"/>
        <v>4.9000000000000004</v>
      </c>
      <c r="K91" s="10">
        <f t="shared" si="75"/>
        <v>-0.91919191919192</v>
      </c>
      <c r="L91" s="10">
        <v>0</v>
      </c>
      <c r="M91" s="10">
        <v>1</v>
      </c>
      <c r="N91" s="2">
        <f t="shared" si="76"/>
        <v>5.5</v>
      </c>
      <c r="O91" s="2">
        <f t="shared" si="77"/>
        <v>22.6875</v>
      </c>
      <c r="P91" s="2">
        <f t="shared" si="78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5">
        <f t="shared" si="73"/>
        <v>53.760000000000005</v>
      </c>
      <c r="T91" s="2">
        <f t="shared" si="74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3"/>
        <v>-6.6600000000000006E-2</v>
      </c>
      <c r="C92" s="2">
        <v>2</v>
      </c>
      <c r="D92" s="2">
        <v>0</v>
      </c>
      <c r="E92" s="5" t="s">
        <v>105</v>
      </c>
      <c r="F92" s="2">
        <f t="shared" si="64"/>
        <v>5</v>
      </c>
      <c r="G92" s="2">
        <f t="shared" si="72"/>
        <v>6</v>
      </c>
      <c r="H92" s="2">
        <f t="shared" si="71"/>
        <v>6</v>
      </c>
      <c r="I92" s="2">
        <f t="shared" si="71"/>
        <v>3.2</v>
      </c>
      <c r="J92" s="2">
        <f t="shared" si="71"/>
        <v>4.8</v>
      </c>
      <c r="K92" s="10">
        <f t="shared" si="75"/>
        <v>-1.5925925925925926</v>
      </c>
      <c r="L92" s="10">
        <v>0</v>
      </c>
      <c r="M92" s="10">
        <v>1</v>
      </c>
      <c r="N92" s="2">
        <f t="shared" si="76"/>
        <v>12</v>
      </c>
      <c r="O92" s="2">
        <f t="shared" si="77"/>
        <v>49.5</v>
      </c>
      <c r="P92" s="2">
        <f t="shared" si="78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5">
        <f t="shared" si="73"/>
        <v>67.2</v>
      </c>
      <c r="T92" s="2">
        <f t="shared" si="74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3"/>
        <v>-0.10692000000000004</v>
      </c>
      <c r="C93" s="2">
        <v>2</v>
      </c>
      <c r="D93" s="2">
        <v>1</v>
      </c>
      <c r="E93" s="5" t="s">
        <v>106</v>
      </c>
      <c r="F93" s="2">
        <f t="shared" si="64"/>
        <v>5</v>
      </c>
      <c r="G93" s="2">
        <f t="shared" si="72"/>
        <v>6.5</v>
      </c>
      <c r="H93" s="2">
        <f t="shared" si="71"/>
        <v>6.5</v>
      </c>
      <c r="I93" s="2">
        <f t="shared" si="71"/>
        <v>2.8000000000000003</v>
      </c>
      <c r="J93" s="2">
        <f t="shared" si="71"/>
        <v>4.6999999999999993</v>
      </c>
      <c r="K93" s="10">
        <f t="shared" si="75"/>
        <v>-2.1623931623931623</v>
      </c>
      <c r="L93" s="10">
        <v>0</v>
      </c>
      <c r="M93" s="10">
        <v>1</v>
      </c>
      <c r="N93" s="2">
        <f t="shared" si="76"/>
        <v>26</v>
      </c>
      <c r="O93" s="2">
        <f t="shared" si="77"/>
        <v>107.25</v>
      </c>
      <c r="P93" s="2">
        <f t="shared" si="78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5">
        <f t="shared" si="73"/>
        <v>80.640000000000015</v>
      </c>
      <c r="T93" s="2">
        <f t="shared" si="74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3"/>
        <v>-4.3559999999999988E-2</v>
      </c>
      <c r="C94" s="2">
        <v>3</v>
      </c>
      <c r="D94" s="2">
        <v>-1</v>
      </c>
      <c r="E94" s="5" t="s">
        <v>107</v>
      </c>
      <c r="F94" s="2">
        <f t="shared" si="64"/>
        <v>7.5</v>
      </c>
      <c r="G94" s="2">
        <f t="shared" si="72"/>
        <v>9</v>
      </c>
      <c r="H94" s="2">
        <f t="shared" si="71"/>
        <v>9</v>
      </c>
      <c r="I94" s="2">
        <f t="shared" si="71"/>
        <v>4.8</v>
      </c>
      <c r="J94" s="2">
        <f t="shared" si="71"/>
        <v>7.1999999999999993</v>
      </c>
      <c r="K94" s="10">
        <f t="shared" si="75"/>
        <v>-0.55555555555555558</v>
      </c>
      <c r="L94" s="10">
        <v>0</v>
      </c>
      <c r="M94" s="10">
        <v>1</v>
      </c>
      <c r="N94" s="2">
        <f t="shared" si="76"/>
        <v>9</v>
      </c>
      <c r="O94" s="2">
        <f t="shared" si="77"/>
        <v>37.125</v>
      </c>
      <c r="P94" s="2">
        <f t="shared" si="78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5">
        <f t="shared" si="73"/>
        <v>59.519999999999996</v>
      </c>
      <c r="T94" s="2">
        <f t="shared" si="74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3"/>
        <v>-8.8200000000000014E-2</v>
      </c>
      <c r="C95" s="2">
        <v>3</v>
      </c>
      <c r="D95" s="2">
        <v>0</v>
      </c>
      <c r="E95" s="5" t="s">
        <v>108</v>
      </c>
      <c r="F95" s="2">
        <f t="shared" si="64"/>
        <v>7.5</v>
      </c>
      <c r="G95" s="2">
        <f t="shared" si="72"/>
        <v>9.75</v>
      </c>
      <c r="H95" s="2">
        <f t="shared" si="71"/>
        <v>9.75</v>
      </c>
      <c r="I95" s="2">
        <f t="shared" si="71"/>
        <v>4.2</v>
      </c>
      <c r="J95" s="2">
        <f t="shared" si="71"/>
        <v>7.05</v>
      </c>
      <c r="K95" s="10">
        <f t="shared" si="75"/>
        <v>-0.89743589743589736</v>
      </c>
      <c r="L95" s="10">
        <v>0</v>
      </c>
      <c r="M95" s="10">
        <v>1</v>
      </c>
      <c r="N95" s="2">
        <f t="shared" si="76"/>
        <v>19.5</v>
      </c>
      <c r="O95" s="2">
        <f t="shared" si="77"/>
        <v>80.4375</v>
      </c>
      <c r="P95" s="2">
        <f t="shared" si="78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5">
        <f t="shared" si="73"/>
        <v>74.400000000000006</v>
      </c>
      <c r="T95" s="2">
        <f t="shared" si="74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3"/>
        <v>-0.13284000000000001</v>
      </c>
      <c r="C96" s="2">
        <v>3</v>
      </c>
      <c r="D96" s="2">
        <v>1</v>
      </c>
      <c r="E96" s="5" t="s">
        <v>109</v>
      </c>
      <c r="F96" s="2">
        <f t="shared" si="64"/>
        <v>7.5</v>
      </c>
      <c r="G96" s="2">
        <f t="shared" si="72"/>
        <v>10.5</v>
      </c>
      <c r="H96" s="2">
        <f t="shared" si="71"/>
        <v>10.5</v>
      </c>
      <c r="I96" s="2">
        <f t="shared" si="71"/>
        <v>3.5999999999999996</v>
      </c>
      <c r="J96" s="2">
        <f t="shared" si="71"/>
        <v>6.8999999999999995</v>
      </c>
      <c r="K96" s="10">
        <f t="shared" si="75"/>
        <v>-1.1904761904761911</v>
      </c>
      <c r="L96" s="10">
        <v>0</v>
      </c>
      <c r="M96" s="10">
        <v>1</v>
      </c>
      <c r="N96" s="2">
        <f t="shared" si="76"/>
        <v>42</v>
      </c>
      <c r="O96" s="2">
        <f t="shared" si="77"/>
        <v>173.25</v>
      </c>
      <c r="P96" s="2">
        <f t="shared" si="78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5">
        <f t="shared" si="73"/>
        <v>89.28</v>
      </c>
      <c r="T96" s="2">
        <f t="shared" si="74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3"/>
        <v>-6.0840000000000005E-2</v>
      </c>
      <c r="C97" s="2">
        <v>4</v>
      </c>
      <c r="D97" s="2">
        <v>-1</v>
      </c>
      <c r="E97" s="5" t="s">
        <v>110</v>
      </c>
      <c r="F97" s="2">
        <f t="shared" si="64"/>
        <v>10</v>
      </c>
      <c r="G97" s="2">
        <f t="shared" si="72"/>
        <v>13</v>
      </c>
      <c r="H97" s="2">
        <f t="shared" si="71"/>
        <v>13</v>
      </c>
      <c r="I97" s="2">
        <f t="shared" si="71"/>
        <v>5.6000000000000005</v>
      </c>
      <c r="J97" s="2">
        <f t="shared" si="71"/>
        <v>9.3999999999999986</v>
      </c>
      <c r="K97" s="10">
        <f t="shared" si="75"/>
        <v>-0.75147928994082824</v>
      </c>
      <c r="L97" s="10">
        <v>0</v>
      </c>
      <c r="M97" s="10">
        <v>1</v>
      </c>
      <c r="N97" s="2">
        <f t="shared" si="76"/>
        <v>13</v>
      </c>
      <c r="O97" s="2">
        <f t="shared" si="77"/>
        <v>53.625</v>
      </c>
      <c r="P97" s="2">
        <f t="shared" si="78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5">
        <f t="shared" si="73"/>
        <v>65.28</v>
      </c>
      <c r="T97" s="2">
        <f t="shared" si="74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3"/>
        <v>-0.10979999999999998</v>
      </c>
      <c r="C98" s="2">
        <v>4</v>
      </c>
      <c r="D98" s="2">
        <v>0</v>
      </c>
      <c r="E98" s="5" t="s">
        <v>111</v>
      </c>
      <c r="F98" s="2">
        <f t="shared" si="64"/>
        <v>10</v>
      </c>
      <c r="G98" s="2">
        <f t="shared" si="72"/>
        <v>14</v>
      </c>
      <c r="H98" s="2">
        <f t="shared" si="71"/>
        <v>14</v>
      </c>
      <c r="I98" s="2">
        <f t="shared" si="71"/>
        <v>4.8</v>
      </c>
      <c r="J98" s="2">
        <f t="shared" si="71"/>
        <v>9.1999999999999993</v>
      </c>
      <c r="K98" s="10">
        <f t="shared" si="75"/>
        <v>-1.0219780219780219</v>
      </c>
      <c r="L98" s="10">
        <v>0</v>
      </c>
      <c r="M98" s="10">
        <v>1</v>
      </c>
      <c r="N98" s="2">
        <f t="shared" si="76"/>
        <v>28</v>
      </c>
      <c r="O98" s="2">
        <f t="shared" si="77"/>
        <v>115.5</v>
      </c>
      <c r="P98" s="2">
        <f t="shared" si="78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5">
        <f t="shared" si="73"/>
        <v>81.599999999999994</v>
      </c>
      <c r="T98" s="2">
        <f t="shared" si="74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3"/>
        <v>-0.15875999999999996</v>
      </c>
      <c r="C99" s="2">
        <v>4</v>
      </c>
      <c r="D99" s="2">
        <v>1</v>
      </c>
      <c r="E99" s="5" t="s">
        <v>112</v>
      </c>
      <c r="F99" s="2">
        <f t="shared" si="64"/>
        <v>10</v>
      </c>
      <c r="G99" s="2">
        <f t="shared" si="72"/>
        <v>15</v>
      </c>
      <c r="H99" s="2">
        <f t="shared" si="71"/>
        <v>15</v>
      </c>
      <c r="I99" s="2">
        <f t="shared" si="71"/>
        <v>3.9999999999999996</v>
      </c>
      <c r="J99" s="2">
        <f t="shared" si="71"/>
        <v>9</v>
      </c>
      <c r="K99" s="10">
        <f t="shared" si="75"/>
        <v>-1.2564102564102564</v>
      </c>
      <c r="L99" s="10">
        <v>0</v>
      </c>
      <c r="M99" s="10">
        <v>1</v>
      </c>
      <c r="N99" s="2">
        <f t="shared" si="76"/>
        <v>60</v>
      </c>
      <c r="O99" s="2">
        <f t="shared" si="77"/>
        <v>247.5</v>
      </c>
      <c r="P99" s="2">
        <f t="shared" si="78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5">
        <f t="shared" si="73"/>
        <v>97.919999999999987</v>
      </c>
      <c r="T99" s="2">
        <f t="shared" si="74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3"/>
        <v>-7.8119999999999981E-2</v>
      </c>
      <c r="C100" s="2">
        <v>5</v>
      </c>
      <c r="D100" s="2">
        <v>-1</v>
      </c>
      <c r="E100" s="5" t="s">
        <v>113</v>
      </c>
      <c r="F100" s="2">
        <f t="shared" si="64"/>
        <v>12.5</v>
      </c>
      <c r="G100" s="2">
        <f t="shared" si="72"/>
        <v>17.5</v>
      </c>
      <c r="H100" s="2">
        <f t="shared" si="71"/>
        <v>17.5</v>
      </c>
      <c r="I100" s="2">
        <f t="shared" si="71"/>
        <v>6</v>
      </c>
      <c r="J100" s="2">
        <f t="shared" si="71"/>
        <v>11.5</v>
      </c>
      <c r="K100" s="10">
        <f t="shared" si="75"/>
        <v>-0.75238095238095237</v>
      </c>
      <c r="L100" s="10">
        <v>0</v>
      </c>
      <c r="M100" s="10">
        <v>1</v>
      </c>
      <c r="N100" s="2">
        <f t="shared" si="76"/>
        <v>17.5</v>
      </c>
      <c r="O100" s="2">
        <f t="shared" si="77"/>
        <v>72.1875</v>
      </c>
      <c r="P100" s="2">
        <f t="shared" si="78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5">
        <f t="shared" si="73"/>
        <v>71.039999999999992</v>
      </c>
      <c r="T100" s="2">
        <f t="shared" si="74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3"/>
        <v>-0.13139999999999999</v>
      </c>
      <c r="C101" s="2">
        <v>5</v>
      </c>
      <c r="D101" s="2">
        <v>0</v>
      </c>
      <c r="E101" s="5" t="s">
        <v>114</v>
      </c>
      <c r="F101" s="2">
        <f t="shared" si="64"/>
        <v>12.5</v>
      </c>
      <c r="G101" s="2">
        <f t="shared" si="72"/>
        <v>18.75</v>
      </c>
      <c r="H101" s="2">
        <f t="shared" si="71"/>
        <v>18.75</v>
      </c>
      <c r="I101" s="2">
        <f t="shared" si="71"/>
        <v>5</v>
      </c>
      <c r="J101" s="2">
        <f t="shared" si="71"/>
        <v>11.25</v>
      </c>
      <c r="K101" s="10">
        <f t="shared" si="75"/>
        <v>-0.95555555555555571</v>
      </c>
      <c r="L101" s="10">
        <v>0</v>
      </c>
      <c r="M101" s="10">
        <v>1</v>
      </c>
      <c r="N101" s="2">
        <f t="shared" si="76"/>
        <v>37.5</v>
      </c>
      <c r="O101" s="2">
        <f t="shared" si="77"/>
        <v>154.6875</v>
      </c>
      <c r="P101" s="2">
        <f t="shared" si="78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5">
        <f t="shared" si="73"/>
        <v>88.8</v>
      </c>
      <c r="T101" s="2">
        <f t="shared" si="74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3"/>
        <v>-0.18468000000000001</v>
      </c>
      <c r="C102" s="2">
        <v>5</v>
      </c>
      <c r="D102" s="2">
        <v>1</v>
      </c>
      <c r="E102" s="5" t="s">
        <v>115</v>
      </c>
      <c r="F102" s="2">
        <f t="shared" si="64"/>
        <v>12.5</v>
      </c>
      <c r="G102" s="2">
        <f t="shared" si="72"/>
        <v>20</v>
      </c>
      <c r="H102" s="2">
        <f t="shared" si="71"/>
        <v>20</v>
      </c>
      <c r="I102" s="2">
        <f t="shared" si="71"/>
        <v>3.9999999999999996</v>
      </c>
      <c r="J102" s="2">
        <f t="shared" si="71"/>
        <v>11</v>
      </c>
      <c r="K102" s="10">
        <f t="shared" si="75"/>
        <v>-1.1333333333333333</v>
      </c>
      <c r="L102" s="10">
        <v>0</v>
      </c>
      <c r="M102" s="10">
        <v>1</v>
      </c>
      <c r="N102" s="2">
        <f t="shared" si="76"/>
        <v>80</v>
      </c>
      <c r="O102" s="2">
        <f t="shared" si="77"/>
        <v>330</v>
      </c>
      <c r="P102" s="2">
        <f t="shared" si="78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5">
        <f t="shared" si="73"/>
        <v>106.56</v>
      </c>
      <c r="T102" s="2">
        <f t="shared" si="74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3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3"/>
        <v>-4.3559999999999988E-2</v>
      </c>
      <c r="C104">
        <v>3</v>
      </c>
      <c r="D104" s="2">
        <v>-1</v>
      </c>
      <c r="E104" s="5" t="s">
        <v>117</v>
      </c>
      <c r="F104" s="2">
        <f t="shared" si="64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9">1-((1-(I104/G104))/INDEX($P$2:$P$6,C104))</f>
        <v>0</v>
      </c>
      <c r="L104" s="10">
        <v>0</v>
      </c>
      <c r="M104" s="10">
        <f>J104/F104</f>
        <v>0.76</v>
      </c>
      <c r="N104" s="2">
        <f t="shared" si="76"/>
        <v>9</v>
      </c>
      <c r="O104" s="2">
        <f t="shared" si="77"/>
        <v>56.362499999999997</v>
      </c>
      <c r="P104" s="2">
        <f t="shared" si="78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5">
        <f>($S$103)*(1+(D104*$F$8))*(1+((C104-1)*$J$3))</f>
        <v>59.519999999999996</v>
      </c>
      <c r="T104" s="2">
        <f t="shared" si="74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3"/>
        <v>-8.8200000000000014E-2</v>
      </c>
      <c r="C105">
        <v>3</v>
      </c>
      <c r="D105" s="2">
        <v>0</v>
      </c>
      <c r="E105" s="5" t="s">
        <v>118</v>
      </c>
      <c r="F105" s="2">
        <f t="shared" si="64"/>
        <v>7.5</v>
      </c>
      <c r="G105" s="2">
        <f t="shared" ref="G105:G112" si="80">H105</f>
        <v>9.75</v>
      </c>
      <c r="H105" s="2">
        <f t="shared" ref="H105:H112" si="81">$F105*(INDEX($F$3:$F$5,H$103)+(($C105+($D105*$F$7))*INDEX($G$3:$G$5,H$9)))</f>
        <v>9.75</v>
      </c>
      <c r="I105" s="2">
        <f t="shared" ref="I105:J112" si="82">$F105*(INDEX($F$3:$F$5,I$103)+(($C105+($D105*$F$7))*INDEX($G$3:$G$5,I$9)))</f>
        <v>5.7</v>
      </c>
      <c r="J105" s="2">
        <f t="shared" si="82"/>
        <v>5.55</v>
      </c>
      <c r="K105" s="10">
        <f t="shared" si="79"/>
        <v>-0.38461538461538458</v>
      </c>
      <c r="L105" s="10">
        <v>0</v>
      </c>
      <c r="M105" s="10">
        <f t="shared" ref="M105:M112" si="83">J105/F105</f>
        <v>0.74</v>
      </c>
      <c r="N105" s="2">
        <f t="shared" si="76"/>
        <v>19.5</v>
      </c>
      <c r="O105" s="2">
        <f t="shared" si="77"/>
        <v>122.11874999999999</v>
      </c>
      <c r="P105" s="2">
        <f t="shared" si="78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5">
        <f t="shared" ref="S105:S112" si="84">($S$103)*(1+(D105*$F$8))*(1+((C105-1)*$J$3))</f>
        <v>74.400000000000006</v>
      </c>
      <c r="T105" s="2">
        <f t="shared" si="74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3"/>
        <v>-0.13284000000000001</v>
      </c>
      <c r="C106">
        <v>3</v>
      </c>
      <c r="D106" s="2">
        <v>1</v>
      </c>
      <c r="E106" s="5" t="s">
        <v>119</v>
      </c>
      <c r="F106" s="2">
        <f t="shared" si="64"/>
        <v>7.5</v>
      </c>
      <c r="G106" s="2">
        <f t="shared" si="80"/>
        <v>10.5</v>
      </c>
      <c r="H106" s="2">
        <f t="shared" si="81"/>
        <v>10.5</v>
      </c>
      <c r="I106" s="2">
        <f t="shared" si="82"/>
        <v>5.0999999999999996</v>
      </c>
      <c r="J106" s="2">
        <f t="shared" si="82"/>
        <v>5.3999999999999995</v>
      </c>
      <c r="K106" s="10">
        <f t="shared" si="79"/>
        <v>-0.71428571428571463</v>
      </c>
      <c r="L106" s="10">
        <v>0</v>
      </c>
      <c r="M106" s="10">
        <f t="shared" si="83"/>
        <v>0.72</v>
      </c>
      <c r="N106" s="2">
        <f t="shared" si="76"/>
        <v>42</v>
      </c>
      <c r="O106" s="2">
        <f t="shared" si="77"/>
        <v>263.02499999999998</v>
      </c>
      <c r="P106" s="2">
        <f t="shared" si="78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5">
        <f t="shared" si="84"/>
        <v>89.28</v>
      </c>
      <c r="T106" s="2">
        <f t="shared" si="74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3"/>
        <v>-6.0840000000000005E-2</v>
      </c>
      <c r="C107">
        <v>4</v>
      </c>
      <c r="D107" s="2">
        <v>-1</v>
      </c>
      <c r="E107" s="5" t="s">
        <v>120</v>
      </c>
      <c r="F107" s="2">
        <f t="shared" si="64"/>
        <v>10</v>
      </c>
      <c r="G107" s="2">
        <f t="shared" si="80"/>
        <v>13</v>
      </c>
      <c r="H107" s="2">
        <f t="shared" si="81"/>
        <v>13</v>
      </c>
      <c r="I107" s="2">
        <f t="shared" si="82"/>
        <v>7.6</v>
      </c>
      <c r="J107" s="2">
        <f t="shared" si="82"/>
        <v>7.4</v>
      </c>
      <c r="K107" s="10">
        <f t="shared" si="79"/>
        <v>-0.27810650887573973</v>
      </c>
      <c r="L107" s="10">
        <v>0</v>
      </c>
      <c r="M107" s="10">
        <f t="shared" si="83"/>
        <v>0.74</v>
      </c>
      <c r="N107" s="2">
        <f t="shared" si="76"/>
        <v>13</v>
      </c>
      <c r="O107" s="2">
        <f t="shared" si="77"/>
        <v>81.412499999999994</v>
      </c>
      <c r="P107" s="2">
        <f t="shared" si="78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5">
        <f t="shared" si="84"/>
        <v>65.28</v>
      </c>
      <c r="T107" s="2">
        <f t="shared" si="74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3"/>
        <v>-0.10979999999999998</v>
      </c>
      <c r="C108">
        <v>4</v>
      </c>
      <c r="D108" s="2">
        <v>0</v>
      </c>
      <c r="E108" s="5" t="s">
        <v>121</v>
      </c>
      <c r="F108" s="2">
        <f t="shared" si="64"/>
        <v>10</v>
      </c>
      <c r="G108" s="2">
        <f t="shared" si="80"/>
        <v>14</v>
      </c>
      <c r="H108" s="2">
        <f t="shared" si="81"/>
        <v>14</v>
      </c>
      <c r="I108" s="2">
        <f t="shared" si="82"/>
        <v>6.7999999999999989</v>
      </c>
      <c r="J108" s="2">
        <f t="shared" si="82"/>
        <v>7.1999999999999993</v>
      </c>
      <c r="K108" s="10">
        <f t="shared" si="79"/>
        <v>-0.58241758241758257</v>
      </c>
      <c r="L108" s="10">
        <v>0</v>
      </c>
      <c r="M108" s="10">
        <f t="shared" si="83"/>
        <v>0.72</v>
      </c>
      <c r="N108" s="2">
        <f t="shared" si="76"/>
        <v>28.000000000000004</v>
      </c>
      <c r="O108" s="2">
        <f t="shared" si="77"/>
        <v>175.35</v>
      </c>
      <c r="P108" s="2">
        <f t="shared" si="78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5">
        <f t="shared" si="84"/>
        <v>81.599999999999994</v>
      </c>
      <c r="T108" s="2">
        <f t="shared" si="74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3"/>
        <v>-0.15875999999999996</v>
      </c>
      <c r="C109">
        <v>4</v>
      </c>
      <c r="D109" s="2">
        <v>1</v>
      </c>
      <c r="E109" s="5" t="s">
        <v>122</v>
      </c>
      <c r="F109" s="2">
        <f t="shared" si="64"/>
        <v>10</v>
      </c>
      <c r="G109" s="2">
        <f t="shared" si="80"/>
        <v>15</v>
      </c>
      <c r="H109" s="2">
        <f t="shared" si="81"/>
        <v>15</v>
      </c>
      <c r="I109" s="2">
        <f t="shared" si="82"/>
        <v>5.9999999999999982</v>
      </c>
      <c r="J109" s="2">
        <f t="shared" si="82"/>
        <v>7.0000000000000009</v>
      </c>
      <c r="K109" s="10">
        <f t="shared" si="79"/>
        <v>-0.84615384615384626</v>
      </c>
      <c r="L109" s="10">
        <v>0</v>
      </c>
      <c r="M109" s="10">
        <f t="shared" si="83"/>
        <v>0.70000000000000007</v>
      </c>
      <c r="N109" s="2">
        <f t="shared" si="76"/>
        <v>60</v>
      </c>
      <c r="O109" s="2">
        <f t="shared" si="77"/>
        <v>375.75</v>
      </c>
      <c r="P109" s="2">
        <f t="shared" si="78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5">
        <f t="shared" si="84"/>
        <v>97.919999999999987</v>
      </c>
      <c r="T109" s="2">
        <f t="shared" si="74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3"/>
        <v>-7.8119999999999981E-2</v>
      </c>
      <c r="C110">
        <v>5</v>
      </c>
      <c r="D110" s="2">
        <v>-1</v>
      </c>
      <c r="E110" s="5" t="s">
        <v>123</v>
      </c>
      <c r="F110" s="2">
        <f t="shared" si="64"/>
        <v>12.5</v>
      </c>
      <c r="G110" s="2">
        <f t="shared" si="80"/>
        <v>17.5</v>
      </c>
      <c r="H110" s="2">
        <f t="shared" si="81"/>
        <v>17.5</v>
      </c>
      <c r="I110" s="2">
        <f t="shared" si="82"/>
        <v>8.5</v>
      </c>
      <c r="J110" s="2">
        <f t="shared" si="82"/>
        <v>9</v>
      </c>
      <c r="K110" s="10">
        <f t="shared" si="79"/>
        <v>-0.37142857142857122</v>
      </c>
      <c r="L110" s="10">
        <v>0</v>
      </c>
      <c r="M110" s="10">
        <f t="shared" si="83"/>
        <v>0.72</v>
      </c>
      <c r="N110" s="2">
        <f t="shared" si="76"/>
        <v>17.5</v>
      </c>
      <c r="O110" s="2">
        <f t="shared" si="77"/>
        <v>109.59375</v>
      </c>
      <c r="P110" s="2">
        <f t="shared" si="78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5">
        <f t="shared" si="84"/>
        <v>71.039999999999992</v>
      </c>
      <c r="T110" s="2">
        <f t="shared" si="74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3"/>
        <v>-0.13139999999999999</v>
      </c>
      <c r="C111">
        <v>5</v>
      </c>
      <c r="D111" s="2">
        <v>0</v>
      </c>
      <c r="E111" s="5" t="s">
        <v>124</v>
      </c>
      <c r="F111" s="2">
        <f t="shared" si="64"/>
        <v>12.5</v>
      </c>
      <c r="G111" s="2">
        <f t="shared" si="80"/>
        <v>18.75</v>
      </c>
      <c r="H111" s="2">
        <f t="shared" si="81"/>
        <v>18.75</v>
      </c>
      <c r="I111" s="2">
        <f t="shared" si="82"/>
        <v>7.4999999999999982</v>
      </c>
      <c r="J111" s="2">
        <f t="shared" si="82"/>
        <v>8.75</v>
      </c>
      <c r="K111" s="10">
        <f t="shared" si="79"/>
        <v>-0.60000000000000031</v>
      </c>
      <c r="L111" s="10">
        <v>0</v>
      </c>
      <c r="M111" s="10">
        <f t="shared" si="83"/>
        <v>0.7</v>
      </c>
      <c r="N111" s="2">
        <f t="shared" si="76"/>
        <v>37.5</v>
      </c>
      <c r="O111" s="2">
        <f t="shared" si="77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5">
        <f t="shared" si="84"/>
        <v>88.8</v>
      </c>
      <c r="T111" s="2">
        <f t="shared" si="74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3"/>
        <v>-0.18468000000000001</v>
      </c>
      <c r="C112">
        <v>5</v>
      </c>
      <c r="D112" s="2">
        <v>1</v>
      </c>
      <c r="E112" s="5" t="s">
        <v>125</v>
      </c>
      <c r="F112" s="2">
        <f t="shared" si="64"/>
        <v>12.5</v>
      </c>
      <c r="G112" s="2">
        <f t="shared" si="80"/>
        <v>20</v>
      </c>
      <c r="H112" s="2">
        <f t="shared" si="81"/>
        <v>20</v>
      </c>
      <c r="I112" s="2">
        <f t="shared" si="82"/>
        <v>6.4999999999999991</v>
      </c>
      <c r="J112" s="2">
        <f t="shared" si="82"/>
        <v>8.5</v>
      </c>
      <c r="K112" s="10">
        <f t="shared" si="79"/>
        <v>-0.8</v>
      </c>
      <c r="L112" s="10">
        <v>0</v>
      </c>
      <c r="M112" s="10">
        <f t="shared" si="83"/>
        <v>0.68</v>
      </c>
      <c r="N112" s="2">
        <f t="shared" si="76"/>
        <v>80</v>
      </c>
      <c r="O112" s="2">
        <f t="shared" si="77"/>
        <v>501</v>
      </c>
      <c r="P112" s="2">
        <f t="shared" si="78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5">
        <f t="shared" si="84"/>
        <v>106.56</v>
      </c>
      <c r="T112" s="2">
        <f t="shared" si="74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3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3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4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5">$F114*(INDEX($F$3:$F$5,I$113)+(($C114+($D114*$F$7))*INDEX($G$3:$G$5,I$113)))</f>
        <v>9.6</v>
      </c>
      <c r="J114" s="2">
        <f t="shared" si="85"/>
        <v>28</v>
      </c>
      <c r="K114" s="10">
        <f>1-((1-(I114/G114))/INDEX($P$2:$P$6,C114))</f>
        <v>-1.0219780219780219</v>
      </c>
      <c r="L114" s="10">
        <v>0</v>
      </c>
      <c r="M114" s="10">
        <v>1</v>
      </c>
      <c r="N114" s="2">
        <f t="shared" si="76"/>
        <v>56</v>
      </c>
      <c r="O114" s="2">
        <f t="shared" si="77"/>
        <v>105</v>
      </c>
      <c r="P114" s="2">
        <f t="shared" si="78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5">
        <f>($S$113)*(1+(D114*$F$8))*(1+((C114-1)*$J$3))</f>
        <v>81.599999999999994</v>
      </c>
      <c r="T114" s="2">
        <f t="shared" si="74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3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4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5"/>
        <v>10</v>
      </c>
      <c r="J115" s="2">
        <f t="shared" si="85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6"/>
        <v>75</v>
      </c>
      <c r="O115" s="2">
        <f t="shared" si="77"/>
        <v>140.625</v>
      </c>
      <c r="P115" s="2">
        <f t="shared" si="78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5">
        <f>($S$113)*(1+(D115*$F$8))*(1+((C115-1)*$J$3))</f>
        <v>88.8</v>
      </c>
      <c r="T115" s="2">
        <f t="shared" si="74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3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3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6">($F$2+(C117*$F$1))*(B117+1)</f>
        <v>15</v>
      </c>
      <c r="G117" s="2">
        <f t="shared" ref="G117:G119" si="87">IF(G$116=1,H117,H117/(1-INDEX($O$2:$O$6,C117)))</f>
        <v>9.1139240506329102</v>
      </c>
      <c r="H117" s="2">
        <f t="shared" ref="H117:H121" si="88">$F117*(INDEX($F$3:$F$5,H$116)+(($C117+($D117*$F$7))*INDEX($G$3:$G$5,H$116)))</f>
        <v>7.1999999999999993</v>
      </c>
      <c r="I117" s="2">
        <f t="shared" ref="I117:J119" si="89">$F117*(INDEX($F$3:$F$5,I$116)+(($C117+($D117*$F$7))*INDEX($G$3:$G$5,I$116)))</f>
        <v>21</v>
      </c>
      <c r="J117" s="2">
        <f t="shared" si="89"/>
        <v>21</v>
      </c>
      <c r="K117" s="10">
        <f t="shared" ref="K117:K119" si="90">1-((1-(I117/G117))/INDEX($P$2:$P$6,C117))</f>
        <v>5.3472222222222241</v>
      </c>
      <c r="L117" s="10">
        <v>0</v>
      </c>
      <c r="M117" s="10">
        <v>1</v>
      </c>
      <c r="N117" s="2">
        <f t="shared" ref="N117:N119" si="91">(AVERAGE(O117,P117)*R117)/Q117</f>
        <v>9.113924050632912</v>
      </c>
      <c r="O117" s="2">
        <f t="shared" ref="O117:O118" si="92">0.75*(((G117*INDEX($R$1:$R$3,$D117+2))*Q117)/R117)/4</f>
        <v>91.139240506329102</v>
      </c>
      <c r="P117" s="2">
        <f t="shared" ref="P117:P118" si="93">1.25*(((G117*INDEX($R$1:$R$3,$D117+2))*Q117)/R117)/4</f>
        <v>151.89873417721518</v>
      </c>
      <c r="Q117" s="2">
        <v>10</v>
      </c>
      <c r="R117" s="2">
        <v>0.75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3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6"/>
        <v>20</v>
      </c>
      <c r="G118" s="2">
        <f t="shared" si="87"/>
        <v>11.111111111111111</v>
      </c>
      <c r="H118" s="2">
        <f t="shared" si="88"/>
        <v>7.9999999999999991</v>
      </c>
      <c r="I118" s="2">
        <f t="shared" si="89"/>
        <v>30</v>
      </c>
      <c r="J118" s="2">
        <f t="shared" si="89"/>
        <v>30</v>
      </c>
      <c r="K118" s="10">
        <f t="shared" si="90"/>
        <v>6.2307692307692308</v>
      </c>
      <c r="L118" s="10">
        <v>0</v>
      </c>
      <c r="M118" s="10">
        <v>1</v>
      </c>
      <c r="N118" s="2">
        <f t="shared" si="91"/>
        <v>11.111111111111111</v>
      </c>
      <c r="O118" s="2">
        <f t="shared" si="92"/>
        <v>111.11111111111111</v>
      </c>
      <c r="P118" s="2">
        <f t="shared" si="93"/>
        <v>185.18518518518519</v>
      </c>
      <c r="Q118" s="2">
        <v>10</v>
      </c>
      <c r="R118" s="2">
        <v>0.75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3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25</v>
      </c>
      <c r="G119" s="2">
        <f>IF(G$116=1,H119,H119/(1-INDEX($O$2:$O$6,C119)))</f>
        <v>12.307692307692308</v>
      </c>
      <c r="H119" s="2">
        <f t="shared" si="88"/>
        <v>7.9999999999999991</v>
      </c>
      <c r="I119" s="2">
        <f t="shared" si="89"/>
        <v>40</v>
      </c>
      <c r="J119" s="2">
        <f t="shared" si="89"/>
        <v>40</v>
      </c>
      <c r="K119" s="10">
        <f t="shared" si="90"/>
        <v>7</v>
      </c>
      <c r="L119" s="10">
        <v>0</v>
      </c>
      <c r="M119" s="10">
        <v>1</v>
      </c>
      <c r="N119" s="2">
        <f t="shared" si="91"/>
        <v>12.30769230769231</v>
      </c>
      <c r="O119" s="2">
        <f>0.75*(((G119*INDEX($R$1:$R$3,$D119+2))*Q119)/R119)/4</f>
        <v>123.07692307692309</v>
      </c>
      <c r="P119" s="2">
        <f>1.25*(((G119*INDEX($R$1:$R$3,$D119+2))*Q119)/R119)/4</f>
        <v>205.12820512820514</v>
      </c>
      <c r="Q119" s="2">
        <v>10</v>
      </c>
      <c r="R119" s="2">
        <v>0.75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E120" s="15" t="s">
        <v>161</v>
      </c>
      <c r="F120" s="30">
        <f t="shared" ref="F120:F169" si="94">($F$2+(C120*$F$1))*(B120+1)</f>
        <v>0</v>
      </c>
      <c r="G120">
        <v>1</v>
      </c>
      <c r="H120">
        <v>1</v>
      </c>
      <c r="I120">
        <v>2</v>
      </c>
      <c r="J120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C121">
        <v>1</v>
      </c>
      <c r="D121">
        <v>-1</v>
      </c>
      <c r="E121" s="15" t="s">
        <v>162</v>
      </c>
      <c r="F121" s="30">
        <f t="shared" si="94"/>
        <v>2.5</v>
      </c>
      <c r="G121" s="30">
        <f>IF(G$116=1,H121,H121/(1-INDEX($O$2:$O$6,C121)))</f>
        <v>2.688172043010753</v>
      </c>
      <c r="H121" s="30">
        <f>$F121*(INDEX($F$3:$F$5,H$120)+(($C121+($D121*$F$7))*INDEX($G$3:$G$5,H$120)))</f>
        <v>2.5</v>
      </c>
      <c r="I121" s="30">
        <f t="shared" ref="I121:J122" si="95">$F121*(INDEX($F$3:$F$5,I$120)+(($C121+($D121*$F$7))*INDEX($G$3:$G$5,I$120)))</f>
        <v>2</v>
      </c>
      <c r="J121" s="30">
        <f t="shared" si="95"/>
        <v>0.5</v>
      </c>
      <c r="L121" s="13"/>
      <c r="M121"/>
    </row>
    <row r="122" spans="1:21" x14ac:dyDescent="0.25">
      <c r="C122">
        <v>1</v>
      </c>
      <c r="D122">
        <v>0</v>
      </c>
      <c r="E122" s="15" t="s">
        <v>163</v>
      </c>
      <c r="F122" s="30">
        <f t="shared" si="94"/>
        <v>2.5</v>
      </c>
      <c r="G122" s="30">
        <f>IF(G$116=1,H122,H122/(1-INDEX($O$2:$O$6,C122)))</f>
        <v>2.956989247311828</v>
      </c>
      <c r="H122" s="30">
        <f>$F122*(INDEX($F$3:$F$5,H$120)+(($C122+($D122*$F$7))*INDEX($G$3:$G$5,H$120)))</f>
        <v>2.75</v>
      </c>
      <c r="I122" s="30">
        <f t="shared" si="95"/>
        <v>1.7999999999999998</v>
      </c>
      <c r="J122" s="30">
        <f t="shared" si="95"/>
        <v>0.44999999999999996</v>
      </c>
    </row>
    <row r="123" spans="1:21" x14ac:dyDescent="0.25">
      <c r="E123" s="15" t="s">
        <v>164</v>
      </c>
      <c r="F123" s="30">
        <f t="shared" si="94"/>
        <v>0</v>
      </c>
    </row>
    <row r="124" spans="1:21" x14ac:dyDescent="0.25">
      <c r="C124">
        <v>1</v>
      </c>
      <c r="D124" s="30">
        <v>-1</v>
      </c>
      <c r="E124" s="15" t="s">
        <v>165</v>
      </c>
      <c r="F124" s="30">
        <f t="shared" si="94"/>
        <v>2.5</v>
      </c>
    </row>
    <row r="125" spans="1:21" x14ac:dyDescent="0.25">
      <c r="C125">
        <v>1</v>
      </c>
      <c r="D125" s="30">
        <v>0</v>
      </c>
      <c r="E125" s="15" t="s">
        <v>166</v>
      </c>
      <c r="F125" s="30">
        <f t="shared" si="94"/>
        <v>2.5</v>
      </c>
    </row>
    <row r="126" spans="1:21" x14ac:dyDescent="0.25">
      <c r="C126">
        <v>1</v>
      </c>
      <c r="D126" s="30">
        <v>1</v>
      </c>
      <c r="E126" s="15" t="s">
        <v>167</v>
      </c>
      <c r="F126" s="30">
        <f t="shared" si="94"/>
        <v>2.5</v>
      </c>
    </row>
    <row r="127" spans="1:21" x14ac:dyDescent="0.25">
      <c r="C127">
        <v>1</v>
      </c>
      <c r="D127" s="30">
        <v>-1</v>
      </c>
      <c r="E127" s="15" t="s">
        <v>168</v>
      </c>
      <c r="F127" s="30">
        <f t="shared" si="94"/>
        <v>2.5</v>
      </c>
    </row>
    <row r="128" spans="1:21" x14ac:dyDescent="0.25">
      <c r="C128">
        <v>1</v>
      </c>
      <c r="D128" s="30">
        <v>0</v>
      </c>
      <c r="E128" s="15" t="s">
        <v>169</v>
      </c>
      <c r="F128" s="30">
        <f t="shared" si="94"/>
        <v>2.5</v>
      </c>
    </row>
    <row r="129" spans="3:6" x14ac:dyDescent="0.25">
      <c r="C129">
        <v>1</v>
      </c>
      <c r="D129" s="30">
        <v>1</v>
      </c>
      <c r="E129" s="15" t="s">
        <v>170</v>
      </c>
      <c r="F129" s="30">
        <f t="shared" si="94"/>
        <v>2.5</v>
      </c>
    </row>
    <row r="130" spans="3:6" x14ac:dyDescent="0.25">
      <c r="C130">
        <v>1</v>
      </c>
      <c r="D130" s="30">
        <v>-1</v>
      </c>
      <c r="E130" s="15" t="s">
        <v>171</v>
      </c>
      <c r="F130" s="30">
        <f t="shared" si="94"/>
        <v>2.5</v>
      </c>
    </row>
    <row r="131" spans="3:6" x14ac:dyDescent="0.25">
      <c r="C131">
        <v>1</v>
      </c>
      <c r="D131" s="30">
        <v>0</v>
      </c>
      <c r="E131" s="15" t="s">
        <v>172</v>
      </c>
      <c r="F131" s="30">
        <f t="shared" si="94"/>
        <v>2.5</v>
      </c>
    </row>
    <row r="132" spans="3:6" x14ac:dyDescent="0.25">
      <c r="C132">
        <v>1</v>
      </c>
      <c r="D132" s="30">
        <v>1</v>
      </c>
      <c r="E132" s="15" t="s">
        <v>173</v>
      </c>
      <c r="F132" s="30">
        <f t="shared" si="94"/>
        <v>2.5</v>
      </c>
    </row>
    <row r="133" spans="3:6" x14ac:dyDescent="0.25">
      <c r="C133">
        <v>1</v>
      </c>
      <c r="D133" s="30">
        <v>-1</v>
      </c>
      <c r="E133" s="15" t="s">
        <v>174</v>
      </c>
      <c r="F133" s="30">
        <f t="shared" si="94"/>
        <v>2.5</v>
      </c>
    </row>
    <row r="134" spans="3:6" x14ac:dyDescent="0.25">
      <c r="C134">
        <v>1</v>
      </c>
      <c r="D134" s="30">
        <v>0</v>
      </c>
      <c r="E134" s="15" t="s">
        <v>175</v>
      </c>
      <c r="F134" s="30">
        <f t="shared" si="94"/>
        <v>2.5</v>
      </c>
    </row>
    <row r="135" spans="3:6" x14ac:dyDescent="0.25">
      <c r="C135">
        <v>1</v>
      </c>
      <c r="D135" s="30">
        <v>1</v>
      </c>
      <c r="E135" s="15" t="s">
        <v>176</v>
      </c>
      <c r="F135" s="30">
        <f t="shared" si="94"/>
        <v>2.5</v>
      </c>
    </row>
    <row r="136" spans="3:6" x14ac:dyDescent="0.25">
      <c r="C136">
        <v>2</v>
      </c>
      <c r="D136" s="30">
        <v>-1</v>
      </c>
      <c r="E136" s="15" t="s">
        <v>177</v>
      </c>
      <c r="F136" s="30">
        <f t="shared" si="94"/>
        <v>5</v>
      </c>
    </row>
    <row r="137" spans="3:6" x14ac:dyDescent="0.25">
      <c r="C137">
        <v>2</v>
      </c>
      <c r="D137" s="30">
        <v>0</v>
      </c>
      <c r="E137" s="15" t="s">
        <v>178</v>
      </c>
      <c r="F137" s="30">
        <f t="shared" si="94"/>
        <v>5</v>
      </c>
    </row>
    <row r="138" spans="3:6" x14ac:dyDescent="0.25">
      <c r="C138">
        <v>2</v>
      </c>
      <c r="D138" s="30">
        <v>1</v>
      </c>
      <c r="E138" s="15" t="s">
        <v>179</v>
      </c>
      <c r="F138" s="30">
        <f t="shared" si="94"/>
        <v>5</v>
      </c>
    </row>
    <row r="139" spans="3:6" x14ac:dyDescent="0.25">
      <c r="C139">
        <v>2</v>
      </c>
      <c r="D139" s="30">
        <v>-1</v>
      </c>
      <c r="E139" s="15" t="s">
        <v>180</v>
      </c>
      <c r="F139" s="30">
        <f t="shared" si="94"/>
        <v>5</v>
      </c>
    </row>
    <row r="140" spans="3:6" x14ac:dyDescent="0.25">
      <c r="C140">
        <v>2</v>
      </c>
      <c r="D140" s="30">
        <v>0</v>
      </c>
      <c r="E140" s="15" t="s">
        <v>181</v>
      </c>
      <c r="F140" s="30">
        <f t="shared" si="94"/>
        <v>5</v>
      </c>
    </row>
    <row r="141" spans="3:6" x14ac:dyDescent="0.25">
      <c r="C141">
        <v>2</v>
      </c>
      <c r="D141" s="30">
        <v>1</v>
      </c>
      <c r="E141" s="15" t="s">
        <v>182</v>
      </c>
      <c r="F141" s="30">
        <f t="shared" si="94"/>
        <v>5</v>
      </c>
    </row>
    <row r="142" spans="3:6" x14ac:dyDescent="0.25">
      <c r="C142">
        <v>2</v>
      </c>
      <c r="D142" s="30">
        <v>-1</v>
      </c>
      <c r="E142" s="15" t="s">
        <v>183</v>
      </c>
      <c r="F142" s="30">
        <f t="shared" si="94"/>
        <v>5</v>
      </c>
    </row>
    <row r="143" spans="3:6" x14ac:dyDescent="0.25">
      <c r="C143">
        <v>2</v>
      </c>
      <c r="D143" s="30">
        <v>0</v>
      </c>
      <c r="E143" s="15" t="s">
        <v>184</v>
      </c>
      <c r="F143" s="30">
        <f t="shared" si="94"/>
        <v>5</v>
      </c>
    </row>
    <row r="144" spans="3:6" x14ac:dyDescent="0.25">
      <c r="C144">
        <v>2</v>
      </c>
      <c r="D144" s="30">
        <v>1</v>
      </c>
      <c r="E144" s="15" t="s">
        <v>185</v>
      </c>
      <c r="F144" s="30">
        <f t="shared" si="94"/>
        <v>5</v>
      </c>
    </row>
    <row r="145" spans="3:6" x14ac:dyDescent="0.25">
      <c r="C145">
        <v>2</v>
      </c>
      <c r="D145" s="30">
        <v>-1</v>
      </c>
      <c r="E145" s="15" t="s">
        <v>186</v>
      </c>
      <c r="F145" s="30">
        <f t="shared" si="94"/>
        <v>5</v>
      </c>
    </row>
    <row r="146" spans="3:6" x14ac:dyDescent="0.25">
      <c r="C146">
        <v>2</v>
      </c>
      <c r="D146" s="30">
        <v>0</v>
      </c>
      <c r="E146" s="15" t="s">
        <v>187</v>
      </c>
      <c r="F146" s="30">
        <f t="shared" si="94"/>
        <v>5</v>
      </c>
    </row>
    <row r="147" spans="3:6" x14ac:dyDescent="0.25">
      <c r="C147">
        <v>2</v>
      </c>
      <c r="D147" s="30">
        <v>1</v>
      </c>
      <c r="E147" s="15" t="s">
        <v>188</v>
      </c>
      <c r="F147" s="30">
        <f t="shared" si="94"/>
        <v>5</v>
      </c>
    </row>
    <row r="148" spans="3:6" x14ac:dyDescent="0.25">
      <c r="E148" s="15" t="s">
        <v>189</v>
      </c>
      <c r="F148" s="30">
        <f t="shared" si="94"/>
        <v>0</v>
      </c>
    </row>
    <row r="149" spans="3:6" x14ac:dyDescent="0.25">
      <c r="E149" s="15" t="s">
        <v>190</v>
      </c>
      <c r="F149" s="30">
        <f t="shared" si="94"/>
        <v>0</v>
      </c>
    </row>
    <row r="150" spans="3:6" x14ac:dyDescent="0.25">
      <c r="E150" s="15" t="s">
        <v>191</v>
      </c>
      <c r="F150" s="30">
        <f t="shared" si="94"/>
        <v>0</v>
      </c>
    </row>
    <row r="151" spans="3:6" x14ac:dyDescent="0.25">
      <c r="E151" s="15" t="s">
        <v>192</v>
      </c>
      <c r="F151" s="30">
        <f t="shared" si="94"/>
        <v>0</v>
      </c>
    </row>
    <row r="152" spans="3:6" x14ac:dyDescent="0.25">
      <c r="E152" s="15" t="s">
        <v>193</v>
      </c>
      <c r="F152" s="30">
        <f t="shared" si="94"/>
        <v>0</v>
      </c>
    </row>
    <row r="153" spans="3:6" x14ac:dyDescent="0.25">
      <c r="E153" s="15" t="s">
        <v>194</v>
      </c>
      <c r="F153" s="30">
        <f t="shared" si="94"/>
        <v>0</v>
      </c>
    </row>
    <row r="154" spans="3:6" x14ac:dyDescent="0.25">
      <c r="E154" s="15" t="s">
        <v>195</v>
      </c>
      <c r="F154" s="30">
        <f t="shared" si="94"/>
        <v>0</v>
      </c>
    </row>
    <row r="155" spans="3:6" x14ac:dyDescent="0.25">
      <c r="E155" s="15" t="s">
        <v>196</v>
      </c>
      <c r="F155" s="30">
        <f t="shared" si="94"/>
        <v>0</v>
      </c>
    </row>
    <row r="156" spans="3:6" x14ac:dyDescent="0.25">
      <c r="E156" s="15" t="s">
        <v>197</v>
      </c>
      <c r="F156" s="30">
        <f t="shared" si="94"/>
        <v>0</v>
      </c>
    </row>
    <row r="157" spans="3:6" x14ac:dyDescent="0.25">
      <c r="E157" s="15" t="s">
        <v>198</v>
      </c>
      <c r="F157" s="30">
        <f t="shared" si="94"/>
        <v>0</v>
      </c>
    </row>
    <row r="158" spans="3:6" x14ac:dyDescent="0.25">
      <c r="E158" s="15" t="s">
        <v>199</v>
      </c>
      <c r="F158" s="30">
        <f t="shared" si="94"/>
        <v>0</v>
      </c>
    </row>
    <row r="159" spans="3:6" x14ac:dyDescent="0.25">
      <c r="E159" s="15" t="s">
        <v>200</v>
      </c>
      <c r="F159" s="30">
        <f t="shared" si="94"/>
        <v>0</v>
      </c>
    </row>
    <row r="160" spans="3:6" x14ac:dyDescent="0.25">
      <c r="E160" s="15" t="s">
        <v>201</v>
      </c>
      <c r="F160" s="30">
        <f t="shared" si="94"/>
        <v>0</v>
      </c>
    </row>
    <row r="161" spans="5:6" x14ac:dyDescent="0.25">
      <c r="E161" s="15" t="s">
        <v>202</v>
      </c>
      <c r="F161" s="30">
        <f t="shared" si="94"/>
        <v>0</v>
      </c>
    </row>
    <row r="162" spans="5:6" x14ac:dyDescent="0.25">
      <c r="E162" s="15" t="s">
        <v>203</v>
      </c>
      <c r="F162" s="30">
        <f t="shared" si="94"/>
        <v>0</v>
      </c>
    </row>
    <row r="163" spans="5:6" x14ac:dyDescent="0.25">
      <c r="E163" s="15" t="s">
        <v>204</v>
      </c>
      <c r="F163" s="30">
        <f t="shared" si="94"/>
        <v>0</v>
      </c>
    </row>
    <row r="164" spans="5:6" x14ac:dyDescent="0.25">
      <c r="E164" s="15" t="s">
        <v>205</v>
      </c>
      <c r="F164" s="30">
        <f t="shared" si="94"/>
        <v>0</v>
      </c>
    </row>
    <row r="165" spans="5:6" x14ac:dyDescent="0.25">
      <c r="E165" s="15" t="s">
        <v>206</v>
      </c>
      <c r="F165" s="30">
        <f t="shared" si="94"/>
        <v>0</v>
      </c>
    </row>
    <row r="166" spans="5:6" x14ac:dyDescent="0.25">
      <c r="E166" s="15" t="s">
        <v>207</v>
      </c>
      <c r="F166" s="30">
        <f t="shared" si="94"/>
        <v>0</v>
      </c>
    </row>
    <row r="167" spans="5:6" x14ac:dyDescent="0.25">
      <c r="E167" s="15" t="s">
        <v>208</v>
      </c>
      <c r="F167" s="30">
        <f t="shared" si="94"/>
        <v>0</v>
      </c>
    </row>
    <row r="168" spans="5:6" x14ac:dyDescent="0.25">
      <c r="E168" s="15" t="s">
        <v>209</v>
      </c>
      <c r="F168" s="30">
        <f t="shared" si="94"/>
        <v>0</v>
      </c>
    </row>
    <row r="169" spans="5:6" x14ac:dyDescent="0.25">
      <c r="E169" s="15" t="s">
        <v>210</v>
      </c>
      <c r="F169" s="30">
        <f t="shared" si="94"/>
        <v>0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15" sqref="B15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f>P6*5</f>
        <v>2.25</v>
      </c>
    </row>
    <row r="6" spans="1:19" x14ac:dyDescent="0.25">
      <c r="A6" s="14" t="s">
        <v>267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  <c r="N6">
        <f>N5*6</f>
        <v>0.14000000000000001</v>
      </c>
      <c r="P6">
        <v>0.45</v>
      </c>
    </row>
    <row r="7" spans="1:19" s="23" customFormat="1" x14ac:dyDescent="0.25">
      <c r="A7" s="14" t="s">
        <v>264</v>
      </c>
      <c r="B7" s="23">
        <v>1</v>
      </c>
      <c r="C7" s="23">
        <f>(C9/C8)-1</f>
        <v>-0.625</v>
      </c>
      <c r="D7" s="23">
        <f>(D9/D8)-1</f>
        <v>-0.875</v>
      </c>
      <c r="E7" s="23">
        <f>(E9/E8)-1</f>
        <v>-0.96875</v>
      </c>
    </row>
    <row r="8" spans="1:19" s="23" customFormat="1" x14ac:dyDescent="0.25">
      <c r="A8" s="14" t="s">
        <v>266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</row>
    <row r="9" spans="1:19" x14ac:dyDescent="0.25">
      <c r="A9" s="14" t="s">
        <v>270</v>
      </c>
      <c r="B9" s="24">
        <f>B3*$N$5*B7</f>
        <v>0.18666666666666668</v>
      </c>
      <c r="C9" s="24">
        <f>B9*(3/4)</f>
        <v>0.14000000000000001</v>
      </c>
      <c r="D9" s="24">
        <f>B9*(2/4)</f>
        <v>9.3333333333333338E-2</v>
      </c>
      <c r="E9" s="24">
        <f>B9/4</f>
        <v>4.6666666666666669E-2</v>
      </c>
    </row>
    <row r="10" spans="1:19" x14ac:dyDescent="0.25">
      <c r="A10" s="14" t="s">
        <v>272</v>
      </c>
      <c r="B10" s="27">
        <f t="shared" ref="B10:D10" si="5">B14/B13</f>
        <v>0.9427609427609428</v>
      </c>
      <c r="C10" s="27">
        <f t="shared" si="5"/>
        <v>1.1965811965811965</v>
      </c>
      <c r="D10" s="27">
        <f t="shared" si="5"/>
        <v>1.2280701754385959</v>
      </c>
      <c r="E10">
        <f>E14/E13</f>
        <v>1.2962962962962961</v>
      </c>
      <c r="I10" t="s">
        <v>269</v>
      </c>
      <c r="J10" s="14" t="s">
        <v>250</v>
      </c>
      <c r="K10" s="27" t="s">
        <v>251</v>
      </c>
      <c r="L10" s="27" t="s">
        <v>252</v>
      </c>
      <c r="M10" s="27" t="s">
        <v>253</v>
      </c>
    </row>
    <row r="11" spans="1:19" x14ac:dyDescent="0.25">
      <c r="A11" t="s">
        <v>271</v>
      </c>
      <c r="B11">
        <f>E11*(0.25)</f>
        <v>0.17499999999999999</v>
      </c>
      <c r="C11">
        <f>E11*(0.5)</f>
        <v>0.35</v>
      </c>
      <c r="D11">
        <f>E11*(3/4)</f>
        <v>0.52499999999999991</v>
      </c>
      <c r="E11" s="29">
        <f>B9*5*3/4</f>
        <v>0.7</v>
      </c>
      <c r="G11">
        <f>18.7*0.75*5</f>
        <v>70.125</v>
      </c>
      <c r="I11">
        <v>1</v>
      </c>
      <c r="J11" s="10">
        <f>($P$6*$I11*B$5*B$10)/(($P$6*$I11*B$5*B$10)+60)</f>
        <v>4.0697674418604654E-2</v>
      </c>
      <c r="K11" s="10">
        <f t="shared" ref="K11:M15" si="6">($P$6*$I11*C$5*C$10)/(($P$6*$I11*C$5*C$10)+60)</f>
        <v>9.722222222222221E-2</v>
      </c>
      <c r="L11" s="10">
        <f t="shared" si="6"/>
        <v>0.18103448275862061</v>
      </c>
      <c r="M11" s="10">
        <f t="shared" si="6"/>
        <v>0.31818181818181812</v>
      </c>
    </row>
    <row r="12" spans="1:19" x14ac:dyDescent="0.25">
      <c r="A12" t="s">
        <v>273</v>
      </c>
      <c r="B12">
        <f>-(60*B11)/(B11-1)</f>
        <v>12.727272727272728</v>
      </c>
      <c r="C12" s="27">
        <f t="shared" ref="C12:D12" si="7">-(60*C11)/(C11-1)</f>
        <v>32.307692307692307</v>
      </c>
      <c r="D12" s="27">
        <f t="shared" si="7"/>
        <v>66.315789473684177</v>
      </c>
      <c r="E12" s="27">
        <f>-(60*E11)/(E11-1)</f>
        <v>139.99999999999997</v>
      </c>
      <c r="I12">
        <v>2</v>
      </c>
      <c r="J12" s="10">
        <f t="shared" ref="J12:J15" si="8">($P$6*$I12*B$5*B$10)/(($P$6*$I12*B$5*B$10)+60)</f>
        <v>7.8212290502793311E-2</v>
      </c>
      <c r="K12" s="10">
        <f>($P$6*$I12*C$5*C$10)/(($P$6*$I12*C$5*C$10)+60)</f>
        <v>0.17721518987341772</v>
      </c>
      <c r="L12" s="10">
        <f t="shared" si="6"/>
        <v>0.30656934306569333</v>
      </c>
      <c r="M12" s="10">
        <f t="shared" si="6"/>
        <v>0.48275862068965514</v>
      </c>
    </row>
    <row r="13" spans="1:19" x14ac:dyDescent="0.25">
      <c r="A13" s="14" t="s">
        <v>276</v>
      </c>
      <c r="B13" s="12">
        <f>$P$5*B5</f>
        <v>13.5</v>
      </c>
      <c r="C13" s="12">
        <f t="shared" ref="C13:D13" si="9">$P$5*C5</f>
        <v>27</v>
      </c>
      <c r="D13" s="12">
        <f t="shared" si="9"/>
        <v>54</v>
      </c>
      <c r="E13" s="12">
        <f>$P$5*E5</f>
        <v>108</v>
      </c>
      <c r="F13" s="23"/>
      <c r="I13">
        <v>3</v>
      </c>
      <c r="J13" s="10">
        <f t="shared" si="8"/>
        <v>0.11290322580645162</v>
      </c>
      <c r="K13" s="10">
        <f t="shared" si="6"/>
        <v>0.24418604651162792</v>
      </c>
      <c r="L13" s="10">
        <f t="shared" si="6"/>
        <v>0.39873417721518978</v>
      </c>
      <c r="M13" s="10">
        <f>($P$6*$I13*E$5*E$10)/(($P$6*$I13*E$5*E$10)+60)</f>
        <v>0.58333333333333337</v>
      </c>
    </row>
    <row r="14" spans="1:19" x14ac:dyDescent="0.25">
      <c r="A14" s="14" t="s">
        <v>274</v>
      </c>
      <c r="B14" s="23">
        <f>-(60*(B11))/((B11)-1)</f>
        <v>12.727272727272728</v>
      </c>
      <c r="C14" s="27">
        <f t="shared" ref="C14:E14" si="10">-(60*(C11))/((C11)-1)</f>
        <v>32.307692307692307</v>
      </c>
      <c r="D14" s="27">
        <f t="shared" si="10"/>
        <v>66.315789473684177</v>
      </c>
      <c r="E14" s="27">
        <f t="shared" si="10"/>
        <v>139.99999999999997</v>
      </c>
      <c r="I14">
        <v>4</v>
      </c>
      <c r="J14" s="10">
        <f t="shared" si="8"/>
        <v>0.1450777202072539</v>
      </c>
      <c r="K14" s="10">
        <f t="shared" si="6"/>
        <v>0.30107526881720431</v>
      </c>
      <c r="L14" s="10">
        <f t="shared" si="6"/>
        <v>0.46927374301675967</v>
      </c>
      <c r="M14" s="10">
        <f>($P$6*$I14*E$5*E$10)/(($P$6*$I14*E$5*E$10)+60)</f>
        <v>0.65116279069767435</v>
      </c>
    </row>
    <row r="15" spans="1:19" x14ac:dyDescent="0.25">
      <c r="A15" s="14"/>
      <c r="B15" s="10"/>
      <c r="C15" s="10"/>
      <c r="D15" s="10"/>
      <c r="E15" s="10"/>
      <c r="I15">
        <v>5</v>
      </c>
      <c r="J15" s="10">
        <f t="shared" si="8"/>
        <v>0.17499999999999999</v>
      </c>
      <c r="K15" s="10">
        <f t="shared" si="6"/>
        <v>0.35</v>
      </c>
      <c r="L15" s="10">
        <f t="shared" si="6"/>
        <v>0.52499999999999991</v>
      </c>
      <c r="M15" s="10">
        <f>($P$6*$I15*E$5*E$10)/(($P$6*$I15*E$5*E$10)+60)</f>
        <v>0.7</v>
      </c>
    </row>
    <row r="16" spans="1:19" x14ac:dyDescent="0.25">
      <c r="A16" s="14"/>
      <c r="C16" s="23"/>
      <c r="D16" s="23"/>
      <c r="E16" s="23"/>
      <c r="F16" s="23"/>
      <c r="H16" t="s">
        <v>275</v>
      </c>
      <c r="I16">
        <v>6</v>
      </c>
      <c r="J16" s="10">
        <f>($P$6*$I15*B$3*B$10)/(($P$6*$I15*B$3*B$10)+60)</f>
        <v>0.22047244094488189</v>
      </c>
      <c r="K16" s="10">
        <f t="shared" ref="K16:L16" si="11">($P$6*$I15*C$3*C$10)/(($P$6*$I15*C$3*C$10)+60)</f>
        <v>0.41791044776119401</v>
      </c>
      <c r="L16" s="10">
        <f t="shared" si="11"/>
        <v>0.59574468085106369</v>
      </c>
      <c r="M16" s="10">
        <f>($P$6*$I15*E$3*E$10)/(($P$6*$I15*E$3*E$10)+60)</f>
        <v>0.75675675675675669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277</v>
      </c>
    </row>
    <row r="3" spans="1:10" x14ac:dyDescent="0.25">
      <c r="B3" t="s">
        <v>279</v>
      </c>
      <c r="C3" t="s">
        <v>278</v>
      </c>
    </row>
    <row r="4" spans="1:10" x14ac:dyDescent="0.25">
      <c r="B4">
        <v>300</v>
      </c>
      <c r="C4">
        <v>2400</v>
      </c>
      <c r="G4" t="s">
        <v>280</v>
      </c>
      <c r="H4" t="s">
        <v>281</v>
      </c>
      <c r="I4" t="s">
        <v>286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284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282</v>
      </c>
      <c r="B7">
        <v>0.23</v>
      </c>
      <c r="C7">
        <v>0.61</v>
      </c>
      <c r="F7" t="s">
        <v>285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283</v>
      </c>
      <c r="B8">
        <v>250</v>
      </c>
      <c r="C8">
        <v>1875</v>
      </c>
      <c r="D8" s="31">
        <v>0.28000000000000003</v>
      </c>
      <c r="E8" t="s">
        <v>287</v>
      </c>
      <c r="F8" t="s">
        <v>288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290</v>
      </c>
      <c r="B9" s="28">
        <f>(B4)*(1+B6)*(1+B7)*B5</f>
        <v>5166</v>
      </c>
      <c r="C9">
        <f>(C4)*(1+C6)*(1+C7)</f>
        <v>4250.3999999999996</v>
      </c>
      <c r="F9" t="s">
        <v>289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291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54" workbookViewId="0">
      <selection activeCell="H93" sqref="A1:O178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3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4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4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4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10.83</v>
      </c>
      <c r="E8" s="5">
        <f>ROUND(_xlfn.IFNA(VLOOKUP(A8,'Weapon Formulas'!$E$10:$Q$115,12,0),weapon_components!E8),2)</f>
        <v>18.04</v>
      </c>
      <c r="F8" s="5">
        <f>ROUND(_xlfn.IFNA(VLOOKUP(A8,'Weapon Formulas'!$E$10:$L$115,8,0),weapon_components!F8),2)</f>
        <v>0.01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-4.7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Formulas'!$E$10:$Z$115,15,0),weapon_components!L8),1)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20.399999999999999</v>
      </c>
      <c r="E9" s="5">
        <f>ROUND(_xlfn.IFNA(VLOOKUP(A9,'Weapon Formulas'!$E$10:$Q$115,12,0),weapon_components!E9),2)</f>
        <v>34</v>
      </c>
      <c r="F9" s="5">
        <f>ROUND(_xlfn.IFNA(VLOOKUP(A9,'Weapon Formulas'!$E$10:$L$115,8,0),weapon_components!F9),2)</f>
        <v>0.01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-8.2100000000000009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Formulas'!$E$10:$Z$115,15,0),weapon_components!L9),1)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47.14</v>
      </c>
      <c r="E10" s="5">
        <f>ROUND(_xlfn.IFNA(VLOOKUP(A10,'Weapon Formulas'!$E$10:$Q$115,12,0),weapon_components!E10),2)</f>
        <v>78.56</v>
      </c>
      <c r="F10" s="5">
        <f>ROUND(_xlfn.IFNA(VLOOKUP(A10,'Weapon Formulas'!$E$10:$L$115,8,0),weapon_components!F10),2)</f>
        <v>0.01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-11.13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Formulas'!$E$10:$Z$115,15,0),weapon_components!L10),1)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20.5</v>
      </c>
      <c r="E11" s="5">
        <f>ROUND(_xlfn.IFNA(VLOOKUP(A11,'Weapon Formulas'!$E$10:$Q$115,12,0),weapon_components!E11),2)</f>
        <v>34.17</v>
      </c>
      <c r="F11" s="5">
        <f>ROUND(_xlfn.IFNA(VLOOKUP(A11,'Weapon Formulas'!$E$10:$L$115,8,0),weapon_components!F11),2)</f>
        <v>0.04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-1.17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Formulas'!$E$10:$Z$115,15,0),weapon_components!L11),1)</f>
        <v>26.9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45.67</v>
      </c>
      <c r="E12" s="5">
        <f>ROUND(_xlfn.IFNA(VLOOKUP(A12,'Weapon Formulas'!$E$10:$Q$115,12,0),weapon_components!E12),2)</f>
        <v>76.12</v>
      </c>
      <c r="F12" s="5">
        <f>ROUND(_xlfn.IFNA(VLOOKUP(A12,'Weapon Formulas'!$E$10:$L$115,8,0),weapon_components!F12),2)</f>
        <v>0.04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-1.8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Formulas'!$E$10:$Z$115,15,0),weapon_components!L12),1)</f>
        <v>33.6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105.13</v>
      </c>
      <c r="E13" s="5">
        <f>ROUND(_xlfn.IFNA(VLOOKUP(A13,'Weapon Formulas'!$E$10:$Q$115,12,0),weapon_components!E13),2)</f>
        <v>175.22</v>
      </c>
      <c r="F13" s="5">
        <f>ROUND(_xlfn.IFNA(VLOOKUP(A13,'Weapon Formulas'!$E$10:$L$115,8,0),weapon_components!F13),2)</f>
        <v>0.04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-2.33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Formulas'!$E$10:$Z$115,15,0),weapon_components!L13),1)</f>
        <v>40.299999999999997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34.700000000000003</v>
      </c>
      <c r="E14" s="5">
        <f>ROUND(_xlfn.IFNA(VLOOKUP(A14,'Weapon Formulas'!$E$10:$Q$115,12,0),weapon_components!E14),2)</f>
        <v>57.83</v>
      </c>
      <c r="F14" s="5">
        <f>ROUND(_xlfn.IFNA(VLOOKUP(A14,'Weapon Formulas'!$E$10:$L$115,8,0),weapon_components!F14),2)</f>
        <v>7.0000000000000007E-2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-0.74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Formulas'!$E$10:$Z$115,15,0),weapon_components!L14),1)</f>
        <v>29.8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76.84</v>
      </c>
      <c r="E15" s="5">
        <f>ROUND(_xlfn.IFNA(VLOOKUP(A15,'Weapon Formulas'!$E$10:$Q$115,12,0),weapon_components!E15),2)</f>
        <v>128.06</v>
      </c>
      <c r="F15" s="5">
        <f>ROUND(_xlfn.IFNA(VLOOKUP(A15,'Weapon Formulas'!$E$10:$L$115,8,0),weapon_components!F15),2)</f>
        <v>7.0000000000000007E-2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-1.05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Formulas'!$E$10:$Z$115,15,0),weapon_components!L15),1)</f>
        <v>37.200000000000003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176</v>
      </c>
      <c r="E16" s="5">
        <f>ROUND(_xlfn.IFNA(VLOOKUP(A16,'Weapon Formulas'!$E$10:$Q$115,12,0),weapon_components!E16),2)</f>
        <v>293.33999999999997</v>
      </c>
      <c r="F16" s="5">
        <f>ROUND(_xlfn.IFNA(VLOOKUP(A16,'Weapon Formulas'!$E$10:$L$115,8,0),weapon_components!F16),2)</f>
        <v>7.0000000000000007E-2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-1.31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Formulas'!$E$10:$Z$115,15,0),weapon_components!L16),1)</f>
        <v>44.6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52.04</v>
      </c>
      <c r="E17" s="5">
        <f>ROUND(_xlfn.IFNA(VLOOKUP(A17,'Weapon Formulas'!$E$10:$Q$115,12,0),weapon_components!E17),2)</f>
        <v>86.73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-0.94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Formulas'!$E$10:$Z$115,15,0),weapon_components!L17),1)</f>
        <v>32.6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114.61</v>
      </c>
      <c r="E18" s="5">
        <f>ROUND(_xlfn.IFNA(VLOOKUP(A18,'Weapon Formulas'!$E$10:$Q$115,12,0),weapon_components!E18),2)</f>
        <v>191.01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-1.17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Formulas'!$E$10:$Z$115,15,0),weapon_components!L18),1)</f>
        <v>40.799999999999997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261.32</v>
      </c>
      <c r="E19" s="5">
        <f>ROUND(_xlfn.IFNA(VLOOKUP(A19,'Weapon Formulas'!$E$10:$Q$115,12,0),weapon_components!E19),2)</f>
        <v>435.53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-1.37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Formulas'!$E$10:$Z$115,15,0),weapon_components!L19),1)</f>
        <v>49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72.92</v>
      </c>
      <c r="E20" s="5">
        <f>ROUND(_xlfn.IFNA(VLOOKUP(A20,'Weapon Formulas'!$E$10:$Q$115,12,0),weapon_components!E20),2)</f>
        <v>121.53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-0.91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Formulas'!$E$10:$Z$115,15,0),weapon_components!L20),1)</f>
        <v>35.5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159.82</v>
      </c>
      <c r="E21" s="5">
        <f>ROUND(_xlfn.IFNA(VLOOKUP(A21,'Weapon Formulas'!$E$10:$Q$115,12,0),weapon_components!E21),2)</f>
        <v>266.37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-1.08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Formulas'!$E$10:$Z$115,15,0),weapon_components!L21),1)</f>
        <v>44.4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362.91</v>
      </c>
      <c r="E22" s="5">
        <f>ROUND(_xlfn.IFNA(VLOOKUP(A22,'Weapon Formulas'!$E$10:$Q$115,12,0),weapon_components!E22),2)</f>
        <v>604.86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-1.23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Formulas'!$E$10:$Z$115,15,0),weapon_components!L22),1)</f>
        <v>53.3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Formulas'!$E$10:$Z$115,15,0),weapon_components!L24),1)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Formulas'!$E$10:$Z$115,15,0),weapon_components!L25),1)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Formulas'!$E$10:$Z$115,15,0),weapon_components!L26),1)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327.58</v>
      </c>
      <c r="E28" s="5">
        <f>ROUND(_xlfn.IFNA(VLOOKUP(A28,'Weapon Formulas'!$E$10:$Q$115,12,0),weapon_components!E28),2)</f>
        <v>545.97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6.23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Formulas'!$E$10:$Z$115,15,0),weapon_components!L28),1)</f>
        <v>49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362.72</v>
      </c>
      <c r="E29" s="5">
        <f>ROUND(_xlfn.IFNA(VLOOKUP(A29,'Weapon Formulas'!$E$10:$Q$115,12,0),weapon_components!E29),2)</f>
        <v>604.53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Formulas'!$E$10:$Z$115,15,0),weapon_components!L29),1)</f>
        <v>53.3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24.32</v>
      </c>
      <c r="E31" s="5">
        <f>ROUND(_xlfn.IFNA(VLOOKUP(A31,'Weapon Formulas'!$E$10:$Q$115,12,0),weapon_components!E31),2)</f>
        <v>40.54</v>
      </c>
      <c r="F31" s="5">
        <f>ROUND(_xlfn.IFNA(VLOOKUP(A31,'Weapon Formulas'!$E$10:$L$115,8,0),weapon_components!F31),2)</f>
        <v>7.0000000000000007E-2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2.6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Formulas'!$E$10:$Z$115,15,0),weapon_components!L31),1)</f>
        <v>29.8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43.5</v>
      </c>
      <c r="E32" s="5">
        <f>ROUND(_xlfn.IFNA(VLOOKUP(A32,'Weapon Formulas'!$E$10:$Q$115,12,0),weapon_components!E32),2)</f>
        <v>72.5</v>
      </c>
      <c r="F32" s="5">
        <f>ROUND(_xlfn.IFNA(VLOOKUP(A32,'Weapon Formulas'!$E$10:$L$115,8,0),weapon_components!F32),2)</f>
        <v>7.0000000000000007E-2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3.78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Formulas'!$E$10:$Z$115,15,0),weapon_components!L32),1)</f>
        <v>37.200000000000003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79.3</v>
      </c>
      <c r="E33" s="5">
        <f>ROUND(_xlfn.IFNA(VLOOKUP(A33,'Weapon Formulas'!$E$10:$Q$115,12,0),weapon_components!E33),2)</f>
        <v>132.16999999999999</v>
      </c>
      <c r="F33" s="5">
        <f>ROUND(_xlfn.IFNA(VLOOKUP(A33,'Weapon Formulas'!$E$10:$L$115,8,0),weapon_components!F33),2)</f>
        <v>7.0000000000000007E-2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5.35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Formulas'!$E$10:$Z$115,15,0),weapon_components!L33),1)</f>
        <v>44.6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31.06</v>
      </c>
      <c r="E34" s="5">
        <f>ROUND(_xlfn.IFNA(VLOOKUP(A34,'Weapon Formulas'!$E$10:$Q$115,12,0),weapon_components!E34),2)</f>
        <v>51.77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3.07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Formulas'!$E$10:$Z$115,15,0),weapon_components!L34),1)</f>
        <v>32.6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54.44</v>
      </c>
      <c r="E35" s="5">
        <f>ROUND(_xlfn.IFNA(VLOOKUP(A35,'Weapon Formulas'!$E$10:$Q$115,12,0),weapon_components!E35),2)</f>
        <v>90.74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4.38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Formulas'!$E$10:$Z$115,15,0),weapon_components!L35),1)</f>
        <v>40.799999999999997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96.55</v>
      </c>
      <c r="E36" s="5">
        <f>ROUND(_xlfn.IFNA(VLOOKUP(A36,'Weapon Formulas'!$E$10:$Q$115,12,0),weapon_components!E36),2)</f>
        <v>160.91999999999999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6.23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Formulas'!$E$10:$Z$115,15,0),weapon_components!L36),1)</f>
        <v>49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36.81</v>
      </c>
      <c r="E37" s="5">
        <f>ROUND(_xlfn.IFNA(VLOOKUP(A37,'Weapon Formulas'!$E$10:$Q$115,12,0),weapon_components!E37),2)</f>
        <v>61.35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3.39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Formulas'!$E$10:$Z$115,15,0),weapon_components!L37),1)</f>
        <v>35.5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62.75</v>
      </c>
      <c r="E38" s="5">
        <f>ROUND(_xlfn.IFNA(VLOOKUP(A38,'Weapon Formulas'!$E$10:$Q$115,12,0),weapon_components!E38),2)</f>
        <v>104.58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4.83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Formulas'!$E$10:$Z$115,15,0),weapon_components!L38),1)</f>
        <v>44.4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106.86</v>
      </c>
      <c r="E39" s="5">
        <f>ROUND(_xlfn.IFNA(VLOOKUP(A39,'Weapon Formulas'!$E$10:$Q$115,12,0),weapon_components!E39),2)</f>
        <v>178.11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Formulas'!$E$10:$Z$115,15,0),weapon_components!L39),1)</f>
        <v>53.3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824.51</v>
      </c>
      <c r="E41" s="5">
        <f>ROUND(_xlfn.IFNA(VLOOKUP(A41,'Weapon Formulas'!$E$10:$Q$115,12,0),weapon_components!E41),2)</f>
        <v>1374.18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-1.49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Formulas'!$E$10:$Z$115,15,0),weapon_components!L41),1)</f>
        <v>49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1217.25</v>
      </c>
      <c r="E42" s="5">
        <f>ROUND(_xlfn.IFNA(VLOOKUP(A42,'Weapon Formulas'!$E$10:$Q$115,12,0),weapon_components!E42),2)</f>
        <v>2028.75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-1.32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Formulas'!$E$10:$Z$115,15,0),weapon_components!L42),1)</f>
        <v>53.3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60.56</v>
      </c>
      <c r="E44" s="5">
        <f>ROUND(_xlfn.IFNA(VLOOKUP(A44,'Weapon Formulas'!$E$10:$Q$115,12,0),weapon_components!E44),2)</f>
        <v>100.94</v>
      </c>
      <c r="F44" s="5">
        <f>ROUND(_xlfn.IFNA(VLOOKUP(A44,'Weapon Formulas'!$E$10:$L$115,8,0),weapon_components!F44),2)</f>
        <v>2.4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-1.68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Formulas'!$E$10:$Z$115,15,0),weapon_components!L44),1)</f>
        <v>22.3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25.83</v>
      </c>
      <c r="E45" s="5">
        <f>ROUND(_xlfn.IFNA(VLOOKUP(A45,'Weapon Formulas'!$E$10:$Q$115,12,0),weapon_components!E45),2)</f>
        <v>43.05</v>
      </c>
      <c r="F45" s="5">
        <f>ROUND(_xlfn.IFNA(VLOOKUP(A45,'Weapon Formulas'!$E$10:$L$115,8,0),weapon_components!F45),2)</f>
        <v>2.4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-1.68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Formulas'!$E$10:$Z$115,15,0),weapon_components!L45),1)</f>
        <v>26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44.01</v>
      </c>
      <c r="E46" s="5">
        <f>ROUND(_xlfn.IFNA(VLOOKUP(A46,'Weapon Formulas'!$E$10:$Q$115,12,0),weapon_components!E46),2)</f>
        <v>73.36</v>
      </c>
      <c r="F46" s="5">
        <f>ROUND(_xlfn.IFNA(VLOOKUP(A46,'Weapon Formulas'!$E$10:$L$115,8,0),weapon_components!F46),2)</f>
        <v>2.4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-1.68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Formulas'!$E$10:$Z$115,15,0),weapon_components!L46),1)</f>
        <v>29.8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18.41</v>
      </c>
      <c r="E47" s="5">
        <f>ROUND(_xlfn.IFNA(VLOOKUP(A47,'Weapon Formulas'!$E$10:$Q$115,12,0),weapon_components!E47),2)</f>
        <v>30.68</v>
      </c>
      <c r="F47" s="5">
        <f>ROUND(_xlfn.IFNA(VLOOKUP(A47,'Weapon Formulas'!$E$10:$L$115,8,0),weapon_components!F47),2)</f>
        <v>2.6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-1.52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Formulas'!$E$10:$Z$115,15,0),weapon_components!L47),1)</f>
        <v>24.5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30.15</v>
      </c>
      <c r="E48" s="5">
        <f>ROUND(_xlfn.IFNA(VLOOKUP(A48,'Weapon Formulas'!$E$10:$Q$115,12,0),weapon_components!E48),2)</f>
        <v>50.25</v>
      </c>
      <c r="F48" s="5">
        <f>ROUND(_xlfn.IFNA(VLOOKUP(A48,'Weapon Formulas'!$E$10:$L$115,8,0),weapon_components!F48),2)</f>
        <v>2.6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-1.52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Formulas'!$E$10:$Z$115,15,0),weapon_components!L48),1)</f>
        <v>28.6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48.18</v>
      </c>
      <c r="E49" s="5">
        <f>ROUND(_xlfn.IFNA(VLOOKUP(A49,'Weapon Formulas'!$E$10:$Q$115,12,0),weapon_components!E49),2)</f>
        <v>80.3</v>
      </c>
      <c r="F49" s="5">
        <f>ROUND(_xlfn.IFNA(VLOOKUP(A49,'Weapon Formulas'!$E$10:$L$115,8,0),weapon_components!F49),2)</f>
        <v>2.6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-1.52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Formulas'!$E$10:$Z$115,15,0),weapon_components!L49),1)</f>
        <v>32.6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20.350000000000001</v>
      </c>
      <c r="E50" s="5">
        <f>ROUND(_xlfn.IFNA(VLOOKUP(A50,'Weapon Formulas'!$E$10:$Q$115,12,0),weapon_components!E50),2)</f>
        <v>33.92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-1.23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Formulas'!$E$10:$Z$115,15,0),weapon_components!L50),1)</f>
        <v>26.6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31.26</v>
      </c>
      <c r="E51" s="5">
        <f>ROUND(_xlfn.IFNA(VLOOKUP(A51,'Weapon Formulas'!$E$10:$Q$115,12,0),weapon_components!E51),2)</f>
        <v>52.1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-1.23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Formulas'!$E$10:$Z$115,15,0),weapon_components!L51),1)</f>
        <v>31.1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44.41</v>
      </c>
      <c r="E52" s="5">
        <f>ROUND(_xlfn.IFNA(VLOOKUP(A52,'Weapon Formulas'!$E$10:$Q$115,12,0),weapon_components!E52),2)</f>
        <v>74.010000000000005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-1.23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Formulas'!$E$10:$Z$115,15,0),weapon_components!L52),1)</f>
        <v>35.5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634.4</v>
      </c>
      <c r="E54" s="5">
        <f>ROUND(_xlfn.IFNA(VLOOKUP(A54,'Weapon Formulas'!$E$10:$Q$115,12,0),weapon_components!E54),2)</f>
        <v>1057.33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-1.26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Formulas'!$E$10:$Z$115,15,0),weapon_components!L54),1)</f>
        <v>97.9</v>
      </c>
      <c r="M54" s="2">
        <v>0.95</v>
      </c>
      <c r="N54" s="5">
        <f>ROUND(_xlfn.IFNA(VLOOKUP(A54,'Weapon Formulas'!$E$10:$W$115,16,0),weapon_components!N54),2)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846.33</v>
      </c>
      <c r="E55" s="5">
        <f>ROUND(_xlfn.IFNA(VLOOKUP(A55,'Weapon Formulas'!$E$10:$Q$115,12,0),weapon_components!E55),2)</f>
        <v>1410.56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Formulas'!$E$10:$Z$115,15,0),weapon_components!L55),1)</f>
        <v>106.6</v>
      </c>
      <c r="M55" s="2">
        <v>0.95</v>
      </c>
      <c r="N55" s="5">
        <f>ROUND(_xlfn.IFNA(VLOOKUP(A55,'Weapon Formulas'!$E$10:$W$115,16,0),weapon_components!N55),2)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8.0399999999999991</v>
      </c>
      <c r="E57" s="5">
        <f>ROUND(_xlfn.IFNA(VLOOKUP(A57,'Weapon Formulas'!$E$10:$Q$115,12,0),weapon_components!E57),2)</f>
        <v>13.41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-18.190000000000001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Formulas'!$E$10:$Z$115,15,0),weapon_components!L57),1)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14.28</v>
      </c>
      <c r="E58" s="5">
        <f>ROUND(_xlfn.IFNA(VLOOKUP(A58,'Weapon Formulas'!$E$10:$Q$115,12,0),weapon_components!E58),2)</f>
        <v>23.8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-13.06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Formulas'!$E$10:$Z$115,15,0),weapon_components!L58),1)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</v>
      </c>
      <c r="E59" s="5">
        <f>ROUND(_xlfn.IFNA(VLOOKUP(A59,'Weapon Formulas'!$E$10:$Q$115,12,0),weapon_components!E59),2)</f>
        <v>41.67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-5.73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Formulas'!$E$10:$Z$115,15,0),weapon_components!L59),1)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17.260000000000002</v>
      </c>
      <c r="E60" s="5">
        <f>ROUND(_xlfn.IFNA(VLOOKUP(A60,'Weapon Formulas'!$E$10:$Q$115,12,0),weapon_components!E60),2)</f>
        <v>28.77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-3.36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Formulas'!$E$10:$Z$115,15,0),weapon_components!L60),1)</f>
        <v>40.299999999999997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30.79</v>
      </c>
      <c r="E61" s="5">
        <f>ROUND(_xlfn.IFNA(VLOOKUP(A61,'Weapon Formulas'!$E$10:$Q$115,12,0),weapon_components!E61),2)</f>
        <v>51.31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-2.31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Formulas'!$E$10:$Z$115,15,0),weapon_components!L61),1)</f>
        <v>50.4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54.16</v>
      </c>
      <c r="E62" s="5">
        <f>ROUND(_xlfn.IFNA(VLOOKUP(A62,'Weapon Formulas'!$E$10:$Q$115,12,0),weapon_components!E62),2)</f>
        <v>90.27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-0.8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Formulas'!$E$10:$Z$115,15,0),weapon_components!L62),1)</f>
        <v>60.5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28.11</v>
      </c>
      <c r="E63" s="5">
        <f>ROUND(_xlfn.IFNA(VLOOKUP(A63,'Weapon Formulas'!$E$10:$Q$115,12,0),weapon_components!E63),2)</f>
        <v>46.85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-1.68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Formulas'!$E$10:$Z$115,15,0),weapon_components!L63),1)</f>
        <v>44.6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50.22</v>
      </c>
      <c r="E64" s="5">
        <f>ROUND(_xlfn.IFNA(VLOOKUP(A64,'Weapon Formulas'!$E$10:$Q$115,12,0),weapon_components!E64),2)</f>
        <v>83.7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-1.0900000000000001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Formulas'!$E$10:$Z$115,15,0),weapon_components!L64),1)</f>
        <v>55.8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88.48</v>
      </c>
      <c r="E65" s="5">
        <f>ROUND(_xlfn.IFNA(VLOOKUP(A65,'Weapon Formulas'!$E$10:$Q$115,12,0),weapon_components!E65),2)</f>
        <v>147.47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-0.26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Formulas'!$E$10:$Z$115,15,0),weapon_components!L65),1)</f>
        <v>67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41.07</v>
      </c>
      <c r="E66" s="5">
        <f>ROUND(_xlfn.IFNA(VLOOKUP(A66,'Weapon Formulas'!$E$10:$Q$115,12,0),weapon_components!E66),2)</f>
        <v>68.45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-1.52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Formulas'!$E$10:$Z$115,15,0),weapon_components!L66),1)</f>
        <v>49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73.430000000000007</v>
      </c>
      <c r="E67" s="5">
        <f>ROUND(_xlfn.IFNA(VLOOKUP(A67,'Weapon Formulas'!$E$10:$Q$115,12,0),weapon_components!E67),2)</f>
        <v>122.38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-1.03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Formulas'!$E$10:$Z$115,15,0),weapon_components!L67),1)</f>
        <v>61.2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129.47999999999999</v>
      </c>
      <c r="E68" s="5">
        <f>ROUND(_xlfn.IFNA(VLOOKUP(A68,'Weapon Formulas'!$E$10:$Q$115,12,0),weapon_components!E68),2)</f>
        <v>215.8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-0.34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Formulas'!$E$10:$Z$115,15,0),weapon_components!L68),1)</f>
        <v>73.400000000000006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56.82</v>
      </c>
      <c r="E69" s="5">
        <f>ROUND(_xlfn.IFNA(VLOOKUP(A69,'Weapon Formulas'!$E$10:$Q$115,12,0),weapon_components!E69),2)</f>
        <v>94.7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-1.23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Formulas'!$E$10:$Z$115,15,0),weapon_components!L69),1)</f>
        <v>53.3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101.63</v>
      </c>
      <c r="E70" s="5">
        <f>ROUND(_xlfn.IFNA(VLOOKUP(A70,'Weapon Formulas'!$E$10:$Q$115,12,0),weapon_components!E70),2)</f>
        <v>169.39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-0.85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Formulas'!$E$10:$Z$115,15,0),weapon_components!L70),1)</f>
        <v>66.599999999999994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179.31</v>
      </c>
      <c r="E71" s="5">
        <f>ROUND(_xlfn.IFNA(VLOOKUP(A71,'Weapon Formulas'!$E$10:$Q$115,12,0),weapon_components!E71),2)</f>
        <v>298.85000000000002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Formulas'!$E$10:$Z$115,15,0),weapon_components!L71),1)</f>
        <v>79.900000000000006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Formulas'!$E$10:$Z$115,15,0),weapon_components!L73),1)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Formulas'!$E$10:$Z$115,15,0),weapon_components!L74),1)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Formulas'!$E$10:$Z$115,15,0),weapon_components!L75),1)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1785.71</v>
      </c>
      <c r="E77" s="5">
        <f>ROUND(_xlfn.IFNA(VLOOKUP(A77,'Weapon Formulas'!$E$10:$Q$115,12,0),weapon_components!E77),2)</f>
        <v>2976.19</v>
      </c>
      <c r="F77" s="5">
        <f>ROUND(_xlfn.IFNA(VLOOKUP(A77,'Weapon Formulas'!$E$10:$L$115,8,0),weapon_components!F77),2)</f>
        <v>7.0000000000000007E-2</v>
      </c>
      <c r="G77" s="5">
        <f>ROUND(_xlfn.IFNA(VLOOKUP(A77,'Weapon Formulas'!$E$10:$P$115,9,0),weapon_components!G77),2)</f>
        <v>0</v>
      </c>
      <c r="H77" s="5">
        <f>ROUND(_xlfn.IFNA(VLOOKUP(A77,'Weapon Formulas'!$E$10:$L$115,7,0),weapon_components!H77),2)</f>
        <v>-1.93</v>
      </c>
      <c r="I77" s="5">
        <v>35</v>
      </c>
      <c r="J77" s="5">
        <v>45</v>
      </c>
      <c r="K77" s="5">
        <v>30</v>
      </c>
      <c r="L77" s="5">
        <f>ROUND(_xlfn.IFNA(VLOOKUP(A77,'Weapon Formulas'!$E$10:$Z$115,15,0),weapon_components!L77),1)</f>
        <v>114.2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2637.36</v>
      </c>
      <c r="E78" s="5">
        <f>ROUND(_xlfn.IFNA(VLOOKUP(A78,'Weapon Formulas'!$E$10:$Q$115,12,0),weapon_components!E78),2)</f>
        <v>4395.6000000000004</v>
      </c>
      <c r="F78" s="5">
        <f>ROUND(_xlfn.IFNA(VLOOKUP(A78,'Weapon Formulas'!$E$10:$L$115,8,0),weapon_components!F78),2)</f>
        <v>0.08</v>
      </c>
      <c r="G78" s="5">
        <f>ROUND(_xlfn.IFNA(VLOOKUP(A78,'Weapon Formulas'!$E$10:$P$115,9,0),weapon_components!G78),2)</f>
        <v>0</v>
      </c>
      <c r="H78" s="5">
        <f>ROUND(_xlfn.IFNA(VLOOKUP(A78,'Weapon Formulas'!$E$10:$L$115,7,0),weapon_components!H78),2)</f>
        <v>-1.58</v>
      </c>
      <c r="I78" s="5">
        <v>35</v>
      </c>
      <c r="J78" s="5">
        <v>45</v>
      </c>
      <c r="K78" s="5">
        <v>30</v>
      </c>
      <c r="L78" s="5">
        <f>ROUND(_xlfn.IFNA(VLOOKUP(A78,'Weapon Formulas'!$E$10:$Z$115,15,0),weapon_components!L78),1)</f>
        <v>124.3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12.03</v>
      </c>
      <c r="E80" s="5">
        <f>ROUND(_xlfn.IFNA(VLOOKUP(A80,'Weapon Formulas'!$E$10:$Q$115,12,0),weapon_components!E80),2)</f>
        <v>20.059999999999999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1.02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Formulas'!$E$10:$Z$115,15,0),weapon_components!L80),1)</f>
        <v>44.6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17.940000000000001</v>
      </c>
      <c r="E81" s="5">
        <f>ROUND(_xlfn.IFNA(VLOOKUP(A81,'Weapon Formulas'!$E$10:$Q$115,12,0),weapon_components!E81),2)</f>
        <v>29.91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3.26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Formulas'!$E$10:$Z$115,15,0),weapon_components!L81),1)</f>
        <v>55.8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23.92</v>
      </c>
      <c r="E82" s="5">
        <f>ROUND(_xlfn.IFNA(VLOOKUP(A82,'Weapon Formulas'!$E$10:$Q$115,12,0),weapon_components!E82),2)</f>
        <v>39.869999999999997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8.1999999999999993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Formulas'!$E$10:$Z$115,15,0),weapon_components!L82),1)</f>
        <v>67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17.61</v>
      </c>
      <c r="E83" s="5">
        <f>ROUND(_xlfn.IFNA(VLOOKUP(A83,'Weapon Formulas'!$E$10:$Q$115,12,0),weapon_components!E83),2)</f>
        <v>29.34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0.74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Formulas'!$E$10:$Z$115,15,0),weapon_components!L83),1)</f>
        <v>49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26.25</v>
      </c>
      <c r="E84" s="5">
        <f>ROUND(_xlfn.IFNA(VLOOKUP(A84,'Weapon Formulas'!$E$10:$Q$115,12,0),weapon_components!E84),2)</f>
        <v>43.75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Formulas'!$E$10:$Z$115,15,0),weapon_components!L84),1)</f>
        <v>61.2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35</v>
      </c>
      <c r="E85" s="5">
        <f>ROUND(_xlfn.IFNA(VLOOKUP(A85,'Weapon Formulas'!$E$10:$Q$115,12,0),weapon_components!E85),2)</f>
        <v>58.33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6.78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Formulas'!$E$10:$Z$115,15,0),weapon_components!L85),1)</f>
        <v>73.400000000000006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24.38</v>
      </c>
      <c r="E86" s="5">
        <f>ROUND(_xlfn.IFNA(VLOOKUP(A86,'Weapon Formulas'!$E$10:$Q$115,12,0),weapon_components!E86),2)</f>
        <v>40.630000000000003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0.54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Formulas'!$E$10:$Z$115,15,0),weapon_components!L86),1)</f>
        <v>53.3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36.35</v>
      </c>
      <c r="E87" s="5">
        <f>ROUND(_xlfn.IFNA(VLOOKUP(A87,'Weapon Formulas'!$E$10:$Q$115,12,0),weapon_components!E87),2)</f>
        <v>60.58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2.02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Formulas'!$E$10:$Z$115,15,0),weapon_components!L87),1)</f>
        <v>66.599999999999994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48.46</v>
      </c>
      <c r="E88" s="5">
        <f>ROUND(_xlfn.IFNA(VLOOKUP(A88,'Weapon Formulas'!$E$10:$Q$115,12,0),weapon_components!E88),2)</f>
        <v>80.77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5.27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Formulas'!$E$10:$Z$115,15,0),weapon_components!L88),1)</f>
        <v>79.900000000000006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f>ROUND(_xlfn.IFNA(VLOOKUP(A90,'Weapon Formulas'!$E$10:$Z$115,15,0),weapon_components!L90),1)</f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Formulas'!$E$10:$Z$115,15,0),weapon_components!L91),1)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Formulas'!$E$10:$Z$115,15,0),weapon_components!L93),1)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-7.64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Formulas'!$E$10:$Z$115,15,0),weapon_components!L94),1)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-10.67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Formulas'!$E$10:$Z$115,15,0),weapon_components!L95),1)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-0.92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Formulas'!$E$10:$Z$115,15,0),weapon_components!L96),1)</f>
        <v>53.8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-1.59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Formulas'!$E$10:$Z$115,15,0),weapon_components!L97),1)</f>
        <v>67.2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-2.16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Formulas'!$E$10:$Z$115,15,0),weapon_components!L98),1)</f>
        <v>80.599999999999994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-0.56000000000000005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Formulas'!$E$10:$Z$115,15,0),weapon_components!L99),1)</f>
        <v>59.5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-0.9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Formulas'!$E$10:$Z$115,15,0),weapon_components!L100),1)</f>
        <v>74.400000000000006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-1.19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Formulas'!$E$10:$Z$115,15,0),weapon_components!L101),1)</f>
        <v>89.3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-0.75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Formulas'!$E$10:$Z$115,15,0),weapon_components!L102),1)</f>
        <v>65.3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-1.02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Formulas'!$E$10:$Z$115,15,0),weapon_components!L103),1)</f>
        <v>81.599999999999994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-1.26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Formulas'!$E$10:$Z$115,15,0),weapon_components!L104),1)</f>
        <v>97.9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Formulas'!$E$10:$Z$115,15,0),weapon_components!L105),1)</f>
        <v>71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Formulas'!$E$10:$Z$115,15,0),weapon_components!L106),1)</f>
        <v>88.8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Formulas'!$E$10:$Z$115,15,0),weapon_components!L107),1)</f>
        <v>106.6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Formulas'!$E$10:$Z$115,15,0),weapon_components!L109),1)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Formulas'!$E$10:$Z$115,15,0),weapon_components!L110),1)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Formulas'!$E$10:$Z$115,15,0),weapon_components!L111),1)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0.76</v>
      </c>
      <c r="H113" s="5">
        <f>ROUND(_xlfn.IFNA(VLOOKUP(A113,'Weapon Formulas'!$E$10:$L$115,7,0),weapon_components!H113),2)</f>
        <v>0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Formulas'!$E$10:$Z$115,15,0),weapon_components!L113),1)</f>
        <v>59.5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0.74</v>
      </c>
      <c r="H114" s="5">
        <f>ROUND(_xlfn.IFNA(VLOOKUP(A114,'Weapon Formulas'!$E$10:$L$115,7,0),weapon_components!H114),2)</f>
        <v>-0.38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Formulas'!$E$10:$Z$115,15,0),weapon_components!L114),1)</f>
        <v>74.400000000000006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0.72</v>
      </c>
      <c r="H115" s="5">
        <f>ROUND(_xlfn.IFNA(VLOOKUP(A115,'Weapon Formulas'!$E$10:$L$115,7,0),weapon_components!H115),2)</f>
        <v>-0.71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Formulas'!$E$10:$Z$115,15,0),weapon_components!L115),1)</f>
        <v>89.3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0.74</v>
      </c>
      <c r="H116" s="5">
        <f>ROUND(_xlfn.IFNA(VLOOKUP(A116,'Weapon Formulas'!$E$10:$L$115,7,0),weapon_components!H116),2)</f>
        <v>-0.28000000000000003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Formulas'!$E$10:$Z$115,15,0),weapon_components!L116),1)</f>
        <v>65.3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0.72</v>
      </c>
      <c r="H117" s="5">
        <f>ROUND(_xlfn.IFNA(VLOOKUP(A117,'Weapon Formulas'!$E$10:$L$115,7,0),weapon_components!H117),2)</f>
        <v>-0.57999999999999996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Formulas'!$E$10:$Z$115,15,0),weapon_components!L117),1)</f>
        <v>81.599999999999994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0.7</v>
      </c>
      <c r="H118" s="5">
        <f>ROUND(_xlfn.IFNA(VLOOKUP(A118,'Weapon Formulas'!$E$10:$L$115,7,0),weapon_components!H118),2)</f>
        <v>-0.85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Formulas'!$E$10:$Z$115,15,0),weapon_components!L118),1)</f>
        <v>97.9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0.72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Formulas'!$E$10:$Z$115,15,0),weapon_components!L119),1)</f>
        <v>71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0.7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Formulas'!$E$10:$Z$115,15,0),weapon_components!L120),1)</f>
        <v>88.8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0.68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Formulas'!$E$10:$Z$115,15,0),weapon_components!L121),1)</f>
        <v>106.6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-1.02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Formulas'!$E$10:$Z$115,15,0),weapon_components!L123),1)</f>
        <v>81.599999999999994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Formulas'!$E$10:$Z$115,15,0),weapon_components!L124),1)</f>
        <v>88.8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Formulas'!$E$10:$Z$115,15,0),weapon_components!L126),1)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Formulas'!$E$10:$Z$115,15,0),weapon_components!L127),1)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Formulas'!$E$10:$Z$115,15,0),weapon_components!L129),1)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Formulas'!$E$10:$Z$115,15,0),weapon_components!L130),1)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Formulas'!$E$10:$Z$115,15,0),weapon_components!L131),1)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Formulas'!$E$10:$Z$115,15,0),weapon_components!L132),1)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Formulas'!$E$10:$Z$115,15,0),weapon_components!L133),1)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Formulas'!$E$10:$Z$115,15,0),weapon_components!L134),1)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Formulas'!$E$10:$Z$115,15,0),weapon_components!L135),1)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Formulas'!$E$10:$Z$115,15,0),weapon_components!L136),1)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Formulas'!$E$10:$Z$115,15,0),weapon_components!L137),1)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Formulas'!$E$10:$Z$115,15,0),weapon_components!L138),1)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Formulas'!$E$10:$Z$115,15,0),weapon_components!L139),1)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Formulas'!$E$10:$Z$115,15,0),weapon_components!L140),1)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Formulas'!$E$10:$Z$115,15,0),weapon_components!L141),1)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Formulas'!$E$10:$Z$115,15,0),weapon_components!L142),1)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Formulas'!$E$10:$Z$115,15,0),weapon_components!L143),1)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Formulas'!$E$10:$Z$115,15,0),weapon_components!L144),1)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Formulas'!$E$10:$Z$115,15,0),weapon_components!L145),1)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Formulas'!$E$10:$Z$115,15,0),weapon_components!L146),1)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Formulas'!$E$10:$Z$115,15,0),weapon_components!L147),1)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Formulas'!$E$10:$Z$115,15,0),weapon_components!L148),1)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Formulas'!$E$10:$Z$115,15,0),weapon_components!L149),1)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Formulas'!$E$10:$Z$115,15,0),weapon_components!L150),1)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Formulas'!$E$10:$Z$115,15,0),weapon_components!L151),1)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Formulas'!$E$10:$Z$115,15,0),weapon_components!L152),1)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Formulas'!$E$10:$Z$115,15,0),weapon_components!L154),1)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Formulas'!$E$10:$Z$115,15,0),weapon_components!L155),1)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Formulas'!$E$10:$Z$115,15,0),weapon_components!L156),1)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Formulas'!$E$10:$Z$115,15,0),weapon_components!L157),1)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Formulas'!$E$10:$Z$115,15,0),weapon_components!L158),1)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Formulas'!$E$10:$Z$115,15,0),weapon_components!L159),1)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Formulas'!$E$10:$Z$115,15,0),weapon_components!L160),1)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Formulas'!$E$10:$Z$115,15,0),weapon_components!L161),1)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Formulas'!$E$10:$Z$115,15,0),weapon_components!L163),1)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Formulas'!$E$10:$Z$115,15,0),weapon_components!L164),1)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Formulas'!$E$10:$Z$115,15,0),weapon_components!L165),1)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Formulas'!$E$10:$Z$115,15,0),weapon_components!L167),1)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Formulas'!$E$10:$Z$115,15,0),weapon_components!L168),1)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Formulas'!$E$10:$Z$115,15,0),weapon_components!L169),1)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Formulas'!$E$10:$Z$115,15,0),weapon_components!L170),1)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Formulas'!$E$10:$Z$115,15,0),weapon_components!L171),1)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Formulas'!$E$10:$Z$115,15,0),weapon_components!L172),1)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Formulas'!$E$10:$Z$115,15,0),weapon_components!L174),1)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Formulas'!$E$10:$Z$115,15,0),weapon_components!L176),0)</f>
        <v>8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Formulas'!$E$10:$Z$115,15,0),weapon_components!L177),0)</f>
        <v>8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Formulas'!$E$10:$Z$115,15,0),weapon_components!L178),0)</f>
        <v>8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weapon_components</vt:lpstr>
      <vt:lpstr>Weapon Formulas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2016-05-19T23:11:24Z</dcterms:modified>
</cp:coreProperties>
</file>