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3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/>
</workbook>
</file>

<file path=xl/calcChain.xml><?xml version="1.0" encoding="utf-8"?>
<calcChain xmlns="http://schemas.openxmlformats.org/spreadsheetml/2006/main">
  <c r="B20" i="5" l="1"/>
  <c r="R161" i="2"/>
  <c r="T154" i="2"/>
  <c r="T155" i="2"/>
  <c r="T156" i="2"/>
  <c r="T153" i="2"/>
  <c r="T111" i="2"/>
  <c r="H161" i="2"/>
  <c r="H163" i="2"/>
  <c r="I167" i="2"/>
  <c r="I166" i="2"/>
  <c r="I165" i="2"/>
  <c r="J167" i="2"/>
  <c r="J166" i="2"/>
  <c r="J165" i="2"/>
  <c r="J170" i="2"/>
  <c r="J169" i="2"/>
  <c r="I170" i="2"/>
  <c r="I169" i="2"/>
  <c r="H170" i="2"/>
  <c r="R170" i="2" s="1"/>
  <c r="G170" i="2" s="1"/>
  <c r="H169" i="2"/>
  <c r="R169" i="2" s="1"/>
  <c r="H172" i="2"/>
  <c r="H173" i="2"/>
  <c r="I172" i="2"/>
  <c r="I173" i="2"/>
  <c r="J173" i="2"/>
  <c r="J172" i="2"/>
  <c r="G151" i="2"/>
  <c r="F151" i="2"/>
  <c r="F172" i="2"/>
  <c r="U172" i="2"/>
  <c r="S172" i="2"/>
  <c r="Q172" i="2"/>
  <c r="L172" i="2"/>
  <c r="F160" i="3" s="1"/>
  <c r="U173" i="2"/>
  <c r="U166" i="2"/>
  <c r="U167" i="2"/>
  <c r="U165" i="2"/>
  <c r="U170" i="2"/>
  <c r="U169" i="2"/>
  <c r="F170" i="2"/>
  <c r="L170" i="2"/>
  <c r="Q170" i="2"/>
  <c r="S170" i="2"/>
  <c r="L169" i="2"/>
  <c r="G153" i="2"/>
  <c r="G48" i="2"/>
  <c r="H11" i="2"/>
  <c r="G166" i="2"/>
  <c r="G165" i="2"/>
  <c r="F169" i="2"/>
  <c r="L166" i="2"/>
  <c r="L167" i="2"/>
  <c r="L165" i="2"/>
  <c r="H167" i="2"/>
  <c r="F166" i="2"/>
  <c r="F167" i="2"/>
  <c r="F165" i="2"/>
  <c r="L159" i="2"/>
  <c r="H159" i="2"/>
  <c r="I159" i="2"/>
  <c r="J159" i="2"/>
  <c r="J158" i="2"/>
  <c r="I158" i="2"/>
  <c r="H158" i="2"/>
  <c r="L124" i="2"/>
  <c r="M111" i="2"/>
  <c r="H153" i="2"/>
  <c r="J161" i="2"/>
  <c r="I161" i="2"/>
  <c r="F162" i="2"/>
  <c r="F163" i="2"/>
  <c r="J163" i="2" s="1"/>
  <c r="L163" i="2"/>
  <c r="F154" i="3" s="1"/>
  <c r="Q163" i="2"/>
  <c r="S163" i="2"/>
  <c r="L154" i="3" s="1"/>
  <c r="U163" i="2"/>
  <c r="F155" i="3"/>
  <c r="Q165" i="2"/>
  <c r="S165" i="2"/>
  <c r="L155" i="3" s="1"/>
  <c r="Q166" i="2"/>
  <c r="S166" i="2"/>
  <c r="L156" i="3" s="1"/>
  <c r="F157" i="3"/>
  <c r="Q167" i="2"/>
  <c r="S167" i="2"/>
  <c r="L157" i="3" s="1"/>
  <c r="F158" i="3"/>
  <c r="Q169" i="2"/>
  <c r="S169" i="2"/>
  <c r="L158" i="3" s="1"/>
  <c r="L160" i="3"/>
  <c r="F173" i="2"/>
  <c r="L173" i="2"/>
  <c r="F161" i="3" s="1"/>
  <c r="Q173" i="2"/>
  <c r="S173" i="2"/>
  <c r="N178" i="3"/>
  <c r="N177" i="3"/>
  <c r="N176" i="3"/>
  <c r="N174" i="3"/>
  <c r="N172" i="3"/>
  <c r="N171" i="3"/>
  <c r="N170" i="3"/>
  <c r="N169" i="3"/>
  <c r="N168" i="3"/>
  <c r="N167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4" i="3"/>
  <c r="N123" i="3"/>
  <c r="N121" i="3"/>
  <c r="N120" i="3"/>
  <c r="N119" i="3"/>
  <c r="N118" i="3"/>
  <c r="N117" i="3"/>
  <c r="N116" i="3"/>
  <c r="N115" i="3"/>
  <c r="N114" i="3"/>
  <c r="N113" i="3"/>
  <c r="N111" i="3"/>
  <c r="N110" i="3"/>
  <c r="N109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L178" i="3"/>
  <c r="M177" i="3"/>
  <c r="L177" i="3"/>
  <c r="M176" i="3"/>
  <c r="L176" i="3"/>
  <c r="L167" i="3"/>
  <c r="L165" i="3"/>
  <c r="M164" i="3"/>
  <c r="L164" i="3"/>
  <c r="M163" i="3"/>
  <c r="L163" i="3"/>
  <c r="L161" i="3"/>
  <c r="L159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L127" i="3"/>
  <c r="L126" i="3"/>
  <c r="M124" i="3"/>
  <c r="L124" i="3"/>
  <c r="M123" i="3"/>
  <c r="L123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1" i="3"/>
  <c r="L111" i="3"/>
  <c r="M110" i="3"/>
  <c r="L110" i="3"/>
  <c r="M109" i="3"/>
  <c r="L109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1" i="3"/>
  <c r="L91" i="3"/>
  <c r="M90" i="3"/>
  <c r="L90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8" i="3"/>
  <c r="L78" i="3"/>
  <c r="M77" i="3"/>
  <c r="L77" i="3"/>
  <c r="M75" i="3"/>
  <c r="L75" i="3"/>
  <c r="M74" i="3"/>
  <c r="L74" i="3"/>
  <c r="M73" i="3"/>
  <c r="L73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5" i="3"/>
  <c r="L55" i="3"/>
  <c r="M54" i="3"/>
  <c r="L54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2" i="3"/>
  <c r="L42" i="3"/>
  <c r="M41" i="3"/>
  <c r="L41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29" i="3"/>
  <c r="L29" i="3"/>
  <c r="M28" i="3"/>
  <c r="L28" i="3"/>
  <c r="M26" i="3"/>
  <c r="L26" i="3"/>
  <c r="M25" i="3"/>
  <c r="L25" i="3"/>
  <c r="M24" i="3"/>
  <c r="L24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L8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21" i="3"/>
  <c r="G120" i="3"/>
  <c r="G119" i="3"/>
  <c r="G118" i="3"/>
  <c r="G117" i="3"/>
  <c r="G116" i="3"/>
  <c r="G115" i="3"/>
  <c r="G114" i="3"/>
  <c r="G11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178" i="3"/>
  <c r="F178" i="3"/>
  <c r="H177" i="3"/>
  <c r="F177" i="3"/>
  <c r="H176" i="3"/>
  <c r="F176" i="3"/>
  <c r="F174" i="3"/>
  <c r="F169" i="3"/>
  <c r="F159" i="3"/>
  <c r="F156" i="3"/>
  <c r="H152" i="3"/>
  <c r="F152" i="3"/>
  <c r="H151" i="3"/>
  <c r="F151" i="3"/>
  <c r="H150" i="3"/>
  <c r="F150" i="3"/>
  <c r="H149" i="3"/>
  <c r="F149" i="3"/>
  <c r="H148" i="3"/>
  <c r="F148" i="3"/>
  <c r="H147" i="3"/>
  <c r="F147" i="3"/>
  <c r="H146" i="3"/>
  <c r="F146" i="3"/>
  <c r="H145" i="3"/>
  <c r="F145" i="3"/>
  <c r="H144" i="3"/>
  <c r="F144" i="3"/>
  <c r="H143" i="3"/>
  <c r="F143" i="3"/>
  <c r="H142" i="3"/>
  <c r="F142" i="3"/>
  <c r="H141" i="3"/>
  <c r="F141" i="3"/>
  <c r="H140" i="3"/>
  <c r="F140" i="3"/>
  <c r="H139" i="3"/>
  <c r="F139" i="3"/>
  <c r="H138" i="3"/>
  <c r="F138" i="3"/>
  <c r="H137" i="3"/>
  <c r="F137" i="3"/>
  <c r="H136" i="3"/>
  <c r="F136" i="3"/>
  <c r="H135" i="3"/>
  <c r="F135" i="3"/>
  <c r="H134" i="3"/>
  <c r="F134" i="3"/>
  <c r="H133" i="3"/>
  <c r="F133" i="3"/>
  <c r="H132" i="3"/>
  <c r="F132" i="3"/>
  <c r="H131" i="3"/>
  <c r="F131" i="3"/>
  <c r="H130" i="3"/>
  <c r="F130" i="3"/>
  <c r="H129" i="3"/>
  <c r="F129" i="3"/>
  <c r="F127" i="3"/>
  <c r="F126" i="3"/>
  <c r="H124" i="3"/>
  <c r="F124" i="3"/>
  <c r="H123" i="3"/>
  <c r="F123" i="3"/>
  <c r="H121" i="3"/>
  <c r="F121" i="3"/>
  <c r="H120" i="3"/>
  <c r="F120" i="3"/>
  <c r="H119" i="3"/>
  <c r="F119" i="3"/>
  <c r="H118" i="3"/>
  <c r="F118" i="3"/>
  <c r="H117" i="3"/>
  <c r="F117" i="3"/>
  <c r="H116" i="3"/>
  <c r="F116" i="3"/>
  <c r="H115" i="3"/>
  <c r="F115" i="3"/>
  <c r="H114" i="3"/>
  <c r="F114" i="3"/>
  <c r="H113" i="3"/>
  <c r="F113" i="3"/>
  <c r="H111" i="3"/>
  <c r="F111" i="3"/>
  <c r="H110" i="3"/>
  <c r="F110" i="3"/>
  <c r="H109" i="3"/>
  <c r="F109" i="3"/>
  <c r="H107" i="3"/>
  <c r="F107" i="3"/>
  <c r="H106" i="3"/>
  <c r="F106" i="3"/>
  <c r="H105" i="3"/>
  <c r="F105" i="3"/>
  <c r="H104" i="3"/>
  <c r="F104" i="3"/>
  <c r="H103" i="3"/>
  <c r="F103" i="3"/>
  <c r="H102" i="3"/>
  <c r="F102" i="3"/>
  <c r="H101" i="3"/>
  <c r="F101" i="3"/>
  <c r="H100" i="3"/>
  <c r="F100" i="3"/>
  <c r="H99" i="3"/>
  <c r="F99" i="3"/>
  <c r="H98" i="3"/>
  <c r="F98" i="3"/>
  <c r="H97" i="3"/>
  <c r="F97" i="3"/>
  <c r="H96" i="3"/>
  <c r="F96" i="3"/>
  <c r="H95" i="3"/>
  <c r="F95" i="3"/>
  <c r="H94" i="3"/>
  <c r="F94" i="3"/>
  <c r="H93" i="3"/>
  <c r="F93" i="3"/>
  <c r="H91" i="3"/>
  <c r="F91" i="3"/>
  <c r="H90" i="3"/>
  <c r="F90" i="3"/>
  <c r="H88" i="3"/>
  <c r="F88" i="3"/>
  <c r="H87" i="3"/>
  <c r="F87" i="3"/>
  <c r="H86" i="3"/>
  <c r="F86" i="3"/>
  <c r="H85" i="3"/>
  <c r="F85" i="3"/>
  <c r="H84" i="3"/>
  <c r="F84" i="3"/>
  <c r="H83" i="3"/>
  <c r="F83" i="3"/>
  <c r="H82" i="3"/>
  <c r="F82" i="3"/>
  <c r="H81" i="3"/>
  <c r="F81" i="3"/>
  <c r="H80" i="3"/>
  <c r="F80" i="3"/>
  <c r="H78" i="3"/>
  <c r="F78" i="3"/>
  <c r="H77" i="3"/>
  <c r="F77" i="3"/>
  <c r="H75" i="3"/>
  <c r="F75" i="3"/>
  <c r="H74" i="3"/>
  <c r="F74" i="3"/>
  <c r="H73" i="3"/>
  <c r="F73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5" i="3"/>
  <c r="F55" i="3"/>
  <c r="H54" i="3"/>
  <c r="F54" i="3"/>
  <c r="H52" i="3"/>
  <c r="F52" i="3"/>
  <c r="H51" i="3"/>
  <c r="F51" i="3"/>
  <c r="H50" i="3"/>
  <c r="F50" i="3"/>
  <c r="F49" i="3"/>
  <c r="H48" i="3"/>
  <c r="F48" i="3"/>
  <c r="H47" i="3"/>
  <c r="F47" i="3"/>
  <c r="H46" i="3"/>
  <c r="F46" i="3"/>
  <c r="H45" i="3"/>
  <c r="F45" i="3"/>
  <c r="H44" i="3"/>
  <c r="F44" i="3"/>
  <c r="H42" i="3"/>
  <c r="F42" i="3"/>
  <c r="H41" i="3"/>
  <c r="F41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29" i="3"/>
  <c r="F29" i="3"/>
  <c r="H28" i="3"/>
  <c r="F28" i="3"/>
  <c r="H26" i="3"/>
  <c r="F26" i="3"/>
  <c r="H25" i="3"/>
  <c r="F25" i="3"/>
  <c r="H24" i="3"/>
  <c r="F24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F8" i="3"/>
  <c r="E178" i="3"/>
  <c r="D178" i="3"/>
  <c r="E177" i="3"/>
  <c r="D177" i="3"/>
  <c r="E176" i="3"/>
  <c r="D176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4" i="3"/>
  <c r="D124" i="3"/>
  <c r="E123" i="3"/>
  <c r="D123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1" i="3"/>
  <c r="D111" i="3"/>
  <c r="E110" i="3"/>
  <c r="D110" i="3"/>
  <c r="E109" i="3"/>
  <c r="D109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8" i="3"/>
  <c r="D78" i="3"/>
  <c r="E77" i="3"/>
  <c r="D77" i="3"/>
  <c r="E75" i="3"/>
  <c r="D75" i="3"/>
  <c r="E74" i="3"/>
  <c r="D74" i="3"/>
  <c r="E73" i="3"/>
  <c r="D73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5" i="3"/>
  <c r="D55" i="3"/>
  <c r="E54" i="3"/>
  <c r="D54" i="3"/>
  <c r="E52" i="3"/>
  <c r="D52" i="3"/>
  <c r="E51" i="3"/>
  <c r="D51" i="3"/>
  <c r="E50" i="3"/>
  <c r="D50" i="3"/>
  <c r="E48" i="3"/>
  <c r="D48" i="3"/>
  <c r="E47" i="3"/>
  <c r="D47" i="3"/>
  <c r="E46" i="3"/>
  <c r="D46" i="3"/>
  <c r="E45" i="3"/>
  <c r="D45" i="3"/>
  <c r="E44" i="3"/>
  <c r="D44" i="3"/>
  <c r="E42" i="3"/>
  <c r="D42" i="3"/>
  <c r="E41" i="3"/>
  <c r="D41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29" i="3"/>
  <c r="D29" i="3"/>
  <c r="E28" i="3"/>
  <c r="D28" i="3"/>
  <c r="E26" i="3"/>
  <c r="D26" i="3"/>
  <c r="E25" i="3"/>
  <c r="D25" i="3"/>
  <c r="E24" i="3"/>
  <c r="D24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R124" i="2"/>
  <c r="G124" i="2" s="1"/>
  <c r="K124" i="2" s="1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F154" i="2"/>
  <c r="F155" i="2"/>
  <c r="H155" i="2" s="1"/>
  <c r="F156" i="2"/>
  <c r="H156" i="2" s="1"/>
  <c r="R156" i="2" s="1"/>
  <c r="F158" i="2"/>
  <c r="F159" i="2"/>
  <c r="F153" i="2"/>
  <c r="I153" i="2" s="1"/>
  <c r="F149" i="2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H154" i="2"/>
  <c r="I154" i="2"/>
  <c r="J154" i="2"/>
  <c r="I155" i="2"/>
  <c r="J155" i="2"/>
  <c r="R159" i="2"/>
  <c r="M172" i="3" s="1"/>
  <c r="J153" i="2"/>
  <c r="I151" i="2"/>
  <c r="H151" i="2"/>
  <c r="S161" i="2"/>
  <c r="L174" i="3" s="1"/>
  <c r="S154" i="2"/>
  <c r="L168" i="3" s="1"/>
  <c r="S155" i="2"/>
  <c r="L169" i="3" s="1"/>
  <c r="S156" i="2"/>
  <c r="L170" i="3" s="1"/>
  <c r="S158" i="2"/>
  <c r="L171" i="3" s="1"/>
  <c r="S159" i="2"/>
  <c r="L172" i="3" s="1"/>
  <c r="S153" i="2"/>
  <c r="S150" i="2"/>
  <c r="S151" i="2"/>
  <c r="S149" i="2"/>
  <c r="H150" i="2"/>
  <c r="R150" i="2" s="1"/>
  <c r="G150" i="2" s="1"/>
  <c r="J149" i="2"/>
  <c r="I149" i="2"/>
  <c r="H149" i="2"/>
  <c r="R149" i="2" s="1"/>
  <c r="G149" i="2" s="1"/>
  <c r="L149" i="2"/>
  <c r="F163" i="3" s="1"/>
  <c r="U149" i="2"/>
  <c r="L150" i="2"/>
  <c r="F164" i="3" s="1"/>
  <c r="U150" i="2"/>
  <c r="L151" i="2"/>
  <c r="F165" i="3" s="1"/>
  <c r="R151" i="2"/>
  <c r="M165" i="3" s="1"/>
  <c r="U151" i="2"/>
  <c r="F167" i="3"/>
  <c r="U153" i="2"/>
  <c r="F168" i="3"/>
  <c r="R154" i="2"/>
  <c r="M168" i="3" s="1"/>
  <c r="U154" i="2"/>
  <c r="U155" i="2"/>
  <c r="F170" i="3"/>
  <c r="U156" i="2"/>
  <c r="L158" i="2"/>
  <c r="F171" i="3" s="1"/>
  <c r="U158" i="2"/>
  <c r="F172" i="3"/>
  <c r="U159" i="2"/>
  <c r="L161" i="2"/>
  <c r="U161" i="2"/>
  <c r="G117" i="2"/>
  <c r="G114" i="2"/>
  <c r="G104" i="2"/>
  <c r="G88" i="2"/>
  <c r="G85" i="2"/>
  <c r="G75" i="2"/>
  <c r="G72" i="2"/>
  <c r="G64" i="2"/>
  <c r="J124" i="2"/>
  <c r="L126" i="2" s="1"/>
  <c r="L125" i="2"/>
  <c r="L128" i="2"/>
  <c r="L129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73" i="2"/>
  <c r="H124" i="2"/>
  <c r="U122" i="2"/>
  <c r="S122" i="2"/>
  <c r="U121" i="2"/>
  <c r="S121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I124" i="2"/>
  <c r="U124" i="2"/>
  <c r="H119" i="2"/>
  <c r="R119" i="2" s="1"/>
  <c r="H118" i="2"/>
  <c r="H117" i="2"/>
  <c r="G115" i="2"/>
  <c r="G105" i="2"/>
  <c r="G106" i="2"/>
  <c r="G107" i="2"/>
  <c r="G108" i="2"/>
  <c r="G109" i="2"/>
  <c r="G110" i="2"/>
  <c r="G111" i="2"/>
  <c r="G112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86" i="2"/>
  <c r="G76" i="2"/>
  <c r="G77" i="2"/>
  <c r="G78" i="2"/>
  <c r="G79" i="2"/>
  <c r="G80" i="2"/>
  <c r="G81" i="2"/>
  <c r="G82" i="2"/>
  <c r="G83" i="2"/>
  <c r="G73" i="2"/>
  <c r="G57" i="2"/>
  <c r="G58" i="2"/>
  <c r="G59" i="2"/>
  <c r="G60" i="2"/>
  <c r="G61" i="2"/>
  <c r="G62" i="2"/>
  <c r="G63" i="2"/>
  <c r="G65" i="2"/>
  <c r="G66" i="2"/>
  <c r="G67" i="2"/>
  <c r="G68" i="2"/>
  <c r="G69" i="2"/>
  <c r="G70" i="2"/>
  <c r="G56" i="2"/>
  <c r="G54" i="2"/>
  <c r="G53" i="2"/>
  <c r="G44" i="2"/>
  <c r="G45" i="2"/>
  <c r="G46" i="2"/>
  <c r="G47" i="2"/>
  <c r="G49" i="2"/>
  <c r="G50" i="2"/>
  <c r="G51" i="2"/>
  <c r="G43" i="2"/>
  <c r="G41" i="2"/>
  <c r="G40" i="2"/>
  <c r="G31" i="2"/>
  <c r="G32" i="2"/>
  <c r="G33" i="2"/>
  <c r="G34" i="2"/>
  <c r="G35" i="2"/>
  <c r="G36" i="2"/>
  <c r="G37" i="2"/>
  <c r="G38" i="2"/>
  <c r="G30" i="2"/>
  <c r="G28" i="2"/>
  <c r="G27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1" i="2"/>
  <c r="R118" i="2"/>
  <c r="G118" i="2" s="1"/>
  <c r="R115" i="2"/>
  <c r="R114" i="2"/>
  <c r="R105" i="2"/>
  <c r="R106" i="2"/>
  <c r="R107" i="2"/>
  <c r="R108" i="2"/>
  <c r="R109" i="2"/>
  <c r="R110" i="2"/>
  <c r="R111" i="2"/>
  <c r="R112" i="2"/>
  <c r="R104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88" i="2"/>
  <c r="R86" i="2"/>
  <c r="R85" i="2"/>
  <c r="R76" i="2"/>
  <c r="R77" i="2"/>
  <c r="R78" i="2"/>
  <c r="R79" i="2"/>
  <c r="R80" i="2"/>
  <c r="R81" i="2"/>
  <c r="R82" i="2"/>
  <c r="R83" i="2"/>
  <c r="R75" i="2"/>
  <c r="R73" i="2"/>
  <c r="R72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56" i="2"/>
  <c r="R54" i="2"/>
  <c r="R53" i="2"/>
  <c r="R44" i="2"/>
  <c r="R45" i="2"/>
  <c r="R46" i="2"/>
  <c r="R47" i="2"/>
  <c r="R48" i="2"/>
  <c r="R49" i="2"/>
  <c r="R50" i="2"/>
  <c r="R51" i="2"/>
  <c r="R43" i="2"/>
  <c r="R41" i="2"/>
  <c r="R40" i="2"/>
  <c r="R31" i="2"/>
  <c r="R32" i="2"/>
  <c r="R33" i="2"/>
  <c r="R34" i="2"/>
  <c r="R35" i="2"/>
  <c r="R36" i="2"/>
  <c r="R37" i="2"/>
  <c r="R38" i="2"/>
  <c r="R30" i="2"/>
  <c r="R28" i="2"/>
  <c r="R27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11" i="2"/>
  <c r="M8" i="3" s="1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G169" i="2" l="1"/>
  <c r="K169" i="2" s="1"/>
  <c r="K170" i="2"/>
  <c r="R172" i="2"/>
  <c r="G172" i="2" s="1"/>
  <c r="O170" i="2"/>
  <c r="P170" i="2"/>
  <c r="H166" i="2"/>
  <c r="R166" i="2" s="1"/>
  <c r="K166" i="2" s="1"/>
  <c r="H165" i="2"/>
  <c r="R167" i="2"/>
  <c r="G167" i="2" s="1"/>
  <c r="K167" i="2" s="1"/>
  <c r="H157" i="3" s="1"/>
  <c r="G154" i="2"/>
  <c r="P154" i="2" s="1"/>
  <c r="E168" i="3" s="1"/>
  <c r="G155" i="2"/>
  <c r="P155" i="2" s="1"/>
  <c r="E169" i="3" s="1"/>
  <c r="R155" i="2"/>
  <c r="M169" i="3" s="1"/>
  <c r="G156" i="2"/>
  <c r="M170" i="3"/>
  <c r="J156" i="2"/>
  <c r="I150" i="2"/>
  <c r="I156" i="2"/>
  <c r="K156" i="2" s="1"/>
  <c r="H170" i="3" s="1"/>
  <c r="R173" i="2"/>
  <c r="M161" i="3" s="1"/>
  <c r="K155" i="2"/>
  <c r="H169" i="3" s="1"/>
  <c r="K150" i="2"/>
  <c r="H164" i="3" s="1"/>
  <c r="G159" i="2"/>
  <c r="P159" i="2" s="1"/>
  <c r="E172" i="3" s="1"/>
  <c r="I163" i="2"/>
  <c r="G161" i="2"/>
  <c r="R158" i="2"/>
  <c r="O156" i="2"/>
  <c r="P156" i="2"/>
  <c r="E170" i="3" s="1"/>
  <c r="O154" i="2"/>
  <c r="D168" i="3" s="1"/>
  <c r="K154" i="2"/>
  <c r="H168" i="3" s="1"/>
  <c r="O155" i="2"/>
  <c r="P151" i="2"/>
  <c r="E165" i="3" s="1"/>
  <c r="K149" i="2"/>
  <c r="H163" i="3" s="1"/>
  <c r="P149" i="2"/>
  <c r="E163" i="3" s="1"/>
  <c r="O149" i="2"/>
  <c r="P150" i="2"/>
  <c r="E164" i="3" s="1"/>
  <c r="O150" i="2"/>
  <c r="D164" i="3" s="1"/>
  <c r="L131" i="2"/>
  <c r="L127" i="2"/>
  <c r="L130" i="2"/>
  <c r="O124" i="2"/>
  <c r="P124" i="2"/>
  <c r="G119" i="2"/>
  <c r="R117" i="2"/>
  <c r="J122" i="2"/>
  <c r="M122" i="2" s="1"/>
  <c r="G127" i="3" s="1"/>
  <c r="F121" i="2"/>
  <c r="I121" i="2" s="1"/>
  <c r="F122" i="2"/>
  <c r="H122" i="2" s="1"/>
  <c r="F148" i="2"/>
  <c r="F160" i="2"/>
  <c r="F119" i="2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N170" i="2" l="1"/>
  <c r="G173" i="2"/>
  <c r="M157" i="3"/>
  <c r="R165" i="2"/>
  <c r="K165" i="2"/>
  <c r="H155" i="3" s="1"/>
  <c r="K159" i="2"/>
  <c r="H172" i="3" s="1"/>
  <c r="O159" i="2"/>
  <c r="D172" i="3" s="1"/>
  <c r="N149" i="2"/>
  <c r="D163" i="3"/>
  <c r="N155" i="2"/>
  <c r="D169" i="3"/>
  <c r="G158" i="2"/>
  <c r="M171" i="3"/>
  <c r="N156" i="2"/>
  <c r="D170" i="3"/>
  <c r="M174" i="3"/>
  <c r="R163" i="2"/>
  <c r="M154" i="3" s="1"/>
  <c r="O173" i="2"/>
  <c r="P173" i="2"/>
  <c r="E161" i="3" s="1"/>
  <c r="H159" i="3"/>
  <c r="M156" i="3"/>
  <c r="K173" i="2"/>
  <c r="H161" i="3" s="1"/>
  <c r="M158" i="3"/>
  <c r="O167" i="2"/>
  <c r="P167" i="2"/>
  <c r="E157" i="3" s="1"/>
  <c r="M159" i="3"/>
  <c r="M155" i="3"/>
  <c r="H156" i="3"/>
  <c r="E159" i="3"/>
  <c r="D159" i="3"/>
  <c r="M160" i="3"/>
  <c r="N124" i="2"/>
  <c r="K161" i="2"/>
  <c r="H174" i="3" s="1"/>
  <c r="O161" i="2"/>
  <c r="D174" i="3" s="1"/>
  <c r="P161" i="2"/>
  <c r="E174" i="3" s="1"/>
  <c r="P158" i="2"/>
  <c r="E171" i="3" s="1"/>
  <c r="O158" i="2"/>
  <c r="K158" i="2"/>
  <c r="H171" i="3" s="1"/>
  <c r="R153" i="2"/>
  <c r="M167" i="3" s="1"/>
  <c r="O153" i="2"/>
  <c r="D167" i="3" s="1"/>
  <c r="N159" i="2"/>
  <c r="N154" i="2"/>
  <c r="K151" i="2"/>
  <c r="H165" i="3" s="1"/>
  <c r="O151" i="2"/>
  <c r="N150" i="2"/>
  <c r="R122" i="2"/>
  <c r="H143" i="2"/>
  <c r="I143" i="2"/>
  <c r="J143" i="2"/>
  <c r="J135" i="2"/>
  <c r="H135" i="2"/>
  <c r="I135" i="2"/>
  <c r="J127" i="2"/>
  <c r="H127" i="2"/>
  <c r="I127" i="2"/>
  <c r="H146" i="2"/>
  <c r="I146" i="2"/>
  <c r="J146" i="2"/>
  <c r="H142" i="2"/>
  <c r="I142" i="2"/>
  <c r="J142" i="2"/>
  <c r="H138" i="2"/>
  <c r="I138" i="2"/>
  <c r="J138" i="2"/>
  <c r="H134" i="2"/>
  <c r="I134" i="2"/>
  <c r="J134" i="2"/>
  <c r="H130" i="2"/>
  <c r="I130" i="2"/>
  <c r="J130" i="2"/>
  <c r="H126" i="2"/>
  <c r="I126" i="2"/>
  <c r="J126" i="2"/>
  <c r="H121" i="2"/>
  <c r="I122" i="2"/>
  <c r="J147" i="2"/>
  <c r="H147" i="2"/>
  <c r="I147" i="2"/>
  <c r="J139" i="2"/>
  <c r="H139" i="2"/>
  <c r="I139" i="2"/>
  <c r="H131" i="2"/>
  <c r="I131" i="2"/>
  <c r="J131" i="2"/>
  <c r="H145" i="2"/>
  <c r="I145" i="2"/>
  <c r="J145" i="2"/>
  <c r="I141" i="2"/>
  <c r="J141" i="2"/>
  <c r="H141" i="2"/>
  <c r="I137" i="2"/>
  <c r="J137" i="2"/>
  <c r="H137" i="2"/>
  <c r="H133" i="2"/>
  <c r="I133" i="2"/>
  <c r="J133" i="2"/>
  <c r="I129" i="2"/>
  <c r="J129" i="2"/>
  <c r="H129" i="2"/>
  <c r="I125" i="2"/>
  <c r="J125" i="2"/>
  <c r="H125" i="2"/>
  <c r="J121" i="2"/>
  <c r="M121" i="2" s="1"/>
  <c r="G126" i="3" s="1"/>
  <c r="J144" i="2"/>
  <c r="H144" i="2"/>
  <c r="I144" i="2"/>
  <c r="J140" i="2"/>
  <c r="H140" i="2"/>
  <c r="I140" i="2"/>
  <c r="J136" i="2"/>
  <c r="H136" i="2"/>
  <c r="I136" i="2"/>
  <c r="J132" i="2"/>
  <c r="H132" i="2"/>
  <c r="I132" i="2"/>
  <c r="J128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P172" i="2" l="1"/>
  <c r="E160" i="3" s="1"/>
  <c r="O172" i="2"/>
  <c r="K172" i="2"/>
  <c r="H160" i="3" s="1"/>
  <c r="O165" i="2"/>
  <c r="D155" i="3" s="1"/>
  <c r="P165" i="2"/>
  <c r="E155" i="3" s="1"/>
  <c r="P153" i="2"/>
  <c r="E167" i="3" s="1"/>
  <c r="G122" i="2"/>
  <c r="M127" i="3"/>
  <c r="K153" i="2"/>
  <c r="H167" i="3" s="1"/>
  <c r="N158" i="2"/>
  <c r="D171" i="3"/>
  <c r="N151" i="2"/>
  <c r="D165" i="3"/>
  <c r="G163" i="2"/>
  <c r="N165" i="2"/>
  <c r="P169" i="2"/>
  <c r="E158" i="3" s="1"/>
  <c r="O169" i="2"/>
  <c r="P166" i="2"/>
  <c r="E156" i="3" s="1"/>
  <c r="O166" i="2"/>
  <c r="H158" i="3"/>
  <c r="D157" i="3"/>
  <c r="N167" i="2"/>
  <c r="D161" i="3"/>
  <c r="N173" i="2"/>
  <c r="N161" i="2"/>
  <c r="O122" i="2"/>
  <c r="D127" i="3" s="1"/>
  <c r="P122" i="2"/>
  <c r="E127" i="3" s="1"/>
  <c r="R125" i="2"/>
  <c r="G125" i="2" s="1"/>
  <c r="R136" i="2"/>
  <c r="G136" i="2" s="1"/>
  <c r="R129" i="2"/>
  <c r="G129" i="2" s="1"/>
  <c r="K122" i="2"/>
  <c r="H127" i="3" s="1"/>
  <c r="R126" i="2"/>
  <c r="G126" i="2" s="1"/>
  <c r="R142" i="2"/>
  <c r="G142" i="2" s="1"/>
  <c r="K142" i="2" s="1"/>
  <c r="R135" i="2"/>
  <c r="G135" i="2" s="1"/>
  <c r="G143" i="2"/>
  <c r="K143" i="2" s="1"/>
  <c r="R143" i="2"/>
  <c r="R141" i="2"/>
  <c r="G141" i="2" s="1"/>
  <c r="R121" i="2"/>
  <c r="M126" i="3" s="1"/>
  <c r="R138" i="2"/>
  <c r="G138" i="2" s="1"/>
  <c r="R127" i="2"/>
  <c r="G127" i="2" s="1"/>
  <c r="R132" i="2"/>
  <c r="G132" i="2" s="1"/>
  <c r="R128" i="2"/>
  <c r="G128" i="2" s="1"/>
  <c r="R137" i="2"/>
  <c r="G137" i="2" s="1"/>
  <c r="K137" i="2" s="1"/>
  <c r="R145" i="2"/>
  <c r="G145" i="2" s="1"/>
  <c r="G147" i="2"/>
  <c r="O147" i="2" s="1"/>
  <c r="R147" i="2"/>
  <c r="R134" i="2"/>
  <c r="G134" i="2" s="1"/>
  <c r="R133" i="2"/>
  <c r="G133" i="2" s="1"/>
  <c r="P133" i="2" s="1"/>
  <c r="R131" i="2"/>
  <c r="G131" i="2" s="1"/>
  <c r="R144" i="2"/>
  <c r="G144" i="2" s="1"/>
  <c r="R140" i="2"/>
  <c r="G140" i="2"/>
  <c r="K140" i="2" s="1"/>
  <c r="R139" i="2"/>
  <c r="G139" i="2" s="1"/>
  <c r="R130" i="2"/>
  <c r="G130" i="2" s="1"/>
  <c r="R146" i="2"/>
  <c r="G146" i="2" s="1"/>
  <c r="D7" i="7"/>
  <c r="J6" i="6"/>
  <c r="J7" i="6"/>
  <c r="J9" i="6"/>
  <c r="B10" i="6"/>
  <c r="C10" i="6"/>
  <c r="P5" i="5"/>
  <c r="B13" i="5" s="1"/>
  <c r="B12" i="5"/>
  <c r="B11" i="5"/>
  <c r="D11" i="5"/>
  <c r="C11" i="5"/>
  <c r="E11" i="5"/>
  <c r="C14" i="5"/>
  <c r="D14" i="5"/>
  <c r="B14" i="5"/>
  <c r="E14" i="5"/>
  <c r="E12" i="5"/>
  <c r="M4" i="2"/>
  <c r="M5" i="2" s="1"/>
  <c r="M6" i="2" s="1"/>
  <c r="M3" i="2"/>
  <c r="N6" i="5"/>
  <c r="G11" i="5"/>
  <c r="B9" i="5"/>
  <c r="C9" i="5" s="1"/>
  <c r="D9" i="5"/>
  <c r="N172" i="2" l="1"/>
  <c r="D160" i="3"/>
  <c r="N153" i="2"/>
  <c r="G121" i="2"/>
  <c r="K163" i="2"/>
  <c r="H154" i="3" s="1"/>
  <c r="O163" i="2"/>
  <c r="P163" i="2"/>
  <c r="E154" i="3" s="1"/>
  <c r="D156" i="3"/>
  <c r="N166" i="2"/>
  <c r="D158" i="3"/>
  <c r="N169" i="2"/>
  <c r="N122" i="2"/>
  <c r="O134" i="2"/>
  <c r="P134" i="2"/>
  <c r="K134" i="2"/>
  <c r="P141" i="2"/>
  <c r="O141" i="2"/>
  <c r="N141" i="2" s="1"/>
  <c r="K141" i="2"/>
  <c r="P139" i="2"/>
  <c r="O139" i="2"/>
  <c r="K139" i="2"/>
  <c r="O131" i="2"/>
  <c r="P131" i="2"/>
  <c r="K131" i="2"/>
  <c r="O138" i="2"/>
  <c r="P138" i="2"/>
  <c r="K138" i="2"/>
  <c r="P136" i="2"/>
  <c r="O136" i="2"/>
  <c r="K136" i="2"/>
  <c r="O130" i="2"/>
  <c r="P130" i="2"/>
  <c r="K130" i="2"/>
  <c r="O127" i="2"/>
  <c r="P127" i="2"/>
  <c r="K127" i="2"/>
  <c r="P146" i="2"/>
  <c r="O146" i="2"/>
  <c r="K146" i="2"/>
  <c r="P128" i="2"/>
  <c r="O128" i="2"/>
  <c r="K128" i="2"/>
  <c r="O126" i="2"/>
  <c r="P126" i="2"/>
  <c r="N126" i="2" s="1"/>
  <c r="K126" i="2"/>
  <c r="P125" i="2"/>
  <c r="O125" i="2"/>
  <c r="K125" i="2"/>
  <c r="P144" i="2"/>
  <c r="O144" i="2"/>
  <c r="K144" i="2"/>
  <c r="O129" i="2"/>
  <c r="P129" i="2"/>
  <c r="K129" i="2"/>
  <c r="O145" i="2"/>
  <c r="P145" i="2"/>
  <c r="K145" i="2"/>
  <c r="P132" i="2"/>
  <c r="O132" i="2"/>
  <c r="K132" i="2"/>
  <c r="P135" i="2"/>
  <c r="O135" i="2"/>
  <c r="K135" i="2"/>
  <c r="K147" i="2"/>
  <c r="O133" i="2"/>
  <c r="N133" i="2" s="1"/>
  <c r="P147" i="2"/>
  <c r="O121" i="2"/>
  <c r="D126" i="3" s="1"/>
  <c r="P140" i="2"/>
  <c r="O140" i="2"/>
  <c r="N140" i="2" s="1"/>
  <c r="N147" i="2"/>
  <c r="P121" i="2"/>
  <c r="E126" i="3" s="1"/>
  <c r="K121" i="2"/>
  <c r="H126" i="3" s="1"/>
  <c r="O143" i="2"/>
  <c r="P143" i="2"/>
  <c r="K133" i="2"/>
  <c r="P137" i="2"/>
  <c r="O137" i="2"/>
  <c r="O142" i="2"/>
  <c r="P142" i="2"/>
  <c r="D8" i="7"/>
  <c r="D13" i="5"/>
  <c r="C13" i="5"/>
  <c r="E13" i="5"/>
  <c r="E10" i="5" s="1"/>
  <c r="E9" i="5"/>
  <c r="E7" i="5" s="1"/>
  <c r="C12" i="5"/>
  <c r="H73" i="2"/>
  <c r="I73" i="2"/>
  <c r="J73" i="2"/>
  <c r="I72" i="2"/>
  <c r="J72" i="2"/>
  <c r="H72" i="2"/>
  <c r="M105" i="2"/>
  <c r="M106" i="2"/>
  <c r="M107" i="2"/>
  <c r="M108" i="2"/>
  <c r="M109" i="2"/>
  <c r="M110" i="2"/>
  <c r="M112" i="2"/>
  <c r="M104" i="2"/>
  <c r="J104" i="2"/>
  <c r="T53" i="2"/>
  <c r="D154" i="3" l="1"/>
  <c r="N163" i="2"/>
  <c r="N129" i="2"/>
  <c r="N128" i="2"/>
  <c r="N136" i="2"/>
  <c r="N130" i="2"/>
  <c r="N139" i="2"/>
  <c r="N121" i="2"/>
  <c r="N134" i="2"/>
  <c r="N132" i="2"/>
  <c r="N145" i="2"/>
  <c r="N125" i="2"/>
  <c r="N127" i="2"/>
  <c r="N142" i="2"/>
  <c r="N137" i="2"/>
  <c r="N143" i="2"/>
  <c r="N135" i="2"/>
  <c r="N144" i="2"/>
  <c r="N146" i="2"/>
  <c r="N138" i="2"/>
  <c r="N131" i="2"/>
  <c r="D9" i="7"/>
  <c r="C10" i="5"/>
  <c r="K12" i="5" s="1"/>
  <c r="D12" i="5"/>
  <c r="D10" i="5"/>
  <c r="B10" i="5"/>
  <c r="J11" i="5" s="1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D10" i="7" l="1"/>
  <c r="K13" i="5"/>
  <c r="M14" i="5"/>
  <c r="M13" i="5"/>
  <c r="M16" i="5"/>
  <c r="M15" i="5"/>
  <c r="K11" i="5"/>
  <c r="K14" i="5"/>
  <c r="M11" i="5"/>
  <c r="K16" i="5"/>
  <c r="K15" i="5"/>
  <c r="M12" i="5"/>
  <c r="L12" i="5"/>
  <c r="L14" i="5"/>
  <c r="L15" i="5"/>
  <c r="L16" i="5"/>
  <c r="L11" i="5"/>
  <c r="L13" i="5"/>
  <c r="J12" i="5"/>
  <c r="J16" i="5"/>
  <c r="J13" i="5"/>
  <c r="J14" i="5"/>
  <c r="J15" i="5"/>
  <c r="D6" i="5"/>
  <c r="E6" i="5"/>
  <c r="C6" i="5"/>
  <c r="N5" i="5"/>
  <c r="B8" i="5"/>
  <c r="C8" i="5"/>
  <c r="D8" i="5"/>
  <c r="E8" i="5"/>
  <c r="S3" i="5"/>
  <c r="C5" i="5"/>
  <c r="D5" i="5"/>
  <c r="E5" i="5"/>
  <c r="B5" i="5"/>
  <c r="D11" i="7" l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44" i="2"/>
  <c r="C45" i="3" s="1"/>
  <c r="U45" i="2"/>
  <c r="C46" i="3" s="1"/>
  <c r="U46" i="2"/>
  <c r="C47" i="3" s="1"/>
  <c r="U47" i="2"/>
  <c r="C48" i="3" s="1"/>
  <c r="U48" i="2"/>
  <c r="C49" i="3" s="1"/>
  <c r="U49" i="2"/>
  <c r="C50" i="3" s="1"/>
  <c r="U50" i="2"/>
  <c r="C51" i="3" s="1"/>
  <c r="U51" i="2"/>
  <c r="C52" i="3" s="1"/>
  <c r="U43" i="2"/>
  <c r="C44" i="3" s="1"/>
  <c r="U12" i="2"/>
  <c r="C9" i="3" s="1"/>
  <c r="U13" i="2"/>
  <c r="C10" i="3" s="1"/>
  <c r="U14" i="2"/>
  <c r="C11" i="3" s="1"/>
  <c r="U15" i="2"/>
  <c r="C12" i="3" s="1"/>
  <c r="U16" i="2"/>
  <c r="C13" i="3" s="1"/>
  <c r="U17" i="2"/>
  <c r="C14" i="3" s="1"/>
  <c r="U18" i="2"/>
  <c r="C15" i="3" s="1"/>
  <c r="U19" i="2"/>
  <c r="C16" i="3" s="1"/>
  <c r="U20" i="2"/>
  <c r="C17" i="3" s="1"/>
  <c r="U21" i="2"/>
  <c r="C18" i="3" s="1"/>
  <c r="U22" i="2"/>
  <c r="C19" i="3" s="1"/>
  <c r="U23" i="2"/>
  <c r="C20" i="3" s="1"/>
  <c r="U24" i="2"/>
  <c r="C21" i="3" s="1"/>
  <c r="U25" i="2"/>
  <c r="C22" i="3" s="1"/>
  <c r="U27" i="2"/>
  <c r="C28" i="3" s="1"/>
  <c r="U28" i="2"/>
  <c r="C29" i="3" s="1"/>
  <c r="U30" i="2"/>
  <c r="C31" i="3" s="1"/>
  <c r="U31" i="2"/>
  <c r="C32" i="3" s="1"/>
  <c r="U32" i="2"/>
  <c r="C33" i="3" s="1"/>
  <c r="U33" i="2"/>
  <c r="C34" i="3" s="1"/>
  <c r="U34" i="2"/>
  <c r="C35" i="3" s="1"/>
  <c r="U35" i="2"/>
  <c r="C36" i="3" s="1"/>
  <c r="U36" i="2"/>
  <c r="C37" i="3" s="1"/>
  <c r="U37" i="2"/>
  <c r="C38" i="3" s="1"/>
  <c r="U38" i="2"/>
  <c r="C39" i="3" s="1"/>
  <c r="U40" i="2"/>
  <c r="C41" i="3" s="1"/>
  <c r="U41" i="2"/>
  <c r="C42" i="3" s="1"/>
  <c r="U53" i="2"/>
  <c r="C54" i="3" s="1"/>
  <c r="U54" i="2"/>
  <c r="C55" i="3" s="1"/>
  <c r="U56" i="2"/>
  <c r="C57" i="3" s="1"/>
  <c r="U57" i="2"/>
  <c r="C58" i="3" s="1"/>
  <c r="U58" i="2"/>
  <c r="C59" i="3" s="1"/>
  <c r="U59" i="2"/>
  <c r="C60" i="3" s="1"/>
  <c r="U60" i="2"/>
  <c r="C61" i="3" s="1"/>
  <c r="U61" i="2"/>
  <c r="C62" i="3" s="1"/>
  <c r="U62" i="2"/>
  <c r="C63" i="3" s="1"/>
  <c r="U63" i="2"/>
  <c r="C64" i="3" s="1"/>
  <c r="U64" i="2"/>
  <c r="C65" i="3" s="1"/>
  <c r="U65" i="2"/>
  <c r="C66" i="3" s="1"/>
  <c r="U66" i="2"/>
  <c r="C67" i="3" s="1"/>
  <c r="U67" i="2"/>
  <c r="C68" i="3" s="1"/>
  <c r="U68" i="2"/>
  <c r="C69" i="3" s="1"/>
  <c r="U69" i="2"/>
  <c r="C70" i="3" s="1"/>
  <c r="U70" i="2"/>
  <c r="C71" i="3" s="1"/>
  <c r="U72" i="2"/>
  <c r="C77" i="3" s="1"/>
  <c r="U73" i="2"/>
  <c r="C78" i="3" s="1"/>
  <c r="U75" i="2"/>
  <c r="C80" i="3" s="1"/>
  <c r="U76" i="2"/>
  <c r="C81" i="3" s="1"/>
  <c r="U77" i="2"/>
  <c r="C82" i="3" s="1"/>
  <c r="U78" i="2"/>
  <c r="C83" i="3" s="1"/>
  <c r="U79" i="2"/>
  <c r="C84" i="3" s="1"/>
  <c r="U80" i="2"/>
  <c r="C85" i="3" s="1"/>
  <c r="U81" i="2"/>
  <c r="C86" i="3" s="1"/>
  <c r="U82" i="2"/>
  <c r="C87" i="3" s="1"/>
  <c r="U83" i="2"/>
  <c r="C88" i="3" s="1"/>
  <c r="U85" i="2"/>
  <c r="C90" i="3" s="1"/>
  <c r="U86" i="2"/>
  <c r="C91" i="3" s="1"/>
  <c r="U88" i="2"/>
  <c r="C93" i="3" s="1"/>
  <c r="U89" i="2"/>
  <c r="C94" i="3" s="1"/>
  <c r="U90" i="2"/>
  <c r="C95" i="3" s="1"/>
  <c r="U91" i="2"/>
  <c r="C96" i="3" s="1"/>
  <c r="U92" i="2"/>
  <c r="C97" i="3" s="1"/>
  <c r="U93" i="2"/>
  <c r="C98" i="3" s="1"/>
  <c r="U94" i="2"/>
  <c r="C99" i="3" s="1"/>
  <c r="U95" i="2"/>
  <c r="C100" i="3" s="1"/>
  <c r="U96" i="2"/>
  <c r="C101" i="3" s="1"/>
  <c r="U97" i="2"/>
  <c r="C102" i="3" s="1"/>
  <c r="U98" i="2"/>
  <c r="C103" i="3" s="1"/>
  <c r="U99" i="2"/>
  <c r="C104" i="3" s="1"/>
  <c r="U100" i="2"/>
  <c r="C105" i="3" s="1"/>
  <c r="U101" i="2"/>
  <c r="C106" i="3" s="1"/>
  <c r="U102" i="2"/>
  <c r="C107" i="3" s="1"/>
  <c r="U104" i="2"/>
  <c r="C113" i="3" s="1"/>
  <c r="U105" i="2"/>
  <c r="C114" i="3" s="1"/>
  <c r="U106" i="2"/>
  <c r="C115" i="3" s="1"/>
  <c r="U107" i="2"/>
  <c r="C116" i="3" s="1"/>
  <c r="U108" i="2"/>
  <c r="C117" i="3" s="1"/>
  <c r="U109" i="2"/>
  <c r="C118" i="3" s="1"/>
  <c r="U110" i="2"/>
  <c r="C119" i="3" s="1"/>
  <c r="U111" i="2"/>
  <c r="C120" i="3" s="1"/>
  <c r="U112" i="2"/>
  <c r="C121" i="3" s="1"/>
  <c r="U114" i="2"/>
  <c r="C123" i="3" s="1"/>
  <c r="U115" i="2"/>
  <c r="C124" i="3" s="1"/>
  <c r="U117" i="2"/>
  <c r="U118" i="2"/>
  <c r="U119" i="2"/>
  <c r="U11" i="2"/>
  <c r="C8" i="3" s="1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D13" i="7" l="1"/>
  <c r="D12" i="7"/>
  <c r="T115" i="2" l="1"/>
  <c r="T114" i="2"/>
  <c r="T105" i="2"/>
  <c r="T106" i="2"/>
  <c r="T107" i="2"/>
  <c r="T108" i="2"/>
  <c r="T109" i="2"/>
  <c r="T110" i="2"/>
  <c r="T112" i="2"/>
  <c r="T104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88" i="2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F117" i="2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Q3" i="2"/>
  <c r="Q4" i="2"/>
  <c r="Q5" i="2"/>
  <c r="L72" i="2" s="1"/>
  <c r="Q6" i="2"/>
  <c r="Q2" i="2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J90" i="2" s="1"/>
  <c r="G4" i="2"/>
  <c r="I90" i="2" s="1"/>
  <c r="G3" i="2"/>
  <c r="I119" i="2" s="1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F107" i="2"/>
  <c r="H107" i="2" s="1"/>
  <c r="F108" i="2"/>
  <c r="I108" i="2" s="1"/>
  <c r="F109" i="2"/>
  <c r="J109" i="2" s="1"/>
  <c r="F110" i="2"/>
  <c r="H110" i="2" s="1"/>
  <c r="F111" i="2"/>
  <c r="H111" i="2" s="1"/>
  <c r="F112" i="2"/>
  <c r="I112" i="2" s="1"/>
  <c r="F114" i="2"/>
  <c r="I114" i="2" s="1"/>
  <c r="L41" i="2" l="1"/>
  <c r="L47" i="2"/>
  <c r="L21" i="2"/>
  <c r="L48" i="2"/>
  <c r="L33" i="2"/>
  <c r="L27" i="2"/>
  <c r="L22" i="2"/>
  <c r="L46" i="2"/>
  <c r="L40" i="2"/>
  <c r="L34" i="2"/>
  <c r="L53" i="2"/>
  <c r="L35" i="2"/>
  <c r="L20" i="2"/>
  <c r="L18" i="2"/>
  <c r="L43" i="2"/>
  <c r="L32" i="2"/>
  <c r="L44" i="2"/>
  <c r="L17" i="2"/>
  <c r="L31" i="2"/>
  <c r="L30" i="2"/>
  <c r="L45" i="2"/>
  <c r="L19" i="2"/>
  <c r="A33" i="2"/>
  <c r="F33" i="2" s="1"/>
  <c r="H33" i="2" s="1"/>
  <c r="L11" i="2"/>
  <c r="L12" i="2"/>
  <c r="L13" i="2"/>
  <c r="L16" i="2"/>
  <c r="L15" i="2"/>
  <c r="L14" i="2"/>
  <c r="L25" i="2"/>
  <c r="L51" i="2"/>
  <c r="L36" i="2"/>
  <c r="L28" i="2"/>
  <c r="L37" i="2"/>
  <c r="L54" i="2"/>
  <c r="L49" i="2"/>
  <c r="L38" i="2"/>
  <c r="L50" i="2"/>
  <c r="O118" i="2"/>
  <c r="P118" i="2"/>
  <c r="H112" i="2"/>
  <c r="J115" i="2"/>
  <c r="H85" i="2"/>
  <c r="H83" i="2"/>
  <c r="H79" i="2"/>
  <c r="J101" i="2"/>
  <c r="I100" i="2"/>
  <c r="H99" i="2"/>
  <c r="J97" i="2"/>
  <c r="I96" i="2"/>
  <c r="H95" i="2"/>
  <c r="J93" i="2"/>
  <c r="I92" i="2"/>
  <c r="J89" i="2"/>
  <c r="J111" i="2"/>
  <c r="I110" i="2"/>
  <c r="H109" i="2"/>
  <c r="J107" i="2"/>
  <c r="I106" i="2"/>
  <c r="H105" i="2"/>
  <c r="H114" i="2"/>
  <c r="I115" i="2"/>
  <c r="J118" i="2"/>
  <c r="A95" i="2"/>
  <c r="A79" i="2"/>
  <c r="A61" i="2"/>
  <c r="F61" i="2" s="1"/>
  <c r="I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P16" i="2" s="1"/>
  <c r="A12" i="2"/>
  <c r="F12" i="2" s="1"/>
  <c r="H12" i="2" s="1"/>
  <c r="O12" i="2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I95" i="2"/>
  <c r="H108" i="2"/>
  <c r="A29" i="2"/>
  <c r="A53" i="2"/>
  <c r="F53" i="2" s="1"/>
  <c r="H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14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O15" i="2" s="1"/>
  <c r="A41" i="2"/>
  <c r="F41" i="2" s="1"/>
  <c r="H41" i="2" s="1"/>
  <c r="A73" i="2"/>
  <c r="O99" i="2"/>
  <c r="I91" i="2"/>
  <c r="H104" i="2"/>
  <c r="K119" i="2"/>
  <c r="A83" i="2"/>
  <c r="P119" i="2"/>
  <c r="I75" i="2"/>
  <c r="J99" i="2"/>
  <c r="I98" i="2"/>
  <c r="J95" i="2"/>
  <c r="J91" i="2"/>
  <c r="O117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A49" i="2"/>
  <c r="F49" i="2" s="1"/>
  <c r="I49" i="2" s="1"/>
  <c r="A45" i="2"/>
  <c r="F45" i="2" s="1"/>
  <c r="I45" i="2" s="1"/>
  <c r="O119" i="2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8" i="2"/>
  <c r="I64" i="2"/>
  <c r="H60" i="2"/>
  <c r="K60" i="2" s="1"/>
  <c r="I60" i="2"/>
  <c r="J69" i="2"/>
  <c r="H59" i="2"/>
  <c r="I59" i="2"/>
  <c r="H70" i="2"/>
  <c r="I70" i="2"/>
  <c r="J70" i="2"/>
  <c r="I66" i="2"/>
  <c r="J66" i="2"/>
  <c r="H66" i="2"/>
  <c r="K66" i="2" s="1"/>
  <c r="I62" i="2"/>
  <c r="H62" i="2"/>
  <c r="J62" i="2"/>
  <c r="I58" i="2"/>
  <c r="J58" i="2"/>
  <c r="H58" i="2"/>
  <c r="H63" i="2"/>
  <c r="K63" i="2" s="1"/>
  <c r="I63" i="2"/>
  <c r="H57" i="2"/>
  <c r="H67" i="2"/>
  <c r="I67" i="2"/>
  <c r="J61" i="2"/>
  <c r="H65" i="2"/>
  <c r="K65" i="2" s="1"/>
  <c r="J68" i="2"/>
  <c r="J60" i="2"/>
  <c r="J67" i="2"/>
  <c r="J63" i="2"/>
  <c r="J59" i="2"/>
  <c r="I11" i="2"/>
  <c r="O114" i="2"/>
  <c r="J56" i="2"/>
  <c r="L24" i="2"/>
  <c r="L23" i="2"/>
  <c r="O16" i="2"/>
  <c r="P93" i="2"/>
  <c r="O93" i="2"/>
  <c r="O98" i="2"/>
  <c r="P98" i="2"/>
  <c r="J85" i="2"/>
  <c r="L85" i="2" s="1"/>
  <c r="J77" i="2"/>
  <c r="I23" i="2"/>
  <c r="H18" i="2"/>
  <c r="H51" i="2"/>
  <c r="H49" i="2"/>
  <c r="I47" i="2"/>
  <c r="J45" i="2"/>
  <c r="I53" i="2"/>
  <c r="J53" i="2"/>
  <c r="J11" i="2"/>
  <c r="F20" i="2" s="1"/>
  <c r="H20" i="2" s="1"/>
  <c r="K93" i="2"/>
  <c r="J82" i="2"/>
  <c r="J80" i="2"/>
  <c r="J17" i="2"/>
  <c r="J15" i="2"/>
  <c r="F24" i="2" s="1"/>
  <c r="H24" i="2" s="1"/>
  <c r="J33" i="2"/>
  <c r="I50" i="2"/>
  <c r="J48" i="2"/>
  <c r="H47" i="2"/>
  <c r="H45" i="2"/>
  <c r="P45" i="2" s="1"/>
  <c r="K91" i="2"/>
  <c r="J86" i="2"/>
  <c r="J78" i="2"/>
  <c r="H17" i="2"/>
  <c r="P17" i="2" s="1"/>
  <c r="I15" i="2"/>
  <c r="K15" i="2" s="1"/>
  <c r="J13" i="2"/>
  <c r="F22" i="2" s="1"/>
  <c r="J22" i="2" s="1"/>
  <c r="I28" i="2"/>
  <c r="I33" i="2"/>
  <c r="J51" i="2"/>
  <c r="H50" i="2"/>
  <c r="I48" i="2"/>
  <c r="I46" i="2"/>
  <c r="J44" i="2"/>
  <c r="P91" i="2"/>
  <c r="O91" i="2"/>
  <c r="K98" i="2"/>
  <c r="K96" i="2"/>
  <c r="K89" i="2"/>
  <c r="I86" i="2"/>
  <c r="J81" i="2"/>
  <c r="I18" i="2"/>
  <c r="H13" i="2"/>
  <c r="H28" i="2"/>
  <c r="J49" i="2"/>
  <c r="H46" i="2"/>
  <c r="I44" i="2"/>
  <c r="P15" i="2"/>
  <c r="K106" i="2"/>
  <c r="O44" i="2"/>
  <c r="I54" i="2"/>
  <c r="J54" i="2"/>
  <c r="J41" i="2"/>
  <c r="I41" i="2"/>
  <c r="N119" i="2" l="1"/>
  <c r="P99" i="2"/>
  <c r="K99" i="2"/>
  <c r="N118" i="2"/>
  <c r="K117" i="2"/>
  <c r="P117" i="2"/>
  <c r="N117" i="2" s="1"/>
  <c r="H61" i="2"/>
  <c r="K61" i="2" s="1"/>
  <c r="H69" i="2"/>
  <c r="J65" i="2"/>
  <c r="J57" i="2"/>
  <c r="H64" i="2"/>
  <c r="K64" i="2" s="1"/>
  <c r="K58" i="2"/>
  <c r="I56" i="2"/>
  <c r="K56" i="2" s="1"/>
  <c r="H40" i="2"/>
  <c r="H23" i="2"/>
  <c r="K23" i="2" s="1"/>
  <c r="I14" i="2"/>
  <c r="K17" i="2"/>
  <c r="I19" i="2"/>
  <c r="K19" i="2" s="1"/>
  <c r="P12" i="2"/>
  <c r="I12" i="2"/>
  <c r="K12" i="2" s="1"/>
  <c r="J19" i="2"/>
  <c r="J12" i="2"/>
  <c r="F21" i="2" s="1"/>
  <c r="P95" i="2"/>
  <c r="K95" i="2"/>
  <c r="O95" i="2"/>
  <c r="I40" i="2"/>
  <c r="O17" i="2"/>
  <c r="J24" i="2"/>
  <c r="I16" i="2"/>
  <c r="K16" i="2" s="1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K62" i="2"/>
  <c r="K57" i="2"/>
  <c r="K67" i="2"/>
  <c r="J16" i="2"/>
  <c r="F25" i="2" s="1"/>
  <c r="I25" i="2" s="1"/>
  <c r="K18" i="2"/>
  <c r="I24" i="2"/>
  <c r="K24" i="2" s="1"/>
  <c r="H14" i="2"/>
  <c r="O14" i="2" s="1"/>
  <c r="A36" i="2"/>
  <c r="F36" i="2" s="1"/>
  <c r="K59" i="2"/>
  <c r="O45" i="2"/>
  <c r="P44" i="2"/>
  <c r="I20" i="2"/>
  <c r="K20" i="2" s="1"/>
  <c r="J20" i="2"/>
  <c r="H22" i="2"/>
  <c r="P22" i="2" s="1"/>
  <c r="J21" i="2"/>
  <c r="J25" i="2"/>
  <c r="I22" i="2"/>
  <c r="O13" i="2"/>
  <c r="K114" i="2"/>
  <c r="N15" i="2"/>
  <c r="P114" i="2"/>
  <c r="K53" i="2"/>
  <c r="N16" i="2"/>
  <c r="K75" i="2"/>
  <c r="N93" i="2"/>
  <c r="K77" i="2"/>
  <c r="K90" i="2"/>
  <c r="K97" i="2"/>
  <c r="N91" i="2"/>
  <c r="O63" i="2"/>
  <c r="P63" i="2"/>
  <c r="K45" i="2"/>
  <c r="O104" i="2"/>
  <c r="P104" i="2"/>
  <c r="O57" i="2"/>
  <c r="P57" i="2"/>
  <c r="O105" i="2"/>
  <c r="P105" i="2"/>
  <c r="O62" i="2"/>
  <c r="P62" i="2"/>
  <c r="P77" i="2"/>
  <c r="O77" i="2"/>
  <c r="P75" i="2"/>
  <c r="O75" i="2"/>
  <c r="O56" i="2"/>
  <c r="P56" i="2"/>
  <c r="O65" i="2"/>
  <c r="P65" i="2"/>
  <c r="O67" i="2"/>
  <c r="P67" i="2"/>
  <c r="O64" i="2"/>
  <c r="P64" i="2"/>
  <c r="P100" i="2"/>
  <c r="O100" i="2"/>
  <c r="O94" i="2"/>
  <c r="P94" i="2"/>
  <c r="O101" i="2"/>
  <c r="P101" i="2"/>
  <c r="O66" i="2"/>
  <c r="P66" i="2"/>
  <c r="O60" i="2"/>
  <c r="P60" i="2"/>
  <c r="O89" i="2"/>
  <c r="P89" i="2"/>
  <c r="O115" i="2"/>
  <c r="P115" i="2"/>
  <c r="K105" i="2"/>
  <c r="O53" i="2"/>
  <c r="P53" i="2"/>
  <c r="K102" i="2"/>
  <c r="K100" i="2"/>
  <c r="P59" i="2"/>
  <c r="O59" i="2"/>
  <c r="O88" i="2"/>
  <c r="P88" i="2"/>
  <c r="P102" i="2"/>
  <c r="O102" i="2"/>
  <c r="N98" i="2"/>
  <c r="K88" i="2"/>
  <c r="K115" i="2"/>
  <c r="O76" i="2"/>
  <c r="P76" i="2"/>
  <c r="O106" i="2"/>
  <c r="P106" i="2"/>
  <c r="O58" i="2"/>
  <c r="P58" i="2"/>
  <c r="P61" i="2"/>
  <c r="O61" i="2"/>
  <c r="K44" i="2"/>
  <c r="O22" i="2"/>
  <c r="O96" i="2"/>
  <c r="P96" i="2"/>
  <c r="O90" i="2"/>
  <c r="P90" i="2"/>
  <c r="O97" i="2"/>
  <c r="P97" i="2"/>
  <c r="O92" i="2"/>
  <c r="P92" i="2"/>
  <c r="K76" i="2"/>
  <c r="K92" i="2"/>
  <c r="K101" i="2"/>
  <c r="K94" i="2"/>
  <c r="K104" i="2"/>
  <c r="K79" i="2"/>
  <c r="K69" i="2"/>
  <c r="N95" i="2" l="1"/>
  <c r="N99" i="2"/>
  <c r="O19" i="2"/>
  <c r="N17" i="2"/>
  <c r="N12" i="2"/>
  <c r="P19" i="2"/>
  <c r="N114" i="2"/>
  <c r="P13" i="2"/>
  <c r="H25" i="2"/>
  <c r="K25" i="2" s="1"/>
  <c r="I21" i="2"/>
  <c r="H21" i="2"/>
  <c r="J32" i="2"/>
  <c r="H32" i="2"/>
  <c r="I32" i="2"/>
  <c r="I31" i="2"/>
  <c r="H31" i="2"/>
  <c r="J31" i="2"/>
  <c r="I35" i="2"/>
  <c r="H35" i="2"/>
  <c r="O35" i="2" s="1"/>
  <c r="J35" i="2"/>
  <c r="P14" i="2"/>
  <c r="J36" i="2"/>
  <c r="I36" i="2"/>
  <c r="H36" i="2"/>
  <c r="K14" i="2"/>
  <c r="J30" i="2"/>
  <c r="H30" i="2"/>
  <c r="I30" i="2"/>
  <c r="H37" i="2"/>
  <c r="I37" i="2"/>
  <c r="J37" i="2"/>
  <c r="H34" i="2"/>
  <c r="P34" i="2" s="1"/>
  <c r="I34" i="2"/>
  <c r="J34" i="2"/>
  <c r="H38" i="2"/>
  <c r="I38" i="2"/>
  <c r="J38" i="2"/>
  <c r="P47" i="2"/>
  <c r="O47" i="2"/>
  <c r="O48" i="2"/>
  <c r="D49" i="3" s="1"/>
  <c r="P48" i="2"/>
  <c r="E49" i="3" s="1"/>
  <c r="N45" i="2"/>
  <c r="N44" i="2"/>
  <c r="P46" i="2"/>
  <c r="O46" i="2"/>
  <c r="K33" i="2"/>
  <c r="K22" i="2"/>
  <c r="K13" i="2"/>
  <c r="K40" i="2"/>
  <c r="O40" i="2"/>
  <c r="N22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P69" i="2"/>
  <c r="P107" i="2"/>
  <c r="O107" i="2"/>
  <c r="P35" i="2"/>
  <c r="K35" i="2"/>
  <c r="N96" i="2"/>
  <c r="K47" i="2"/>
  <c r="N88" i="2"/>
  <c r="N67" i="2"/>
  <c r="O34" i="2"/>
  <c r="O33" i="2"/>
  <c r="P33" i="2"/>
  <c r="O80" i="2"/>
  <c r="P80" i="2"/>
  <c r="K80" i="2"/>
  <c r="O79" i="2"/>
  <c r="P79" i="2"/>
  <c r="N102" i="2"/>
  <c r="N66" i="2"/>
  <c r="K107" i="2"/>
  <c r="N94" i="2"/>
  <c r="N64" i="2"/>
  <c r="N62" i="2"/>
  <c r="N104" i="2"/>
  <c r="O78" i="2"/>
  <c r="P78" i="2"/>
  <c r="K78" i="2"/>
  <c r="P109" i="2"/>
  <c r="O109" i="2"/>
  <c r="O108" i="2"/>
  <c r="P108" i="2"/>
  <c r="K108" i="2"/>
  <c r="K48" i="2"/>
  <c r="H49" i="3" s="1"/>
  <c r="N61" i="2"/>
  <c r="K109" i="2"/>
  <c r="N100" i="2"/>
  <c r="N77" i="2"/>
  <c r="K46" i="2"/>
  <c r="P40" i="2"/>
  <c r="N90" i="2"/>
  <c r="N76" i="2"/>
  <c r="N65" i="2"/>
  <c r="N105" i="2"/>
  <c r="P111" i="2"/>
  <c r="K73" i="2"/>
  <c r="K54" i="2"/>
  <c r="K70" i="2"/>
  <c r="K68" i="2"/>
  <c r="N13" i="2" l="1"/>
  <c r="N19" i="2"/>
  <c r="O24" i="2"/>
  <c r="P24" i="2"/>
  <c r="P20" i="2"/>
  <c r="O20" i="2"/>
  <c r="N20" i="2" s="1"/>
  <c r="K34" i="2"/>
  <c r="AC31" i="2" s="1"/>
  <c r="K32" i="2"/>
  <c r="N14" i="2"/>
  <c r="K21" i="2"/>
  <c r="O21" i="2"/>
  <c r="P21" i="2"/>
  <c r="AL29" i="2"/>
  <c r="K30" i="2"/>
  <c r="P32" i="2"/>
  <c r="O32" i="2"/>
  <c r="AC29" i="2"/>
  <c r="P30" i="2"/>
  <c r="O30" i="2"/>
  <c r="O31" i="2"/>
  <c r="P31" i="2"/>
  <c r="K31" i="2"/>
  <c r="AK28" i="2" s="1"/>
  <c r="AB30" i="2"/>
  <c r="Y31" i="2"/>
  <c r="AD30" i="2"/>
  <c r="AA30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P51" i="2"/>
  <c r="N48" i="2"/>
  <c r="N47" i="2"/>
  <c r="P49" i="2"/>
  <c r="O49" i="2"/>
  <c r="O50" i="2"/>
  <c r="P50" i="2"/>
  <c r="AF30" i="2"/>
  <c r="AL30" i="2"/>
  <c r="X30" i="2"/>
  <c r="AO30" i="2"/>
  <c r="Y30" i="2"/>
  <c r="AH32" i="2"/>
  <c r="AG32" i="2"/>
  <c r="AF32" i="2"/>
  <c r="Z32" i="2"/>
  <c r="AI32" i="2"/>
  <c r="AO31" i="2"/>
  <c r="AD31" i="2"/>
  <c r="AL32" i="2"/>
  <c r="Y32" i="2"/>
  <c r="AB32" i="2"/>
  <c r="AK32" i="2"/>
  <c r="AE32" i="2"/>
  <c r="AA31" i="2"/>
  <c r="N35" i="2"/>
  <c r="N34" i="2"/>
  <c r="N33" i="2"/>
  <c r="K28" i="2"/>
  <c r="N40" i="2"/>
  <c r="N107" i="2"/>
  <c r="N79" i="2"/>
  <c r="O82" i="2"/>
  <c r="P82" i="2"/>
  <c r="K82" i="2"/>
  <c r="O28" i="2"/>
  <c r="P28" i="2"/>
  <c r="O41" i="2"/>
  <c r="P41" i="2"/>
  <c r="K41" i="2"/>
  <c r="O37" i="2"/>
  <c r="P37" i="2"/>
  <c r="K37" i="2"/>
  <c r="O83" i="2"/>
  <c r="P83" i="2"/>
  <c r="K83" i="2"/>
  <c r="P70" i="2"/>
  <c r="O70" i="2"/>
  <c r="P54" i="2"/>
  <c r="O54" i="2"/>
  <c r="O110" i="2"/>
  <c r="P110" i="2"/>
  <c r="K110" i="2"/>
  <c r="O73" i="2"/>
  <c r="P73" i="2"/>
  <c r="O112" i="2"/>
  <c r="P112" i="2"/>
  <c r="K112" i="2"/>
  <c r="O111" i="2"/>
  <c r="K111" i="2"/>
  <c r="N69" i="2"/>
  <c r="P68" i="2"/>
  <c r="O68" i="2"/>
  <c r="K50" i="2"/>
  <c r="P36" i="2"/>
  <c r="O36" i="2"/>
  <c r="K36" i="2"/>
  <c r="N108" i="2"/>
  <c r="N78" i="2"/>
  <c r="P38" i="2"/>
  <c r="O38" i="2"/>
  <c r="K38" i="2"/>
  <c r="K51" i="2"/>
  <c r="O81" i="2"/>
  <c r="P81" i="2"/>
  <c r="K81" i="2"/>
  <c r="K49" i="2"/>
  <c r="N85" i="2"/>
  <c r="N109" i="2"/>
  <c r="N80" i="2"/>
  <c r="N24" i="2" l="1"/>
  <c r="AL31" i="2"/>
  <c r="AP31" i="2"/>
  <c r="AB31" i="2"/>
  <c r="AA29" i="2"/>
  <c r="X31" i="2"/>
  <c r="AJ31" i="2"/>
  <c r="AM31" i="2"/>
  <c r="Z29" i="2"/>
  <c r="AI29" i="2"/>
  <c r="AE29" i="2"/>
  <c r="AI31" i="2"/>
  <c r="AF31" i="2"/>
  <c r="AN31" i="2"/>
  <c r="AM29" i="2"/>
  <c r="AO29" i="2"/>
  <c r="Y29" i="2"/>
  <c r="AB29" i="2"/>
  <c r="AF29" i="2"/>
  <c r="X29" i="2"/>
  <c r="AG29" i="2"/>
  <c r="AH29" i="2"/>
  <c r="AN29" i="2"/>
  <c r="Z31" i="2"/>
  <c r="AG31" i="2"/>
  <c r="AE31" i="2"/>
  <c r="AK31" i="2"/>
  <c r="AP29" i="2"/>
  <c r="AJ29" i="2"/>
  <c r="AD29" i="2"/>
  <c r="AK29" i="2"/>
  <c r="AH28" i="2"/>
  <c r="AJ28" i="2"/>
  <c r="N21" i="2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N30" i="2"/>
  <c r="AG28" i="2"/>
  <c r="N31" i="2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O72" i="2"/>
  <c r="O25" i="2" l="1"/>
  <c r="P25" i="2"/>
  <c r="P72" i="2"/>
  <c r="K72" i="2"/>
  <c r="N25" i="2" l="1"/>
  <c r="N72" i="2"/>
  <c r="D7" i="5" l="1"/>
  <c r="C7" i="5"/>
  <c r="I27" i="2"/>
  <c r="A27" i="2"/>
  <c r="F27" i="2"/>
  <c r="J27" i="2" s="1"/>
  <c r="H27" i="2" l="1"/>
  <c r="K27" i="2" s="1"/>
  <c r="X36" i="2" l="1"/>
  <c r="Y36" i="2"/>
  <c r="AB36" i="2"/>
  <c r="AA36" i="2"/>
  <c r="P27" i="2"/>
  <c r="AD36" i="2"/>
  <c r="AM36" i="2"/>
  <c r="AE36" i="2"/>
  <c r="AF36" i="2"/>
  <c r="AL36" i="2"/>
  <c r="AJ36" i="2"/>
  <c r="AI36" i="2"/>
  <c r="AK36" i="2"/>
  <c r="Z36" i="2"/>
  <c r="AO36" i="2"/>
  <c r="O27" i="2"/>
  <c r="AH36" i="2"/>
  <c r="AP36" i="2"/>
  <c r="AG36" i="2"/>
  <c r="AC36" i="2"/>
  <c r="AN36" i="2"/>
  <c r="N27" i="2" l="1"/>
  <c r="A43" i="2"/>
  <c r="F43" i="2"/>
  <c r="I43" i="2" s="1"/>
  <c r="H43" i="2"/>
  <c r="P43" i="2" l="1"/>
  <c r="O43" i="2"/>
  <c r="K43" i="2"/>
  <c r="J43" i="2"/>
  <c r="N43" i="2" l="1"/>
  <c r="A114" i="2"/>
  <c r="O11" i="2"/>
  <c r="D8" i="3" s="1"/>
  <c r="O18" i="2" l="1"/>
  <c r="P18" i="2"/>
  <c r="K11" i="2"/>
  <c r="H8" i="3" s="1"/>
  <c r="P11" i="2"/>
  <c r="E8" i="3" s="1"/>
  <c r="N18" i="2" l="1"/>
  <c r="N11" i="2"/>
  <c r="O23" i="2" l="1"/>
  <c r="P23" i="2"/>
  <c r="N23" i="2" l="1"/>
  <c r="S128" i="2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S139" i="2"/>
  <c r="S131" i="2"/>
  <c r="S133" i="2"/>
  <c r="S127" i="2"/>
  <c r="S137" i="2"/>
  <c r="S132" i="2"/>
  <c r="S147" i="2"/>
</calcChain>
</file>

<file path=xl/sharedStrings.xml><?xml version="1.0" encoding="utf-8"?>
<sst xmlns="http://schemas.openxmlformats.org/spreadsheetml/2006/main" count="731" uniqueCount="299">
  <si>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</si>
  <si>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</si>
  <si>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</si>
  <si>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</si>
  <si>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</si>
  <si>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</si>
  <si>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</si>
  <si>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</si>
  <si>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</si>
  <si>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</si>
  <si>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</si>
  <si>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</si>
  <si>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</si>
  <si>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</si>
  <si>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</si>
  <si>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</si>
  <si>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</si>
  <si>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</si>
  <si>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</si>
  <si>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</si>
  <si>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</si>
  <si>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</si>
  <si>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</si>
  <si>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</si>
  <si>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</si>
  <si>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</si>
  <si>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</si>
  <si>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</si>
  <si>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</si>
  <si>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</si>
  <si>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</si>
  <si>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</si>
  <si>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</si>
  <si>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</si>
  <si>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</si>
  <si>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</si>
  <si>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</si>
  <si>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</si>
  <si>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</si>
  <si>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</si>
  <si>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</si>
  <si>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</si>
  <si>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</si>
  <si>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</si>
  <si>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</si>
  <si>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</si>
  <si>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</si>
  <si>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</si>
  <si>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</si>
  <si>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</si>
  <si>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</si>
  <si>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</si>
  <si>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</si>
  <si>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</si>
  <si>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</si>
  <si>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</si>
  <si>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</si>
  <si>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</si>
  <si>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</si>
  <si>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</si>
  <si>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</si>
  <si>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</si>
  <si>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</si>
  <si>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</si>
  <si>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</si>
  <si>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</si>
  <si>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</si>
  <si>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</si>
  <si>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</si>
  <si>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</si>
  <si>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</si>
  <si>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</si>
  <si>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</si>
  <si>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</si>
  <si>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</si>
  <si>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</si>
  <si>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</si>
  <si>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</si>
  <si>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</si>
  <si>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</si>
  <si>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</si>
  <si>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</si>
  <si>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</si>
  <si>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</si>
  <si>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</si>
  <si>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</si>
  <si>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</si>
  <si>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</si>
  <si>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</si>
  <si>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</si>
  <si>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</si>
  <si>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</si>
  <si>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</si>
  <si>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</si>
  <si>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</si>
  <si>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</si>
  <si>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</si>
  <si>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</si>
  <si>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</si>
  <si>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</si>
  <si>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</si>
  <si>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</si>
  <si>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</si>
  <si>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</si>
  <si>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</si>
  <si>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</si>
  <si>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</si>
  <si>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</si>
  <si>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</si>
  <si>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</si>
  <si>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</si>
  <si>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</si>
  <si>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</si>
  <si>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</si>
  <si>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</si>
  <si>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</si>
  <si>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</si>
  <si>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</si>
  <si>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</si>
  <si>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</si>
  <si>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</si>
  <si>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</si>
  <si>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</si>
  <si>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</si>
  <si>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</si>
  <si>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</si>
  <si>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</si>
  <si>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</si>
  <si>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</si>
  <si>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</si>
  <si>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</si>
  <si>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</si>
  <si>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</si>
  <si>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</si>
  <si>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</si>
  <si>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</si>
  <si>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</si>
  <si>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</si>
  <si>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</si>
  <si>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</si>
  <si>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</si>
  <si>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</si>
  <si>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</si>
  <si>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</si>
  <si>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</si>
  <si>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</si>
  <si>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</si>
  <si>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</si>
  <si>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</si>
  <si>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</si>
  <si>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</si>
  <si>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</si>
  <si>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</si>
  <si>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</si>
  <si>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</si>
  <si>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</si>
  <si>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</si>
  <si>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</si>
  <si>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</si>
  <si>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</si>
  <si>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</si>
  <si>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</si>
  <si>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</si>
  <si>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</si>
  <si>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</si>
  <si>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</si>
  <si>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</si>
  <si>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</si>
  <si>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</si>
  <si>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</si>
  <si>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</si>
  <si>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</si>
  <si>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</si>
  <si>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</si>
  <si>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</si>
  <si>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</si>
  <si>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</si>
  <si>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</si>
  <si>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</si>
  <si>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</si>
  <si>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</si>
  <si>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</si>
  <si>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</si>
  <si>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</si>
  <si>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</si>
  <si>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</si>
  <si>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</si>
  <si>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</si>
  <si>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</si>
  <si>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</si>
  <si>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</si>
  <si>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</si>
  <si>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</si>
  <si>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</si>
  <si>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</si>
  <si>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</si>
  <si>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</si>
  <si>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</si>
  <si>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</si>
  <si>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</si>
  <si>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</si>
  <si>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</si>
  <si>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</si>
  <si>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</si>
  <si>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</si>
  <si>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</si>
  <si>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</si>
  <si>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</si>
  <si>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</si>
  <si>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</si>
  <si>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</si>
  <si>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</si>
  <si>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</si>
  <si>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</si>
  <si>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</si>
  <si>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</si>
  <si>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</si>
  <si>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</si>
  <si>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</si>
  <si>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</si>
  <si>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</si>
  <si>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</si>
  <si>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</si>
  <si>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</si>
  <si>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</si>
  <si>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</si>
  <si>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</si>
  <si>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</si>
  <si>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</si>
  <si>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</si>
  <si>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</si>
  <si>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</si>
  <si>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</si>
  <si>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</si>
  <si>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</si>
  <si>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</si>
  <si>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</si>
  <si>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</si>
  <si>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</si>
  <si>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</si>
  <si>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</si>
  <si>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</si>
  <si>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</si>
  <si>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</si>
  <si>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</si>
  <si>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</si>
  <si>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</si>
  <si>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</si>
  <si>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</si>
  <si>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</si>
  <si>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</si>
  <si>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</si>
  <si>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</si>
  <si>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</si>
  <si>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</si>
  <si>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</si>
  <si>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</si>
  <si>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</si>
  <si>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</si>
  <si>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</si>
  <si>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</si>
  <si>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</si>
  <si>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</si>
  <si>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</si>
  <si>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</si>
  <si>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</si>
  <si>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Total Evasion</t>
  </si>
  <si>
    <t>HP</t>
  </si>
  <si>
    <t>Tier Range Effect</t>
  </si>
  <si>
    <t>Armor Per Tier</t>
  </si>
  <si>
    <t>True Max Evasion/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</si>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</sst>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7.7972439999999992</c:v>
                </c:pt>
                <c:pt idx="1">
                  <c:v>8.048767999999999</c:v>
                </c:pt>
                <c:pt idx="2">
                  <c:v>8.3002919999999989</c:v>
                </c:pt>
                <c:pt idx="3">
                  <c:v>8.5518160000000005</c:v>
                </c:pt>
                <c:pt idx="4">
                  <c:v>8.8033400000000004</c:v>
                </c:pt>
                <c:pt idx="5">
                  <c:v>9.0548640000000002</c:v>
                </c:pt>
                <c:pt idx="6">
                  <c:v>9.3063880000000001</c:v>
                </c:pt>
                <c:pt idx="7">
                  <c:v>9.5579120000000017</c:v>
                </c:pt>
                <c:pt idx="8">
                  <c:v>9.8094359999999998</c:v>
                </c:pt>
                <c:pt idx="9">
                  <c:v>10.060960000000001</c:v>
                </c:pt>
                <c:pt idx="10">
                  <c:v>10.312484000000001</c:v>
                </c:pt>
                <c:pt idx="11">
                  <c:v>10.564008000000001</c:v>
                </c:pt>
                <c:pt idx="12">
                  <c:v>10.815532000000001</c:v>
                </c:pt>
                <c:pt idx="13">
                  <c:v>11.067056000000003</c:v>
                </c:pt>
                <c:pt idx="14">
                  <c:v>11.318580000000003</c:v>
                </c:pt>
                <c:pt idx="15">
                  <c:v>11.570104000000004</c:v>
                </c:pt>
                <c:pt idx="16">
                  <c:v>11.821628000000002</c:v>
                </c:pt>
                <c:pt idx="17">
                  <c:v>12.073152000000006</c:v>
                </c:pt>
                <c:pt idx="18">
                  <c:v>12.324676000000004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7.8995699999999998</c:v>
                </c:pt>
                <c:pt idx="1">
                  <c:v>8.2757400000000008</c:v>
                </c:pt>
                <c:pt idx="2">
                  <c:v>8.6519099999999991</c:v>
                </c:pt>
                <c:pt idx="3">
                  <c:v>9.0280799999999992</c:v>
                </c:pt>
                <c:pt idx="4">
                  <c:v>9.4042499999999993</c:v>
                </c:pt>
                <c:pt idx="5">
                  <c:v>9.7804199999999994</c:v>
                </c:pt>
                <c:pt idx="6">
                  <c:v>10.15659</c:v>
                </c:pt>
                <c:pt idx="7">
                  <c:v>10.53276</c:v>
                </c:pt>
                <c:pt idx="8">
                  <c:v>10.90893</c:v>
                </c:pt>
                <c:pt idx="9">
                  <c:v>11.2851</c:v>
                </c:pt>
                <c:pt idx="10">
                  <c:v>11.661269999999998</c:v>
                </c:pt>
                <c:pt idx="11">
                  <c:v>12.03744</c:v>
                </c:pt>
                <c:pt idx="12">
                  <c:v>12.413609999999998</c:v>
                </c:pt>
                <c:pt idx="13">
                  <c:v>12.78978</c:v>
                </c:pt>
                <c:pt idx="14">
                  <c:v>13.165949999999999</c:v>
                </c:pt>
                <c:pt idx="15">
                  <c:v>13.542120000000001</c:v>
                </c:pt>
                <c:pt idx="16">
                  <c:v>13.918290000000001</c:v>
                </c:pt>
                <c:pt idx="17">
                  <c:v>14.294460000000003</c:v>
                </c:pt>
                <c:pt idx="18">
                  <c:v>14.670630000000001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8.0011520000000012</c:v>
                </c:pt>
                <c:pt idx="1">
                  <c:v>8.5012240000000006</c:v>
                </c:pt>
                <c:pt idx="2">
                  <c:v>9.001296</c:v>
                </c:pt>
                <c:pt idx="3">
                  <c:v>9.5013680000000011</c:v>
                </c:pt>
                <c:pt idx="4">
                  <c:v>10.001440000000001</c:v>
                </c:pt>
                <c:pt idx="5">
                  <c:v>10.501512</c:v>
                </c:pt>
                <c:pt idx="6">
                  <c:v>11.001584000000001</c:v>
                </c:pt>
                <c:pt idx="7">
                  <c:v>11.501656000000001</c:v>
                </c:pt>
                <c:pt idx="8">
                  <c:v>12.001727999999998</c:v>
                </c:pt>
                <c:pt idx="9">
                  <c:v>12.501800000000001</c:v>
                </c:pt>
                <c:pt idx="10">
                  <c:v>13.001871999999999</c:v>
                </c:pt>
                <c:pt idx="11">
                  <c:v>13.501944</c:v>
                </c:pt>
                <c:pt idx="12">
                  <c:v>14.002015999999999</c:v>
                </c:pt>
                <c:pt idx="13">
                  <c:v>14.502088000000001</c:v>
                </c:pt>
                <c:pt idx="14">
                  <c:v>15.002160000000002</c:v>
                </c:pt>
                <c:pt idx="15">
                  <c:v>15.502231999999999</c:v>
                </c:pt>
                <c:pt idx="16">
                  <c:v>16.002304000000002</c:v>
                </c:pt>
                <c:pt idx="17">
                  <c:v>16.502376000000002</c:v>
                </c:pt>
                <c:pt idx="18">
                  <c:v>17.002448000000001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10.500329846153846</c:v>
                </c:pt>
                <c:pt idx="1">
                  <c:v>10.963579692307693</c:v>
                </c:pt>
                <c:pt idx="2">
                  <c:v>11.426829538461538</c:v>
                </c:pt>
                <c:pt idx="3">
                  <c:v>11.890079384615385</c:v>
                </c:pt>
                <c:pt idx="4">
                  <c:v>12.353329230769232</c:v>
                </c:pt>
                <c:pt idx="5">
                  <c:v>12.816579076923075</c:v>
                </c:pt>
                <c:pt idx="6">
                  <c:v>13.279828923076922</c:v>
                </c:pt>
                <c:pt idx="7">
                  <c:v>13.743078769230769</c:v>
                </c:pt>
                <c:pt idx="8">
                  <c:v>14.206328615384614</c:v>
                </c:pt>
                <c:pt idx="9">
                  <c:v>14.66957846153846</c:v>
                </c:pt>
                <c:pt idx="10">
                  <c:v>15.132828307692307</c:v>
                </c:pt>
                <c:pt idx="11">
                  <c:v>15.596078153846154</c:v>
                </c:pt>
                <c:pt idx="12">
                  <c:v>16.059328000000001</c:v>
                </c:pt>
                <c:pt idx="13">
                  <c:v>16.522577846153848</c:v>
                </c:pt>
                <c:pt idx="14">
                  <c:v>16.985827692307694</c:v>
                </c:pt>
                <c:pt idx="15">
                  <c:v>17.449077538461538</c:v>
                </c:pt>
                <c:pt idx="16">
                  <c:v>17.912327384615388</c:v>
                </c:pt>
                <c:pt idx="17">
                  <c:v>18.375577230769231</c:v>
                </c:pt>
                <c:pt idx="18">
                  <c:v>18.838827076923081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10.628760000000002</c:v>
                </c:pt>
                <c:pt idx="1">
                  <c:v>11.24492</c:v>
                </c:pt>
                <c:pt idx="2">
                  <c:v>11.861080000000001</c:v>
                </c:pt>
                <c:pt idx="3">
                  <c:v>12.477240000000002</c:v>
                </c:pt>
                <c:pt idx="4">
                  <c:v>13.093399999999999</c:v>
                </c:pt>
                <c:pt idx="5">
                  <c:v>13.70956</c:v>
                </c:pt>
                <c:pt idx="6">
                  <c:v>14.325719999999999</c:v>
                </c:pt>
                <c:pt idx="7">
                  <c:v>14.941879999999999</c:v>
                </c:pt>
                <c:pt idx="8">
                  <c:v>15.55804</c:v>
                </c:pt>
                <c:pt idx="9">
                  <c:v>16.174199999999995</c:v>
                </c:pt>
                <c:pt idx="10">
                  <c:v>16.79036</c:v>
                </c:pt>
                <c:pt idx="11">
                  <c:v>17.406519999999997</c:v>
                </c:pt>
                <c:pt idx="12">
                  <c:v>18.022680000000001</c:v>
                </c:pt>
                <c:pt idx="13">
                  <c:v>18.638839999999998</c:v>
                </c:pt>
                <c:pt idx="14">
                  <c:v>19.254999999999999</c:v>
                </c:pt>
                <c:pt idx="15">
                  <c:v>19.871160000000003</c:v>
                </c:pt>
                <c:pt idx="16">
                  <c:v>20.48732</c:v>
                </c:pt>
                <c:pt idx="17">
                  <c:v>21.103480000000001</c:v>
                </c:pt>
                <c:pt idx="18">
                  <c:v>21.719640000000005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10.756436923076924</c:v>
                </c:pt>
                <c:pt idx="1">
                  <c:v>11.524753846153848</c:v>
                </c:pt>
                <c:pt idx="2">
                  <c:v>12.29307076923077</c:v>
                </c:pt>
                <c:pt idx="3">
                  <c:v>13.061387692307694</c:v>
                </c:pt>
                <c:pt idx="4">
                  <c:v>13.829704615384614</c:v>
                </c:pt>
                <c:pt idx="5">
                  <c:v>14.598021538461536</c:v>
                </c:pt>
                <c:pt idx="6">
                  <c:v>15.36633846153846</c:v>
                </c:pt>
                <c:pt idx="7">
                  <c:v>16.134655384615382</c:v>
                </c:pt>
                <c:pt idx="8">
                  <c:v>16.902972307692306</c:v>
                </c:pt>
                <c:pt idx="9">
                  <c:v>17.671289230769226</c:v>
                </c:pt>
                <c:pt idx="10">
                  <c:v>18.43960615384615</c:v>
                </c:pt>
                <c:pt idx="11">
                  <c:v>19.20792307692307</c:v>
                </c:pt>
                <c:pt idx="12">
                  <c:v>19.976239999999997</c:v>
                </c:pt>
                <c:pt idx="13">
                  <c:v>20.744556923076917</c:v>
                </c:pt>
                <c:pt idx="14">
                  <c:v>21.512873846153841</c:v>
                </c:pt>
                <c:pt idx="15">
                  <c:v>22.281190769230765</c:v>
                </c:pt>
                <c:pt idx="16">
                  <c:v>23.049507692307685</c:v>
                </c:pt>
                <c:pt idx="17">
                  <c:v>23.817824615384612</c:v>
                </c:pt>
                <c:pt idx="18">
                  <c:v>24.586141538461536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13.196623466666665</c:v>
                </c:pt>
                <c:pt idx="1">
                  <c:v>13.864806933333334</c:v>
                </c:pt>
                <c:pt idx="2">
                  <c:v>14.532990399999999</c:v>
                </c:pt>
                <c:pt idx="3">
                  <c:v>15.201173866666666</c:v>
                </c:pt>
                <c:pt idx="4">
                  <c:v>15.869357333333332</c:v>
                </c:pt>
                <c:pt idx="5">
                  <c:v>16.537540799999999</c:v>
                </c:pt>
                <c:pt idx="6">
                  <c:v>17.205724266666667</c:v>
                </c:pt>
                <c:pt idx="7">
                  <c:v>17.873907733333333</c:v>
                </c:pt>
                <c:pt idx="8">
                  <c:v>18.542091199999998</c:v>
                </c:pt>
                <c:pt idx="9">
                  <c:v>19.210274666666663</c:v>
                </c:pt>
                <c:pt idx="10">
                  <c:v>19.878458133333329</c:v>
                </c:pt>
                <c:pt idx="11">
                  <c:v>20.546641599999997</c:v>
                </c:pt>
                <c:pt idx="12">
                  <c:v>21.214825066666666</c:v>
                </c:pt>
                <c:pt idx="13">
                  <c:v>21.883008533333332</c:v>
                </c:pt>
                <c:pt idx="14">
                  <c:v>22.551191999999997</c:v>
                </c:pt>
                <c:pt idx="15">
                  <c:v>23.219375466666666</c:v>
                </c:pt>
                <c:pt idx="16">
                  <c:v>23.887558933333334</c:v>
                </c:pt>
                <c:pt idx="17">
                  <c:v>24.5557424</c:v>
                </c:pt>
                <c:pt idx="18">
                  <c:v>25.223925866666669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13.335253333333332</c:v>
                </c:pt>
                <c:pt idx="1">
                  <c:v>14.168706666666665</c:v>
                </c:pt>
                <c:pt idx="2">
                  <c:v>15.002159999999998</c:v>
                </c:pt>
                <c:pt idx="3">
                  <c:v>15.835613333333331</c:v>
                </c:pt>
                <c:pt idx="4">
                  <c:v>16.669066666666666</c:v>
                </c:pt>
                <c:pt idx="5">
                  <c:v>17.502519999999997</c:v>
                </c:pt>
                <c:pt idx="6">
                  <c:v>18.335973333333332</c:v>
                </c:pt>
                <c:pt idx="7">
                  <c:v>19.169426666666663</c:v>
                </c:pt>
                <c:pt idx="8">
                  <c:v>20.002879999999994</c:v>
                </c:pt>
                <c:pt idx="9">
                  <c:v>20.836333333333329</c:v>
                </c:pt>
                <c:pt idx="10">
                  <c:v>21.66978666666666</c:v>
                </c:pt>
                <c:pt idx="11">
                  <c:v>22.503239999999998</c:v>
                </c:pt>
                <c:pt idx="12">
                  <c:v>23.336693333333329</c:v>
                </c:pt>
                <c:pt idx="13">
                  <c:v>24.170146666666664</c:v>
                </c:pt>
                <c:pt idx="14">
                  <c:v>25.003599999999999</c:v>
                </c:pt>
                <c:pt idx="15">
                  <c:v>25.83705333333333</c:v>
                </c:pt>
                <c:pt idx="16">
                  <c:v>26.670506666666665</c:v>
                </c:pt>
                <c:pt idx="17">
                  <c:v>27.503959999999999</c:v>
                </c:pt>
                <c:pt idx="18">
                  <c:v>28.33741333333333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13.473172800000004</c:v>
                </c:pt>
                <c:pt idx="1">
                  <c:v>14.471185600000002</c:v>
                </c:pt>
                <c:pt idx="2">
                  <c:v>15.469198400000003</c:v>
                </c:pt>
                <c:pt idx="3">
                  <c:v>16.467211200000001</c:v>
                </c:pt>
                <c:pt idx="4">
                  <c:v>17.465224000000003</c:v>
                </c:pt>
                <c:pt idx="5">
                  <c:v>18.463236800000004</c:v>
                </c:pt>
                <c:pt idx="6">
                  <c:v>19.461249600000002</c:v>
                </c:pt>
                <c:pt idx="7">
                  <c:v>20.4592624</c:v>
                </c:pt>
                <c:pt idx="8">
                  <c:v>21.457275200000002</c:v>
                </c:pt>
                <c:pt idx="9">
                  <c:v>22.455288000000003</c:v>
                </c:pt>
                <c:pt idx="10">
                  <c:v>23.453300800000001</c:v>
                </c:pt>
                <c:pt idx="11">
                  <c:v>24.451313600000002</c:v>
                </c:pt>
                <c:pt idx="12">
                  <c:v>25.449326400000004</c:v>
                </c:pt>
                <c:pt idx="13">
                  <c:v>26.447339200000005</c:v>
                </c:pt>
                <c:pt idx="14">
                  <c:v>27.445352000000007</c:v>
                </c:pt>
                <c:pt idx="15">
                  <c:v>28.443364800000008</c:v>
                </c:pt>
                <c:pt idx="16">
                  <c:v>29.44137760000001</c:v>
                </c:pt>
                <c:pt idx="17">
                  <c:v>30.439390400000011</c:v>
                </c:pt>
                <c:pt idx="18">
                  <c:v>31.437403200000006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10.762833846153844</c:v>
                </c:pt>
                <c:pt idx="1">
                  <c:v>11.531607692307691</c:v>
                </c:pt>
                <c:pt idx="2">
                  <c:v>12.300381538461538</c:v>
                </c:pt>
                <c:pt idx="3">
                  <c:v>13.069155384615383</c:v>
                </c:pt>
                <c:pt idx="4">
                  <c:v>13.83792923076923</c:v>
                </c:pt>
                <c:pt idx="5">
                  <c:v>14.606703076923075</c:v>
                </c:pt>
                <c:pt idx="6">
                  <c:v>15.375476923076921</c:v>
                </c:pt>
                <c:pt idx="7">
                  <c:v>16.144250769230769</c:v>
                </c:pt>
                <c:pt idx="8">
                  <c:v>16.913024615384611</c:v>
                </c:pt>
                <c:pt idx="9">
                  <c:v>17.68179846153846</c:v>
                </c:pt>
                <c:pt idx="10">
                  <c:v>18.450572307692305</c:v>
                </c:pt>
                <c:pt idx="11">
                  <c:v>19.21934615384615</c:v>
                </c:pt>
                <c:pt idx="12">
                  <c:v>19.988119999999999</c:v>
                </c:pt>
                <c:pt idx="13">
                  <c:v>20.756893846153844</c:v>
                </c:pt>
                <c:pt idx="14">
                  <c:v>21.525667692307692</c:v>
                </c:pt>
                <c:pt idx="15">
                  <c:v>22.294441538461538</c:v>
                </c:pt>
                <c:pt idx="16">
                  <c:v>23.063215384615386</c:v>
                </c:pt>
                <c:pt idx="17">
                  <c:v>23.831989230769231</c:v>
                </c:pt>
                <c:pt idx="18">
                  <c:v>24.600763076923077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13.486586400000002</c:v>
                </c:pt>
                <c:pt idx="1">
                  <c:v>14.485592800000003</c:v>
                </c:pt>
                <c:pt idx="2">
                  <c:v>15.484599200000002</c:v>
                </c:pt>
                <c:pt idx="3">
                  <c:v>16.483605600000001</c:v>
                </c:pt>
                <c:pt idx="4">
                  <c:v>17.482612</c:v>
                </c:pt>
                <c:pt idx="5">
                  <c:v>18.481618399999999</c:v>
                </c:pt>
                <c:pt idx="6">
                  <c:v>19.480624800000001</c:v>
                </c:pt>
                <c:pt idx="7">
                  <c:v>20.479631199999996</c:v>
                </c:pt>
                <c:pt idx="8">
                  <c:v>21.478637599999995</c:v>
                </c:pt>
                <c:pt idx="9">
                  <c:v>22.477643999999998</c:v>
                </c:pt>
                <c:pt idx="10">
                  <c:v>23.476650399999997</c:v>
                </c:pt>
                <c:pt idx="11">
                  <c:v>24.475656799999996</c:v>
                </c:pt>
                <c:pt idx="12">
                  <c:v>25.474663199999995</c:v>
                </c:pt>
                <c:pt idx="13">
                  <c:v>26.473669599999997</c:v>
                </c:pt>
                <c:pt idx="14">
                  <c:v>27.472675999999996</c:v>
                </c:pt>
                <c:pt idx="15">
                  <c:v>28.471682399999999</c:v>
                </c:pt>
                <c:pt idx="16">
                  <c:v>29.470688800000001</c:v>
                </c:pt>
                <c:pt idx="17">
                  <c:v>30.4696952</c:v>
                </c:pt>
                <c:pt idx="18">
                  <c:v>31.468701600000003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Armor per Tech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Balancing'!$J$11:$J$16</c:f>
              <c:numCache>
                <c:formatCode>0%</c:formatCode>
                <c:ptCount val="6"/>
                <c:pt idx="0">
                  <c:v>4.0697674418604654E-2</c:v>
                </c:pt>
                <c:pt idx="1">
                  <c:v>7.8212290502793311E-2</c:v>
                </c:pt>
                <c:pt idx="2">
                  <c:v>0.11290322580645162</c:v>
                </c:pt>
                <c:pt idx="3">
                  <c:v>0.1450777202072539</c:v>
                </c:pt>
                <c:pt idx="4">
                  <c:v>0.17499999999999999</c:v>
                </c:pt>
                <c:pt idx="5">
                  <c:v>0.22047244094488189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Balancing'!$K$11:$K$16</c:f>
              <c:numCache>
                <c:formatCode>0%</c:formatCode>
                <c:ptCount val="6"/>
                <c:pt idx="0">
                  <c:v>9.722222222222221E-2</c:v>
                </c:pt>
                <c:pt idx="1">
                  <c:v>0.17721518987341772</c:v>
                </c:pt>
                <c:pt idx="2">
                  <c:v>0.24418604651162792</c:v>
                </c:pt>
                <c:pt idx="3">
                  <c:v>0.30107526881720431</c:v>
                </c:pt>
                <c:pt idx="4">
                  <c:v>0.35</c:v>
                </c:pt>
                <c:pt idx="5">
                  <c:v>0.41791044776119401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Balancing'!$L$11:$L$16</c:f>
              <c:numCache>
                <c:formatCode>0%</c:formatCode>
                <c:ptCount val="6"/>
                <c:pt idx="0">
                  <c:v>0.18103448275862061</c:v>
                </c:pt>
                <c:pt idx="1">
                  <c:v>0.30656934306569333</c:v>
                </c:pt>
                <c:pt idx="2">
                  <c:v>0.39873417721518978</c:v>
                </c:pt>
                <c:pt idx="3">
                  <c:v>0.46927374301675967</c:v>
                </c:pt>
                <c:pt idx="4">
                  <c:v>0.52499999999999991</c:v>
                </c:pt>
                <c:pt idx="5">
                  <c:v>0.59574468085106369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Balancing'!$M$11:$M$16</c:f>
              <c:numCache>
                <c:formatCode>0%</c:formatCode>
                <c:ptCount val="6"/>
                <c:pt idx="0">
                  <c:v>0.31818181818181812</c:v>
                </c:pt>
                <c:pt idx="1">
                  <c:v>0.48275862068965514</c:v>
                </c:pt>
                <c:pt idx="2">
                  <c:v>0.58333333333333337</c:v>
                </c:pt>
                <c:pt idx="3">
                  <c:v>0.65116279069767435</c:v>
                </c:pt>
                <c:pt idx="4">
                  <c:v>0.7</c:v>
                </c:pt>
                <c:pt idx="5">
                  <c:v>0.75675675675675669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7</xdr:row>
      <xdr:rowOff>76199</xdr:rowOff>
    </xdr:from>
    <xdr:to>
      <xdr:col>24</xdr:col>
      <xdr:colOff>133349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136" workbookViewId="0">
      <selection activeCell="A153" sqref="A153:A161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 t="shared" si="0"/>
        <v>11.8</v>
      </c>
    </row>
    <row r="23" spans="1:17" x14ac:dyDescent="0.25">
      <c r="A23" s="15" t="s">
        <v>150</v>
      </c>
      <c r="Q23" s="30" t="e">
        <f t="shared" si="0"/>
        <v>#DIV/0!</v>
      </c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 t="e">
        <f t="shared" si="0"/>
        <v>#DIV/0!</v>
      </c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 t="e">
        <f t="shared" si="0"/>
        <v>#DIV/0!</v>
      </c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 t="e">
        <f t="shared" si="0"/>
        <v>#DIV/0!</v>
      </c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topLeftCell="A139" zoomScale="85" zoomScaleNormal="85" workbookViewId="0">
      <selection activeCell="M156" sqref="M156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M2/2</f>
        <v>7.0000000000000007E-2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I3" t="s">
        <v>268</v>
      </c>
      <c r="J3">
        <f>0.12</f>
        <v>0.12</v>
      </c>
      <c r="M3" s="2">
        <f>M2+0.14</f>
        <v>0.28000000000000003</v>
      </c>
      <c r="N3">
        <v>2</v>
      </c>
      <c r="O3" s="2">
        <f t="shared" ref="O3:O6" si="0">M3/2</f>
        <v>0.14000000000000001</v>
      </c>
      <c r="P3" s="2">
        <v>0.18</v>
      </c>
      <c r="Q3" s="2">
        <f t="shared" ref="Q3:Q6" si="1"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2">(Y$2*$W3)-$W3</f>
        <v>1</v>
      </c>
      <c r="Z3" s="2">
        <f t="shared" si="2"/>
        <v>2</v>
      </c>
      <c r="AA3" s="2">
        <f t="shared" si="2"/>
        <v>3</v>
      </c>
      <c r="AB3" s="2">
        <f t="shared" si="2"/>
        <v>4</v>
      </c>
      <c r="AC3" s="2">
        <f t="shared" si="2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3">M3+0.14</f>
        <v>0.42000000000000004</v>
      </c>
      <c r="N4">
        <v>3</v>
      </c>
      <c r="O4" s="2">
        <f t="shared" si="0"/>
        <v>0.21000000000000002</v>
      </c>
      <c r="P4" s="2">
        <v>0.3</v>
      </c>
      <c r="Q4" s="2">
        <f t="shared" si="1"/>
        <v>0.6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3"/>
        <v>0.56000000000000005</v>
      </c>
      <c r="N5">
        <v>4</v>
      </c>
      <c r="O5" s="2">
        <f t="shared" si="0"/>
        <v>0.28000000000000003</v>
      </c>
      <c r="P5" s="2">
        <v>0.32500000000000001</v>
      </c>
      <c r="Q5" s="2">
        <f t="shared" si="1"/>
        <v>0.65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7">
        <f t="shared" si="3"/>
        <v>0.70000000000000007</v>
      </c>
      <c r="N6">
        <v>5</v>
      </c>
      <c r="O6" s="2">
        <f t="shared" si="0"/>
        <v>0.35000000000000003</v>
      </c>
      <c r="P6" s="2">
        <v>0.375</v>
      </c>
      <c r="Q6" s="2">
        <f t="shared" si="1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33" t="s">
        <v>141</v>
      </c>
      <c r="I8" s="33"/>
      <c r="J8" s="33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294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IF(G$9=1,H11,H11/(R11-INDEX($O$2:$O$6,C11)))</f>
        <v>2.7559139784946241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-5.4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2.7559139784946241</v>
      </c>
      <c r="O11" s="2">
        <f t="shared" ref="O11:O25" si="7">0.75*(((G11*INDEX($R$1:$R$3,$D11+2))*Q11)/R11)</f>
        <v>7.7510080645161299</v>
      </c>
      <c r="P11">
        <f t="shared" ref="P11:P25" si="8">1.25*(((G11*INDEX($R$1:$R$3,$D11+2))*Q11)/R11)</f>
        <v>12.91834677419355</v>
      </c>
      <c r="Q11">
        <f>(AVERAGE(VLOOKUP(E11,weapon_components!$A$8:$M$178,9,0),VLOOKUP(E11,weapon_components!$A$8:$M$178,10,0))+VLOOKUP(E11,weapon_components!$A$8:$M$178,11,0))/10</f>
        <v>3.75</v>
      </c>
      <c r="R11">
        <f>IF((H11/F11)+INDEX($O$2:$O$6,$C11)&gt;1,1,(H11/F11)+INDEX($O$2:$O$6,$C11))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  <c r="V11">
        <v>0.69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32">
        <f t="shared" ref="G12:G56" si="11">IF(G$9=1,H12,H12/(R12-INDEX($O$2:$O$6,C12)))</f>
        <v>3.0102150537634413</v>
      </c>
      <c r="H12" s="2">
        <f t="shared" ref="H12:H25" si="12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-8.7818181818181866</v>
      </c>
      <c r="L12" s="10">
        <f t="shared" ref="L12:L24" si="13">(INDEX($Q$2:$Q$6,C12)/((1/INDEX($F$4:$F$6,J$9))-1))</f>
        <v>8.8888888888888889E-3</v>
      </c>
      <c r="M12" s="10">
        <v>0</v>
      </c>
      <c r="N12" s="2">
        <f t="shared" ref="N12:N25" si="14">((AVERAGE(O12,P12)*R12)/Q12)/INDEX($R$1:$R$3,D12+2)</f>
        <v>3.0102150537634413</v>
      </c>
      <c r="O12" s="2">
        <f t="shared" si="7"/>
        <v>16.932459677419359</v>
      </c>
      <c r="P12" s="2">
        <f t="shared" si="8"/>
        <v>28.220766129032263</v>
      </c>
      <c r="Q12" s="2">
        <f>(AVERAGE(VLOOKUP(E12,weapon_components!$A$8:$M$178,9,0),VLOOKUP(E12,weapon_components!$A$8:$M$178,10,0))+VLOOKUP(E12,weapon_components!$A$8:$M$178,11,0))/10</f>
        <v>3.75</v>
      </c>
      <c r="R12" s="32">
        <f t="shared" ref="R12:R76" si="15">IF((H12/F12)+INDEX($O$2:$O$6,$C12)&gt;1,1,(H12/F12)+INDEX($O$2:$O$6,$C12))</f>
        <v>1</v>
      </c>
      <c r="S12" s="25">
        <f t="shared" ref="S12:S25" si="16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  <c r="V12">
        <v>0.8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32">
        <f t="shared" si="11"/>
        <v>3.2606451612903227</v>
      </c>
      <c r="H13" s="2">
        <f t="shared" si="12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-11.6</v>
      </c>
      <c r="L13" s="10">
        <f t="shared" si="13"/>
        <v>8.8888888888888889E-3</v>
      </c>
      <c r="M13" s="10">
        <v>0</v>
      </c>
      <c r="N13" s="2">
        <f t="shared" si="14"/>
        <v>3.2606451612903227</v>
      </c>
      <c r="O13" s="2">
        <f t="shared" si="7"/>
        <v>36.682258064516134</v>
      </c>
      <c r="P13" s="2">
        <f t="shared" si="8"/>
        <v>61.137096774193552</v>
      </c>
      <c r="Q13" s="2">
        <f>(AVERAGE(VLOOKUP(E13,weapon_components!$A$8:$M$178,9,0),VLOOKUP(E13,weapon_components!$A$8:$M$178,10,0))+VLOOKUP(E13,weapon_components!$A$8:$M$178,11,0))/10</f>
        <v>3.75</v>
      </c>
      <c r="R13" s="32">
        <f t="shared" si="15"/>
        <v>1</v>
      </c>
      <c r="S13" s="25">
        <f t="shared" si="16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  <c r="V13">
        <v>0.75</v>
      </c>
    </row>
    <row r="14" spans="1:29" x14ac:dyDescent="0.25">
      <c r="A14" s="21">
        <f t="shared" si="9"/>
        <v>5.4359999999999992E-2</v>
      </c>
      <c r="C14">
        <v>2</v>
      </c>
      <c r="D14">
        <v>-1</v>
      </c>
      <c r="E14" s="5" t="s">
        <v>27</v>
      </c>
      <c r="F14" s="2">
        <f t="shared" si="10"/>
        <v>5.05436</v>
      </c>
      <c r="G14" s="32">
        <f t="shared" si="11"/>
        <v>6.4648790697674423</v>
      </c>
      <c r="H14" s="2">
        <f t="shared" si="12"/>
        <v>5.5597960000000004</v>
      </c>
      <c r="I14" s="2">
        <f t="shared" si="5"/>
        <v>3.6391391999999998</v>
      </c>
      <c r="J14" s="2">
        <f t="shared" si="5"/>
        <v>0.90978479999999995</v>
      </c>
      <c r="K14" s="10">
        <f t="shared" si="6"/>
        <v>-1.4282828282828288</v>
      </c>
      <c r="L14" s="10">
        <f t="shared" si="13"/>
        <v>0.04</v>
      </c>
      <c r="M14" s="10">
        <v>0</v>
      </c>
      <c r="N14" s="2">
        <f t="shared" si="14"/>
        <v>6.4648790697674423</v>
      </c>
      <c r="O14" s="2">
        <f t="shared" si="7"/>
        <v>18.182472383720931</v>
      </c>
      <c r="P14" s="2">
        <f t="shared" si="8"/>
        <v>30.304120639534883</v>
      </c>
      <c r="Q14" s="2">
        <f>(AVERAGE(VLOOKUP(E14,weapon_components!$A$8:$M$178,9,0),VLOOKUP(E14,weapon_components!$A$8:$M$178,10,0))+VLOOKUP(E14,weapon_components!$A$8:$M$178,11,0))/10</f>
        <v>3.75</v>
      </c>
      <c r="R14" s="32">
        <f t="shared" si="15"/>
        <v>1</v>
      </c>
      <c r="S14" s="25">
        <f t="shared" si="16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  <c r="V14">
        <v>0.82</v>
      </c>
    </row>
    <row r="15" spans="1:29" x14ac:dyDescent="0.25">
      <c r="A15" s="21">
        <f t="shared" si="9"/>
        <v>3.4199999999999994E-2</v>
      </c>
      <c r="C15">
        <v>2</v>
      </c>
      <c r="D15">
        <v>0</v>
      </c>
      <c r="E15" s="5" t="s">
        <v>28</v>
      </c>
      <c r="F15" s="2">
        <f t="shared" si="10"/>
        <v>5.0342000000000002</v>
      </c>
      <c r="G15" s="32">
        <f t="shared" si="11"/>
        <v>7.0244651162790692</v>
      </c>
      <c r="H15" s="2">
        <f t="shared" si="12"/>
        <v>6.0410399999999997</v>
      </c>
      <c r="I15" s="2">
        <f t="shared" si="5"/>
        <v>3.2218880000000003</v>
      </c>
      <c r="J15" s="2">
        <f t="shared" si="5"/>
        <v>0.80547200000000008</v>
      </c>
      <c r="K15" s="10">
        <f t="shared" si="6"/>
        <v>-2.0074074074074071</v>
      </c>
      <c r="L15" s="10">
        <f t="shared" si="13"/>
        <v>0.04</v>
      </c>
      <c r="M15" s="10">
        <v>0</v>
      </c>
      <c r="N15" s="2">
        <f t="shared" si="14"/>
        <v>7.0244651162790692</v>
      </c>
      <c r="O15" s="2">
        <f t="shared" si="7"/>
        <v>39.512616279069761</v>
      </c>
      <c r="P15" s="2">
        <f t="shared" si="8"/>
        <v>65.854360465116272</v>
      </c>
      <c r="Q15" s="2">
        <f>(AVERAGE(VLOOKUP(E15,weapon_components!$A$8:$M$178,9,0),VLOOKUP(E15,weapon_components!$A$8:$M$178,10,0))+VLOOKUP(E15,weapon_components!$A$8:$M$178,11,0))/10</f>
        <v>3.75</v>
      </c>
      <c r="R15" s="32">
        <f t="shared" si="15"/>
        <v>1</v>
      </c>
      <c r="S15" s="25">
        <f t="shared" si="16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  <c r="V15">
        <v>0.8</v>
      </c>
    </row>
    <row r="16" spans="1:29" x14ac:dyDescent="0.25">
      <c r="A16" s="21">
        <f t="shared" si="9"/>
        <v>1.4039999999999978E-2</v>
      </c>
      <c r="C16">
        <v>2</v>
      </c>
      <c r="D16">
        <v>1</v>
      </c>
      <c r="E16" s="5" t="s">
        <v>29</v>
      </c>
      <c r="F16" s="2">
        <f t="shared" si="10"/>
        <v>5.0140399999999996</v>
      </c>
      <c r="G16" s="32">
        <f t="shared" si="11"/>
        <v>7.5793627906976742</v>
      </c>
      <c r="H16" s="2">
        <f t="shared" si="12"/>
        <v>6.5182519999999995</v>
      </c>
      <c r="I16" s="2">
        <f t="shared" si="5"/>
        <v>2.8078623999999999</v>
      </c>
      <c r="J16" s="2">
        <f t="shared" si="5"/>
        <v>0.70196559999999997</v>
      </c>
      <c r="K16" s="10">
        <f t="shared" si="6"/>
        <v>-2.4974358974358979</v>
      </c>
      <c r="L16" s="10">
        <f t="shared" si="13"/>
        <v>0.04</v>
      </c>
      <c r="M16" s="10">
        <v>0</v>
      </c>
      <c r="N16" s="2">
        <f t="shared" si="14"/>
        <v>7.5793627906976742</v>
      </c>
      <c r="O16" s="2">
        <f t="shared" si="7"/>
        <v>85.267831395348836</v>
      </c>
      <c r="P16" s="2">
        <f t="shared" si="8"/>
        <v>142.11305232558141</v>
      </c>
      <c r="Q16" s="2">
        <f>(AVERAGE(VLOOKUP(E16,weapon_components!$A$8:$M$178,9,0),VLOOKUP(E16,weapon_components!$A$8:$M$178,10,0))+VLOOKUP(E16,weapon_components!$A$8:$M$178,11,0))/10</f>
        <v>3.75</v>
      </c>
      <c r="R16" s="32">
        <f t="shared" si="15"/>
        <v>1</v>
      </c>
      <c r="S16" s="25">
        <f t="shared" si="16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  <c r="V16">
        <v>0.75</v>
      </c>
    </row>
    <row r="17" spans="1:42" x14ac:dyDescent="0.25">
      <c r="A17" s="21">
        <f t="shared" si="9"/>
        <v>4.5720000000000004E-2</v>
      </c>
      <c r="C17" s="2">
        <v>3</v>
      </c>
      <c r="D17" s="2">
        <v>-1</v>
      </c>
      <c r="E17" s="5" t="s">
        <v>30</v>
      </c>
      <c r="F17" s="2">
        <f t="shared" si="10"/>
        <v>7.5457200000000002</v>
      </c>
      <c r="G17" s="32">
        <f t="shared" si="11"/>
        <v>11.461853164556961</v>
      </c>
      <c r="H17" s="2">
        <f t="shared" si="12"/>
        <v>9.0548640000000002</v>
      </c>
      <c r="I17" s="2">
        <f t="shared" si="5"/>
        <v>4.8292608000000001</v>
      </c>
      <c r="J17" s="2">
        <f t="shared" si="5"/>
        <v>1.2073152</v>
      </c>
      <c r="K17" s="10">
        <f t="shared" si="6"/>
        <v>-0.92888888888888888</v>
      </c>
      <c r="L17" s="10">
        <f t="shared" si="13"/>
        <v>6.6666666666666666E-2</v>
      </c>
      <c r="M17" s="10">
        <v>0</v>
      </c>
      <c r="N17" s="2">
        <f t="shared" si="14"/>
        <v>11.461853164556961</v>
      </c>
      <c r="O17" s="2">
        <f t="shared" si="7"/>
        <v>32.236462025316456</v>
      </c>
      <c r="P17" s="2">
        <f t="shared" si="8"/>
        <v>53.727436708860751</v>
      </c>
      <c r="Q17" s="2">
        <f>(AVERAGE(VLOOKUP(E17,weapon_components!$A$8:$M$178,9,0),VLOOKUP(E17,weapon_components!$A$8:$M$178,10,0))+VLOOKUP(E17,weapon_components!$A$8:$M$178,11,0))/10</f>
        <v>3.75</v>
      </c>
      <c r="R17" s="32">
        <f t="shared" si="15"/>
        <v>1</v>
      </c>
      <c r="S17" s="25">
        <f t="shared" si="16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  <c r="V17">
        <v>0.82</v>
      </c>
    </row>
    <row r="18" spans="1:42" x14ac:dyDescent="0.25">
      <c r="A18" s="21">
        <f t="shared" si="9"/>
        <v>2.339999999999999E-2</v>
      </c>
      <c r="C18" s="2">
        <v>3</v>
      </c>
      <c r="D18" s="2">
        <v>0</v>
      </c>
      <c r="E18" s="5" t="s">
        <v>31</v>
      </c>
      <c r="F18" s="2">
        <f t="shared" si="10"/>
        <v>7.5233999999999996</v>
      </c>
      <c r="G18" s="32">
        <f t="shared" si="11"/>
        <v>12.380278481012658</v>
      </c>
      <c r="H18" s="2">
        <f t="shared" si="12"/>
        <v>9.7804199999999994</v>
      </c>
      <c r="I18" s="2">
        <f t="shared" si="5"/>
        <v>4.2131040000000004</v>
      </c>
      <c r="J18" s="2">
        <f t="shared" si="5"/>
        <v>1.0532760000000001</v>
      </c>
      <c r="K18" s="10">
        <f t="shared" si="6"/>
        <v>-1.1989743589743589</v>
      </c>
      <c r="L18" s="10">
        <f t="shared" si="13"/>
        <v>6.6666666666666666E-2</v>
      </c>
      <c r="M18" s="10">
        <v>0</v>
      </c>
      <c r="N18" s="2">
        <f t="shared" si="14"/>
        <v>12.380278481012658</v>
      </c>
      <c r="O18" s="2">
        <f t="shared" si="7"/>
        <v>69.639066455696195</v>
      </c>
      <c r="P18" s="2">
        <f t="shared" si="8"/>
        <v>116.06511075949368</v>
      </c>
      <c r="Q18" s="2">
        <f>(AVERAGE(VLOOKUP(E18,weapon_components!$A$8:$M$178,9,0),VLOOKUP(E18,weapon_components!$A$8:$M$178,10,0))+VLOOKUP(E18,weapon_components!$A$8:$M$178,11,0))/10</f>
        <v>3.75</v>
      </c>
      <c r="R18" s="32">
        <f t="shared" si="15"/>
        <v>1</v>
      </c>
      <c r="S18" s="25">
        <f t="shared" si="16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  <c r="V18">
        <v>0.8</v>
      </c>
    </row>
    <row r="19" spans="1:42" x14ac:dyDescent="0.25">
      <c r="A19" s="21">
        <f t="shared" si="9"/>
        <v>1.0799999999999983E-3</v>
      </c>
      <c r="C19" s="2">
        <v>3</v>
      </c>
      <c r="D19" s="2">
        <v>1</v>
      </c>
      <c r="E19" s="5" t="s">
        <v>32</v>
      </c>
      <c r="F19" s="2">
        <f t="shared" si="10"/>
        <v>7.50108</v>
      </c>
      <c r="G19" s="32">
        <f t="shared" si="11"/>
        <v>13.293053164556961</v>
      </c>
      <c r="H19" s="2">
        <f t="shared" si="12"/>
        <v>10.501512</v>
      </c>
      <c r="I19" s="2">
        <f t="shared" si="5"/>
        <v>3.6005183999999999</v>
      </c>
      <c r="J19" s="2">
        <f t="shared" si="5"/>
        <v>0.90012959999999997</v>
      </c>
      <c r="K19" s="10">
        <f t="shared" ref="K19:K23" si="17">1-((1-(I19/G19))/INDEX($P$2:$P$6,C19))</f>
        <v>-1.4304761904761905</v>
      </c>
      <c r="L19" s="10">
        <f t="shared" si="13"/>
        <v>6.6666666666666666E-2</v>
      </c>
      <c r="M19" s="10">
        <v>0</v>
      </c>
      <c r="N19" s="2">
        <f t="shared" si="14"/>
        <v>13.293053164556961</v>
      </c>
      <c r="O19" s="2">
        <f t="shared" si="7"/>
        <v>149.54684810126579</v>
      </c>
      <c r="P19" s="2">
        <f t="shared" si="8"/>
        <v>249.24474683544301</v>
      </c>
      <c r="Q19" s="2">
        <f>(AVERAGE(VLOOKUP(E19,weapon_components!$A$8:$M$178,9,0),VLOOKUP(E19,weapon_components!$A$8:$M$178,10,0))+VLOOKUP(E19,weapon_components!$A$8:$M$178,11,0))/10</f>
        <v>3.75</v>
      </c>
      <c r="R19" s="32">
        <f t="shared" si="15"/>
        <v>1</v>
      </c>
      <c r="S19" s="25">
        <f t="shared" si="16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  <c r="V19">
        <v>0.75</v>
      </c>
    </row>
    <row r="20" spans="1:42" x14ac:dyDescent="0.25">
      <c r="A20" s="21">
        <f t="shared" si="9"/>
        <v>3.7080000000000002E-2</v>
      </c>
      <c r="C20" s="2">
        <v>4</v>
      </c>
      <c r="D20" s="2">
        <v>-1</v>
      </c>
      <c r="E20" s="5" t="s">
        <v>33</v>
      </c>
      <c r="F20" s="2">
        <f t="shared" si="10"/>
        <v>10.03708</v>
      </c>
      <c r="G20" s="32">
        <f t="shared" si="11"/>
        <v>18.122505555555556</v>
      </c>
      <c r="H20" s="2">
        <f t="shared" si="12"/>
        <v>13.048204</v>
      </c>
      <c r="I20" s="2">
        <f t="shared" si="5"/>
        <v>5.6207647999999999</v>
      </c>
      <c r="J20" s="2">
        <f t="shared" si="5"/>
        <v>1.4051912</v>
      </c>
      <c r="K20" s="10">
        <f t="shared" si="17"/>
        <v>-1.1226035502958576</v>
      </c>
      <c r="L20" s="10">
        <f t="shared" si="13"/>
        <v>7.2222222222222229E-2</v>
      </c>
      <c r="M20" s="10">
        <v>0</v>
      </c>
      <c r="N20" s="2">
        <f t="shared" si="14"/>
        <v>18.122505555555556</v>
      </c>
      <c r="O20" s="2">
        <f t="shared" si="7"/>
        <v>50.969546874999999</v>
      </c>
      <c r="P20" s="2">
        <f t="shared" si="8"/>
        <v>84.949244791666672</v>
      </c>
      <c r="Q20" s="2">
        <f>(AVERAGE(VLOOKUP(E20,weapon_components!$A$8:$M$178,9,0),VLOOKUP(E20,weapon_components!$A$8:$M$178,10,0))+VLOOKUP(E20,weapon_components!$A$8:$M$178,11,0))/10</f>
        <v>3.75</v>
      </c>
      <c r="R20" s="32">
        <f t="shared" si="15"/>
        <v>1</v>
      </c>
      <c r="S20" s="25">
        <f t="shared" si="16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V20">
        <v>0.82</v>
      </c>
      <c r="X20" s="14"/>
      <c r="Y20" s="14"/>
    </row>
    <row r="21" spans="1:42" x14ac:dyDescent="0.25">
      <c r="A21" s="21">
        <f t="shared" si="9"/>
        <v>1.2600000000000009E-2</v>
      </c>
      <c r="C21" s="2">
        <v>4</v>
      </c>
      <c r="D21" s="2">
        <v>0</v>
      </c>
      <c r="E21" s="5" t="s">
        <v>34</v>
      </c>
      <c r="F21" s="2">
        <f t="shared" si="10"/>
        <v>10.012600000000001</v>
      </c>
      <c r="G21" s="32">
        <f t="shared" si="11"/>
        <v>19.468944444444446</v>
      </c>
      <c r="H21" s="2">
        <f t="shared" si="12"/>
        <v>14.01764</v>
      </c>
      <c r="I21" s="2">
        <f t="shared" si="5"/>
        <v>4.8060480000000005</v>
      </c>
      <c r="J21" s="2">
        <f t="shared" si="5"/>
        <v>1.2015120000000001</v>
      </c>
      <c r="K21" s="10">
        <f t="shared" si="17"/>
        <v>-1.317362637362637</v>
      </c>
      <c r="L21" s="10">
        <f t="shared" si="13"/>
        <v>7.2222222222222229E-2</v>
      </c>
      <c r="M21" s="10">
        <v>0</v>
      </c>
      <c r="N21" s="2">
        <f t="shared" si="14"/>
        <v>19.468944444444446</v>
      </c>
      <c r="O21" s="2">
        <f t="shared" si="7"/>
        <v>109.51281250000001</v>
      </c>
      <c r="P21" s="2">
        <f t="shared" si="8"/>
        <v>182.5213541666667</v>
      </c>
      <c r="Q21" s="2">
        <f>(AVERAGE(VLOOKUP(E21,weapon_components!$A$8:$M$178,9,0),VLOOKUP(E21,weapon_components!$A$8:$M$178,10,0))+VLOOKUP(E21,weapon_components!$A$8:$M$178,11,0))/10</f>
        <v>3.75</v>
      </c>
      <c r="R21" s="32">
        <f t="shared" si="15"/>
        <v>1</v>
      </c>
      <c r="S21" s="25">
        <f t="shared" si="16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  <c r="V21">
        <v>0.8</v>
      </c>
    </row>
    <row r="22" spans="1:42" x14ac:dyDescent="0.25">
      <c r="A22" s="21">
        <f t="shared" si="9"/>
        <v>-1.1879999999999981E-2</v>
      </c>
      <c r="C22" s="2">
        <v>4</v>
      </c>
      <c r="D22" s="2">
        <v>1</v>
      </c>
      <c r="E22" s="5" t="s">
        <v>35</v>
      </c>
      <c r="F22" s="2">
        <f t="shared" si="10"/>
        <v>9.9881200000000003</v>
      </c>
      <c r="G22" s="32">
        <f t="shared" si="11"/>
        <v>20.808583333333335</v>
      </c>
      <c r="H22" s="2">
        <f t="shared" si="12"/>
        <v>14.98218</v>
      </c>
      <c r="I22" s="2">
        <f t="shared" si="5"/>
        <v>3.9952479999999997</v>
      </c>
      <c r="J22" s="2">
        <f t="shared" si="5"/>
        <v>0.99881199999999992</v>
      </c>
      <c r="K22" s="10">
        <f t="shared" si="17"/>
        <v>-1.4861538461538464</v>
      </c>
      <c r="L22" s="10">
        <f t="shared" si="13"/>
        <v>7.2222222222222229E-2</v>
      </c>
      <c r="M22" s="10">
        <v>0</v>
      </c>
      <c r="N22" s="2">
        <f t="shared" si="14"/>
        <v>20.808583333333335</v>
      </c>
      <c r="O22" s="2">
        <f t="shared" si="7"/>
        <v>234.0965625</v>
      </c>
      <c r="P22" s="2">
        <f t="shared" si="8"/>
        <v>390.16093750000005</v>
      </c>
      <c r="Q22" s="2">
        <f>(AVERAGE(VLOOKUP(E22,weapon_components!$A$8:$M$178,9,0),VLOOKUP(E22,weapon_components!$A$8:$M$178,10,0))+VLOOKUP(E22,weapon_components!$A$8:$M$178,11,0))/10</f>
        <v>3.75</v>
      </c>
      <c r="R22" s="32">
        <f t="shared" si="15"/>
        <v>1</v>
      </c>
      <c r="S22" s="25">
        <f t="shared" si="16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  <c r="V22">
        <v>0.75</v>
      </c>
    </row>
    <row r="23" spans="1:42" x14ac:dyDescent="0.25">
      <c r="A23" s="21">
        <f t="shared" si="9"/>
        <v>2.8440000000000014E-2</v>
      </c>
      <c r="C23" s="2">
        <v>5</v>
      </c>
      <c r="D23" s="2">
        <v>-1</v>
      </c>
      <c r="E23" s="5" t="s">
        <v>36</v>
      </c>
      <c r="F23" s="2">
        <f t="shared" si="10"/>
        <v>12.52844</v>
      </c>
      <c r="G23" s="32">
        <f t="shared" si="11"/>
        <v>26.984332307692309</v>
      </c>
      <c r="H23" s="2">
        <f t="shared" si="12"/>
        <v>17.539815999999998</v>
      </c>
      <c r="I23" s="2">
        <f t="shared" si="5"/>
        <v>6.0136512</v>
      </c>
      <c r="J23" s="2">
        <f t="shared" si="5"/>
        <v>1.5034128</v>
      </c>
      <c r="K23" s="10">
        <f t="shared" si="17"/>
        <v>-1.0723809523809522</v>
      </c>
      <c r="L23" s="10">
        <f t="shared" si="13"/>
        <v>8.3333333333333329E-2</v>
      </c>
      <c r="M23" s="10">
        <v>0</v>
      </c>
      <c r="N23" s="2">
        <f t="shared" si="14"/>
        <v>26.984332307692309</v>
      </c>
      <c r="O23" s="2">
        <f t="shared" si="7"/>
        <v>75.893434615384621</v>
      </c>
      <c r="P23" s="2">
        <f t="shared" si="8"/>
        <v>126.48905769230771</v>
      </c>
      <c r="Q23" s="2">
        <f>(AVERAGE(VLOOKUP(E23,weapon_components!$A$8:$M$178,9,0),VLOOKUP(E23,weapon_components!$A$8:$M$178,10,0))+VLOOKUP(E23,weapon_components!$A$8:$M$178,11,0))/10</f>
        <v>3.75</v>
      </c>
      <c r="R23" s="32">
        <f t="shared" si="15"/>
        <v>1</v>
      </c>
      <c r="S23" s="25">
        <f t="shared" si="16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  <c r="V23">
        <v>0.82</v>
      </c>
    </row>
    <row r="24" spans="1:42" x14ac:dyDescent="0.25">
      <c r="A24" s="21">
        <f t="shared" si="9"/>
        <v>1.8000000000000043E-3</v>
      </c>
      <c r="C24" s="2">
        <v>5</v>
      </c>
      <c r="D24" s="2">
        <v>0</v>
      </c>
      <c r="E24" s="5" t="s">
        <v>37</v>
      </c>
      <c r="F24" s="2">
        <f t="shared" si="10"/>
        <v>12.501799999999999</v>
      </c>
      <c r="G24" s="32">
        <f t="shared" si="11"/>
        <v>28.850307692307691</v>
      </c>
      <c r="H24" s="2">
        <f t="shared" si="12"/>
        <v>18.752699999999997</v>
      </c>
      <c r="I24" s="2">
        <f t="shared" si="5"/>
        <v>5.0007199999999994</v>
      </c>
      <c r="J24" s="2">
        <f t="shared" si="5"/>
        <v>1.2501799999999998</v>
      </c>
      <c r="K24" s="10">
        <f>1-((1-(I24/G24))/INDEX($P$2:$P$6,C24))</f>
        <v>-1.2044444444444444</v>
      </c>
      <c r="L24" s="10">
        <f t="shared" si="13"/>
        <v>8.3333333333333329E-2</v>
      </c>
      <c r="M24" s="10">
        <v>0</v>
      </c>
      <c r="N24" s="2">
        <f t="shared" si="14"/>
        <v>28.850307692307691</v>
      </c>
      <c r="O24" s="2">
        <f t="shared" si="7"/>
        <v>162.28298076923076</v>
      </c>
      <c r="P24" s="2">
        <f t="shared" si="8"/>
        <v>270.47163461538457</v>
      </c>
      <c r="Q24" s="2">
        <f>(AVERAGE(VLOOKUP(E24,weapon_components!$A$8:$M$178,9,0),VLOOKUP(E24,weapon_components!$A$8:$M$178,10,0))+VLOOKUP(E24,weapon_components!$A$8:$M$178,11,0))/10</f>
        <v>3.75</v>
      </c>
      <c r="R24" s="32">
        <f t="shared" si="15"/>
        <v>1</v>
      </c>
      <c r="S24" s="25">
        <f t="shared" si="16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  <c r="V24">
        <v>0.8</v>
      </c>
    </row>
    <row r="25" spans="1:42" x14ac:dyDescent="0.25">
      <c r="A25" s="21">
        <f t="shared" si="9"/>
        <v>-2.4840000000000004E-2</v>
      </c>
      <c r="C25" s="2">
        <v>5</v>
      </c>
      <c r="D25" s="2">
        <v>1</v>
      </c>
      <c r="E25" s="5" t="s">
        <v>38</v>
      </c>
      <c r="F25" s="2">
        <f t="shared" si="10"/>
        <v>12.475160000000001</v>
      </c>
      <c r="G25" s="32">
        <f t="shared" si="11"/>
        <v>30.70808615384616</v>
      </c>
      <c r="H25" s="2">
        <f t="shared" si="12"/>
        <v>19.960256000000001</v>
      </c>
      <c r="I25" s="2">
        <f t="shared" si="5"/>
        <v>3.9920511999999997</v>
      </c>
      <c r="J25" s="2">
        <f t="shared" si="5"/>
        <v>0.99801279999999992</v>
      </c>
      <c r="K25" s="10">
        <f>1-((1-(I25/G25))/INDEX($P$2:$P$6,C25))</f>
        <v>-1.3200000000000003</v>
      </c>
      <c r="L25" s="10">
        <f>(INDEX($Q$2:$Q$6,C25)/((1/INDEX($F$4:$F$6,J$9))-1))</f>
        <v>8.3333333333333329E-2</v>
      </c>
      <c r="M25" s="10">
        <v>0</v>
      </c>
      <c r="N25" s="2">
        <f t="shared" si="14"/>
        <v>30.708086153846164</v>
      </c>
      <c r="O25" s="2">
        <f t="shared" si="7"/>
        <v>345.4659692307693</v>
      </c>
      <c r="P25" s="2">
        <f t="shared" si="8"/>
        <v>575.77661538461552</v>
      </c>
      <c r="Q25" s="2">
        <f>(AVERAGE(VLOOKUP(E25,weapon_components!$A$8:$M$178,9,0),VLOOKUP(E25,weapon_components!$A$8:$M$178,10,0))+VLOOKUP(E25,weapon_components!$A$8:$M$178,11,0))/10</f>
        <v>3.75</v>
      </c>
      <c r="R25" s="32">
        <f t="shared" si="15"/>
        <v>1</v>
      </c>
      <c r="S25" s="25">
        <f t="shared" si="16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8">X26+0.05</f>
        <v>0.1</v>
      </c>
      <c r="Z26" s="2">
        <f t="shared" si="18"/>
        <v>0.15000000000000002</v>
      </c>
      <c r="AA26" s="2">
        <f t="shared" si="18"/>
        <v>0.2</v>
      </c>
      <c r="AB26" s="2">
        <f t="shared" si="18"/>
        <v>0.25</v>
      </c>
      <c r="AC26" s="2">
        <f t="shared" si="18"/>
        <v>0.3</v>
      </c>
      <c r="AD26" s="2">
        <f t="shared" si="18"/>
        <v>0.35</v>
      </c>
      <c r="AE26" s="2">
        <f t="shared" si="18"/>
        <v>0.39999999999999997</v>
      </c>
      <c r="AF26" s="2">
        <f t="shared" si="18"/>
        <v>0.44999999999999996</v>
      </c>
      <c r="AG26" s="2">
        <f t="shared" si="18"/>
        <v>0.49999999999999994</v>
      </c>
      <c r="AH26" s="2">
        <f t="shared" si="18"/>
        <v>0.54999999999999993</v>
      </c>
      <c r="AI26" s="2">
        <f t="shared" si="18"/>
        <v>0.6</v>
      </c>
      <c r="AJ26" s="2">
        <f t="shared" si="18"/>
        <v>0.65</v>
      </c>
      <c r="AK26" s="2">
        <f t="shared" si="18"/>
        <v>0.70000000000000007</v>
      </c>
      <c r="AL26" s="2">
        <f t="shared" si="18"/>
        <v>0.75000000000000011</v>
      </c>
      <c r="AM26" s="2">
        <f t="shared" si="18"/>
        <v>0.80000000000000016</v>
      </c>
      <c r="AN26" s="2">
        <f t="shared" si="18"/>
        <v>0.8500000000000002</v>
      </c>
      <c r="AO26" s="2">
        <f t="shared" si="18"/>
        <v>0.90000000000000024</v>
      </c>
      <c r="AP26" s="2">
        <f t="shared" si="18"/>
        <v>0.95000000000000029</v>
      </c>
    </row>
    <row r="27" spans="1:42" x14ac:dyDescent="0.25">
      <c r="A27" s="21">
        <f t="shared" si="9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19.988119999999999</v>
      </c>
      <c r="G27" s="32">
        <f>IF(G$26=1,H27,H27/(R27-INDEX($O$2:$O$6,C27)))</f>
        <v>19.988119999999999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29.98218</v>
      </c>
      <c r="J27" s="2">
        <f t="shared" ref="I27:J28" si="19">$F27*(INDEX($F$3:$F$5,J$26)+(($C27+($D27*$F$7))*INDEX($G$3:$G$5,J$26)))</f>
        <v>1.9988119999999996</v>
      </c>
      <c r="K27" s="10">
        <f>1-((1-(I27/G27))/INDEX($P$2:$P$6,C27))</f>
        <v>2.5384615384615383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19.988119999999999</v>
      </c>
      <c r="O27" s="2">
        <f>0.75*(((G27*INDEX($R$1:$R$3,$D27+2))*Q27)/R27)</f>
        <v>780.41850882352946</v>
      </c>
      <c r="P27" s="2">
        <f>1.25*(((G27*INDEX($R$1:$R$3,$D27+2))*Q27)/R27)</f>
        <v>1300.6975147058824</v>
      </c>
      <c r="Q27" s="2">
        <f>(AVERAGE(VLOOKUP(E27,weapon_components!$A$8:$M$178,9,0),VLOOKUP(E27,weapon_components!$A$8:$M$178,10,0))+VLOOKUP(E27,weapon_components!$A$8:$M$178,11,0))/10</f>
        <v>8.85</v>
      </c>
      <c r="R27" s="32">
        <f t="shared" si="15"/>
        <v>0.67999999999999994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V27">
        <v>0.9</v>
      </c>
      <c r="W27" s="14" t="s">
        <v>221</v>
      </c>
      <c r="X27">
        <f>$G30*(1-(X$26*(1-$K30)))</f>
        <v>7.7972439999999992</v>
      </c>
      <c r="Y27" s="2">
        <f t="shared" ref="Y27:AP27" si="20">$G30*(1-(Y$26*(1-$K30)))</f>
        <v>8.048767999999999</v>
      </c>
      <c r="Z27" s="2">
        <f t="shared" si="20"/>
        <v>8.3002919999999989</v>
      </c>
      <c r="AA27" s="2">
        <f t="shared" si="20"/>
        <v>8.5518160000000005</v>
      </c>
      <c r="AB27" s="2">
        <f t="shared" si="20"/>
        <v>8.8033400000000004</v>
      </c>
      <c r="AC27" s="2">
        <f t="shared" si="20"/>
        <v>9.0548640000000002</v>
      </c>
      <c r="AD27" s="2">
        <f t="shared" si="20"/>
        <v>9.3063880000000001</v>
      </c>
      <c r="AE27" s="2">
        <f t="shared" si="20"/>
        <v>9.5579120000000017</v>
      </c>
      <c r="AF27" s="2">
        <f t="shared" si="20"/>
        <v>9.8094359999999998</v>
      </c>
      <c r="AG27" s="2">
        <f t="shared" si="20"/>
        <v>10.060960000000001</v>
      </c>
      <c r="AH27" s="2">
        <f t="shared" si="20"/>
        <v>10.312484000000001</v>
      </c>
      <c r="AI27" s="2">
        <f t="shared" si="20"/>
        <v>10.564008000000001</v>
      </c>
      <c r="AJ27" s="2">
        <f t="shared" si="20"/>
        <v>10.815532000000001</v>
      </c>
      <c r="AK27" s="2">
        <f t="shared" si="20"/>
        <v>11.067056000000003</v>
      </c>
      <c r="AL27" s="2">
        <f t="shared" si="20"/>
        <v>11.318580000000003</v>
      </c>
      <c r="AM27" s="2">
        <f t="shared" si="20"/>
        <v>11.570104000000004</v>
      </c>
      <c r="AN27" s="2">
        <f t="shared" si="20"/>
        <v>11.821628000000002</v>
      </c>
      <c r="AO27" s="2">
        <f t="shared" si="20"/>
        <v>12.073152000000006</v>
      </c>
      <c r="AP27" s="2">
        <f t="shared" si="20"/>
        <v>12.324676000000004</v>
      </c>
    </row>
    <row r="28" spans="1:42" x14ac:dyDescent="0.25">
      <c r="A28" s="21">
        <f t="shared" si="9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24.975159999999999</v>
      </c>
      <c r="G28" s="32">
        <f>IF(G$26=1,H28,H28/(R28-INDEX($O$2:$O$6,C28)))</f>
        <v>24.975160000000006</v>
      </c>
      <c r="H28" s="2">
        <f>$F28*(INDEX($F$3:$F$5,H$26)+(($C28+($D28*$F$7))*INDEX($G$3:$G$5,H$26)))</f>
        <v>7.9920511999999988</v>
      </c>
      <c r="I28" s="2">
        <f t="shared" si="19"/>
        <v>39.960256000000001</v>
      </c>
      <c r="J28" s="2">
        <f t="shared" si="19"/>
        <v>1.9980127999999997</v>
      </c>
      <c r="K28" s="10">
        <f>1-((1-(I28/G28))/INDEX($P$2:$P$6,C28))</f>
        <v>2.5999999999999988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24.97516000000001</v>
      </c>
      <c r="O28" s="2">
        <f>0.75*(((G28*INDEX($R$1:$R$3,$D28+2))*Q28)/R28)</f>
        <v>989.68731044776155</v>
      </c>
      <c r="P28" s="2">
        <f>1.25*(((G28*INDEX($R$1:$R$3,$D28+2))*Q28)/R28)</f>
        <v>1649.4788507462692</v>
      </c>
      <c r="Q28" s="2">
        <f>(AVERAGE(VLOOKUP(E28,weapon_components!$A$8:$M$178,9,0),VLOOKUP(E28,weapon_components!$A$8:$M$178,10,0))+VLOOKUP(E28,weapon_components!$A$8:$M$178,11,0))/10</f>
        <v>8.85</v>
      </c>
      <c r="R28" s="32">
        <f t="shared" si="15"/>
        <v>0.66999999999999993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V28">
        <v>0.9</v>
      </c>
      <c r="W28" s="14" t="s">
        <v>222</v>
      </c>
      <c r="X28" s="2">
        <f t="shared" ref="X28:AP28" si="21">$G31*(1-(X$26*(1-$K31)))</f>
        <v>7.8995699999999998</v>
      </c>
      <c r="Y28" s="2">
        <f t="shared" si="21"/>
        <v>8.2757400000000008</v>
      </c>
      <c r="Z28" s="2">
        <f t="shared" si="21"/>
        <v>8.6519099999999991</v>
      </c>
      <c r="AA28" s="2">
        <f t="shared" si="21"/>
        <v>9.0280799999999992</v>
      </c>
      <c r="AB28" s="2">
        <f t="shared" si="21"/>
        <v>9.4042499999999993</v>
      </c>
      <c r="AC28" s="2">
        <f t="shared" si="21"/>
        <v>9.7804199999999994</v>
      </c>
      <c r="AD28" s="2">
        <f t="shared" si="21"/>
        <v>10.15659</v>
      </c>
      <c r="AE28" s="2">
        <f t="shared" si="21"/>
        <v>10.53276</v>
      </c>
      <c r="AF28" s="2">
        <f t="shared" si="21"/>
        <v>10.90893</v>
      </c>
      <c r="AG28" s="2">
        <f t="shared" si="21"/>
        <v>11.2851</v>
      </c>
      <c r="AH28" s="2">
        <f t="shared" si="21"/>
        <v>11.661269999999998</v>
      </c>
      <c r="AI28" s="2">
        <f t="shared" si="21"/>
        <v>12.03744</v>
      </c>
      <c r="AJ28" s="2">
        <f t="shared" si="21"/>
        <v>12.413609999999998</v>
      </c>
      <c r="AK28" s="2">
        <f t="shared" si="21"/>
        <v>12.78978</v>
      </c>
      <c r="AL28" s="2">
        <f t="shared" si="21"/>
        <v>13.165949999999999</v>
      </c>
      <c r="AM28" s="2">
        <f t="shared" si="21"/>
        <v>13.542120000000001</v>
      </c>
      <c r="AN28" s="2">
        <f t="shared" si="21"/>
        <v>13.918290000000001</v>
      </c>
      <c r="AO28" s="2">
        <f t="shared" si="21"/>
        <v>14.294460000000003</v>
      </c>
      <c r="AP28" s="2">
        <f t="shared" si="21"/>
        <v>14.670630000000001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22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si="23">$G32*(1-(X$26*(1-$K32)))</f>
        <v>8.0011520000000012</v>
      </c>
      <c r="Y29" s="2">
        <f t="shared" si="23"/>
        <v>8.5012240000000006</v>
      </c>
      <c r="Z29" s="2">
        <f t="shared" si="23"/>
        <v>9.001296</v>
      </c>
      <c r="AA29" s="2">
        <f t="shared" si="23"/>
        <v>9.5013680000000011</v>
      </c>
      <c r="AB29" s="2">
        <f t="shared" si="23"/>
        <v>10.001440000000001</v>
      </c>
      <c r="AC29" s="2">
        <f t="shared" si="23"/>
        <v>10.501512</v>
      </c>
      <c r="AD29" s="2">
        <f t="shared" si="23"/>
        <v>11.001584000000001</v>
      </c>
      <c r="AE29" s="2">
        <f t="shared" si="23"/>
        <v>11.501656000000001</v>
      </c>
      <c r="AF29" s="2">
        <f t="shared" si="23"/>
        <v>12.001727999999998</v>
      </c>
      <c r="AG29" s="2">
        <f t="shared" si="23"/>
        <v>12.501800000000001</v>
      </c>
      <c r="AH29" s="2">
        <f t="shared" si="23"/>
        <v>13.001871999999999</v>
      </c>
      <c r="AI29" s="2">
        <f t="shared" si="23"/>
        <v>13.501944</v>
      </c>
      <c r="AJ29" s="2">
        <f t="shared" si="23"/>
        <v>14.002015999999999</v>
      </c>
      <c r="AK29" s="2">
        <f t="shared" si="23"/>
        <v>14.502088000000001</v>
      </c>
      <c r="AL29" s="2">
        <f t="shared" si="23"/>
        <v>15.002160000000002</v>
      </c>
      <c r="AM29" s="2">
        <f t="shared" si="23"/>
        <v>15.502231999999999</v>
      </c>
      <c r="AN29" s="2">
        <f t="shared" si="23"/>
        <v>16.002304000000002</v>
      </c>
      <c r="AO29" s="2">
        <f t="shared" si="23"/>
        <v>16.502376000000002</v>
      </c>
      <c r="AP29" s="2">
        <f t="shared" si="23"/>
        <v>17.002448000000001</v>
      </c>
    </row>
    <row r="30" spans="1:42" x14ac:dyDescent="0.25">
      <c r="A30" s="21">
        <f t="shared" si="9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7.5457200000000002</v>
      </c>
      <c r="G30" s="32">
        <f>IF(G$29=1,H30,H30/(R30-INDEX($O$2:$O$6,C30)))</f>
        <v>7.5457199999999984</v>
      </c>
      <c r="H30" s="2">
        <f>$F30*(INDEX($F$3:$F$5,H$29)+(($C30+($D30*$F$7))*INDEX($G$3:$G$5,H$29)))</f>
        <v>4.8292608000000001</v>
      </c>
      <c r="I30" s="2">
        <f t="shared" ref="I30:J38" si="24">$F30*(INDEX($F$3:$F$5,I$29)+(($C30+($D30*$F$7))*INDEX($G$3:$G$5,I$29)))</f>
        <v>9.0548640000000002</v>
      </c>
      <c r="J30" s="2">
        <f t="shared" si="24"/>
        <v>1.2073152</v>
      </c>
      <c r="K30" s="10">
        <f t="shared" ref="K30:K89" si="25">1-((1-(I30/G30))/INDEX($P$2:$P$6,C30))</f>
        <v>1.6666666666666674</v>
      </c>
      <c r="L30" s="10">
        <f>(INDEX($Q$2:$Q$6,C30)/((1/INDEX($F$4:$F$6,J$29))-1))</f>
        <v>6.6666666666666666E-2</v>
      </c>
      <c r="M30" s="10">
        <v>0</v>
      </c>
      <c r="N30" s="2">
        <f t="shared" ref="N30:N38" si="26">((AVERAGE(O30,P30)*R30)/Q30)/INDEX($R$1:$R$3,D30+2)</f>
        <v>7.5457199999999984</v>
      </c>
      <c r="O30" s="2">
        <f t="shared" ref="O30:O38" si="27">0.75*(((G30*INDEX($R$1:$R$3,$D30+2))*Q30)/R30)</f>
        <v>28.9622488235294</v>
      </c>
      <c r="P30" s="2">
        <f t="shared" ref="P30:P38" si="28">1.25*(((G30*INDEX($R$1:$R$3,$D30+2))*Q30)/R30)</f>
        <v>48.270414705882338</v>
      </c>
      <c r="Q30" s="2">
        <f>(AVERAGE(VLOOKUP(E30,weapon_components!$A$8:$M$178,9,0),VLOOKUP(E30,weapon_components!$A$8:$M$178,10,0))+VLOOKUP(E30,weapon_components!$A$8:$M$178,11,0))/10</f>
        <v>4.3499999999999996</v>
      </c>
      <c r="R30" s="32">
        <f t="shared" si="15"/>
        <v>0.85000000000000009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V30">
        <v>0.82</v>
      </c>
      <c r="W30" s="14" t="s">
        <v>224</v>
      </c>
      <c r="X30" s="2">
        <f t="shared" ref="X30:AP30" si="29">$G33*(1-(X$26*(1-$K33)))</f>
        <v>10.500329846153846</v>
      </c>
      <c r="Y30" s="2">
        <f t="shared" si="29"/>
        <v>10.963579692307693</v>
      </c>
      <c r="Z30" s="2">
        <f t="shared" si="29"/>
        <v>11.426829538461538</v>
      </c>
      <c r="AA30" s="2">
        <f t="shared" si="29"/>
        <v>11.890079384615385</v>
      </c>
      <c r="AB30" s="2">
        <f t="shared" si="29"/>
        <v>12.353329230769232</v>
      </c>
      <c r="AC30" s="2">
        <f t="shared" si="29"/>
        <v>12.816579076923075</v>
      </c>
      <c r="AD30" s="2">
        <f t="shared" si="29"/>
        <v>13.279828923076922</v>
      </c>
      <c r="AE30" s="2">
        <f t="shared" si="29"/>
        <v>13.743078769230769</v>
      </c>
      <c r="AF30" s="2">
        <f t="shared" si="29"/>
        <v>14.206328615384614</v>
      </c>
      <c r="AG30" s="2">
        <f t="shared" si="29"/>
        <v>14.66957846153846</v>
      </c>
      <c r="AH30" s="2">
        <f t="shared" si="29"/>
        <v>15.132828307692307</v>
      </c>
      <c r="AI30" s="2">
        <f t="shared" si="29"/>
        <v>15.596078153846154</v>
      </c>
      <c r="AJ30" s="2">
        <f t="shared" si="29"/>
        <v>16.059328000000001</v>
      </c>
      <c r="AK30" s="2">
        <f t="shared" si="29"/>
        <v>16.522577846153848</v>
      </c>
      <c r="AL30" s="2">
        <f t="shared" si="29"/>
        <v>16.985827692307694</v>
      </c>
      <c r="AM30" s="2">
        <f t="shared" si="29"/>
        <v>17.449077538461538</v>
      </c>
      <c r="AN30" s="2">
        <f t="shared" si="29"/>
        <v>17.912327384615388</v>
      </c>
      <c r="AO30" s="2">
        <f t="shared" si="29"/>
        <v>18.375577230769231</v>
      </c>
      <c r="AP30" s="2">
        <f t="shared" si="29"/>
        <v>18.838827076923081</v>
      </c>
    </row>
    <row r="31" spans="1:42" x14ac:dyDescent="0.25">
      <c r="A31" s="21">
        <f t="shared" si="9"/>
        <v>2.339999999999999E-2</v>
      </c>
      <c r="C31" s="2">
        <v>3</v>
      </c>
      <c r="D31">
        <v>0</v>
      </c>
      <c r="E31" s="5" t="s">
        <v>44</v>
      </c>
      <c r="F31" s="2">
        <f t="shared" si="10"/>
        <v>7.5233999999999996</v>
      </c>
      <c r="G31" s="32">
        <f t="shared" ref="G31:G38" si="30">IF(G$29=1,H31,H31/(R31-INDEX($O$2:$O$6,C31)))</f>
        <v>7.5233999999999996</v>
      </c>
      <c r="H31" s="2">
        <f t="shared" ref="H31:H38" si="31">$F31*(INDEX($F$3:$F$5,H$29)+(($C31+($D31*$F$7))*INDEX($G$3:$G$5,H$29)))</f>
        <v>4.2131040000000004</v>
      </c>
      <c r="I31" s="2">
        <f t="shared" si="24"/>
        <v>9.7804199999999994</v>
      </c>
      <c r="J31" s="2">
        <f t="shared" si="24"/>
        <v>1.0532760000000001</v>
      </c>
      <c r="K31" s="10">
        <f t="shared" si="25"/>
        <v>2</v>
      </c>
      <c r="L31" s="10">
        <f t="shared" ref="L31:L38" si="32">(INDEX($Q$2:$Q$6,C31)/((1/INDEX($F$4:$F$6,J$29))-1))</f>
        <v>6.6666666666666666E-2</v>
      </c>
      <c r="M31" s="10">
        <v>0</v>
      </c>
      <c r="N31" s="2">
        <f t="shared" si="26"/>
        <v>7.5233999999999996</v>
      </c>
      <c r="O31" s="2">
        <f t="shared" si="27"/>
        <v>63.753487012986994</v>
      </c>
      <c r="P31" s="2">
        <f t="shared" si="28"/>
        <v>106.25581168831167</v>
      </c>
      <c r="Q31" s="2">
        <f>(AVERAGE(VLOOKUP(E31,weapon_components!$A$8:$M$178,9,0),VLOOKUP(E31,weapon_components!$A$8:$M$178,10,0))+VLOOKUP(E31,weapon_components!$A$8:$M$178,11,0))/10</f>
        <v>4.3499999999999996</v>
      </c>
      <c r="R31" s="32">
        <f t="shared" si="15"/>
        <v>0.77</v>
      </c>
      <c r="S31" s="25">
        <f t="shared" ref="S31:S38" si="33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V31">
        <v>0.8</v>
      </c>
      <c r="W31" s="14" t="s">
        <v>225</v>
      </c>
      <c r="X31" s="2">
        <f t="shared" ref="X31:AP31" si="34">$G34*(1-(X$26*(1-$K34)))</f>
        <v>10.628760000000002</v>
      </c>
      <c r="Y31" s="2">
        <f t="shared" si="34"/>
        <v>11.24492</v>
      </c>
      <c r="Z31" s="2">
        <f t="shared" si="34"/>
        <v>11.861080000000001</v>
      </c>
      <c r="AA31" s="2">
        <f t="shared" si="34"/>
        <v>12.477240000000002</v>
      </c>
      <c r="AB31" s="2">
        <f t="shared" si="34"/>
        <v>13.093399999999999</v>
      </c>
      <c r="AC31" s="2">
        <f t="shared" si="34"/>
        <v>13.70956</v>
      </c>
      <c r="AD31" s="2">
        <f t="shared" si="34"/>
        <v>14.325719999999999</v>
      </c>
      <c r="AE31" s="2">
        <f t="shared" si="34"/>
        <v>14.941879999999999</v>
      </c>
      <c r="AF31" s="2">
        <f t="shared" si="34"/>
        <v>15.55804</v>
      </c>
      <c r="AG31" s="2">
        <f t="shared" si="34"/>
        <v>16.174199999999995</v>
      </c>
      <c r="AH31" s="2">
        <f t="shared" si="34"/>
        <v>16.79036</v>
      </c>
      <c r="AI31" s="2">
        <f t="shared" si="34"/>
        <v>17.406519999999997</v>
      </c>
      <c r="AJ31" s="2">
        <f t="shared" si="34"/>
        <v>18.022680000000001</v>
      </c>
      <c r="AK31" s="2">
        <f t="shared" si="34"/>
        <v>18.638839999999998</v>
      </c>
      <c r="AL31" s="2">
        <f t="shared" si="34"/>
        <v>19.254999999999999</v>
      </c>
      <c r="AM31" s="2">
        <f t="shared" si="34"/>
        <v>19.871160000000003</v>
      </c>
      <c r="AN31" s="2">
        <f t="shared" si="34"/>
        <v>20.48732</v>
      </c>
      <c r="AO31" s="2">
        <f t="shared" si="34"/>
        <v>21.103480000000001</v>
      </c>
      <c r="AP31" s="2">
        <f t="shared" si="34"/>
        <v>21.719640000000005</v>
      </c>
    </row>
    <row r="32" spans="1:42" x14ac:dyDescent="0.25">
      <c r="A32" s="21">
        <f t="shared" si="9"/>
        <v>1.0799999999999983E-3</v>
      </c>
      <c r="C32" s="2">
        <v>3</v>
      </c>
      <c r="D32">
        <v>1</v>
      </c>
      <c r="E32" s="5" t="s">
        <v>45</v>
      </c>
      <c r="F32" s="2">
        <f t="shared" si="10"/>
        <v>7.50108</v>
      </c>
      <c r="G32" s="32">
        <f t="shared" si="30"/>
        <v>7.5010800000000009</v>
      </c>
      <c r="H32" s="2">
        <f t="shared" si="31"/>
        <v>3.6005183999999999</v>
      </c>
      <c r="I32" s="2">
        <f t="shared" si="24"/>
        <v>10.501512</v>
      </c>
      <c r="J32" s="2">
        <f t="shared" si="24"/>
        <v>0.90012959999999997</v>
      </c>
      <c r="K32" s="10">
        <f t="shared" si="25"/>
        <v>2.333333333333333</v>
      </c>
      <c r="L32" s="10">
        <f t="shared" si="32"/>
        <v>6.6666666666666666E-2</v>
      </c>
      <c r="M32" s="10">
        <v>0</v>
      </c>
      <c r="N32" s="2">
        <f t="shared" si="26"/>
        <v>7.50108</v>
      </c>
      <c r="O32" s="2">
        <f t="shared" si="27"/>
        <v>141.86825217391305</v>
      </c>
      <c r="P32" s="2">
        <f t="shared" si="28"/>
        <v>236.44708695652173</v>
      </c>
      <c r="Q32" s="2">
        <f>(AVERAGE(VLOOKUP(E32,weapon_components!$A$8:$M$178,9,0),VLOOKUP(E32,weapon_components!$A$8:$M$178,10,0))+VLOOKUP(E32,weapon_components!$A$8:$M$178,11,0))/10</f>
        <v>4.3499999999999996</v>
      </c>
      <c r="R32" s="32">
        <f t="shared" si="15"/>
        <v>0.69</v>
      </c>
      <c r="S32" s="25">
        <f t="shared" si="33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V32">
        <v>0.75</v>
      </c>
      <c r="W32" s="14" t="s">
        <v>226</v>
      </c>
      <c r="X32" s="2">
        <f t="shared" ref="X32:AP32" si="35">$G35*(1-(X$26*(1-$K35)))</f>
        <v>10.756436923076924</v>
      </c>
      <c r="Y32" s="2">
        <f t="shared" si="35"/>
        <v>11.524753846153848</v>
      </c>
      <c r="Z32" s="2">
        <f t="shared" si="35"/>
        <v>12.29307076923077</v>
      </c>
      <c r="AA32" s="2">
        <f t="shared" si="35"/>
        <v>13.061387692307694</v>
      </c>
      <c r="AB32" s="2">
        <f t="shared" si="35"/>
        <v>13.829704615384614</v>
      </c>
      <c r="AC32" s="2">
        <f t="shared" si="35"/>
        <v>14.598021538461536</v>
      </c>
      <c r="AD32" s="2">
        <f t="shared" si="35"/>
        <v>15.36633846153846</v>
      </c>
      <c r="AE32" s="2">
        <f t="shared" si="35"/>
        <v>16.134655384615382</v>
      </c>
      <c r="AF32" s="2">
        <f t="shared" si="35"/>
        <v>16.902972307692306</v>
      </c>
      <c r="AG32" s="2">
        <f t="shared" si="35"/>
        <v>17.671289230769226</v>
      </c>
      <c r="AH32" s="2">
        <f t="shared" si="35"/>
        <v>18.43960615384615</v>
      </c>
      <c r="AI32" s="2">
        <f t="shared" si="35"/>
        <v>19.20792307692307</v>
      </c>
      <c r="AJ32" s="2">
        <f t="shared" si="35"/>
        <v>19.976239999999997</v>
      </c>
      <c r="AK32" s="2">
        <f t="shared" si="35"/>
        <v>20.744556923076917</v>
      </c>
      <c r="AL32" s="2">
        <f t="shared" si="35"/>
        <v>21.512873846153841</v>
      </c>
      <c r="AM32" s="2">
        <f t="shared" si="35"/>
        <v>22.281190769230765</v>
      </c>
      <c r="AN32" s="2">
        <f t="shared" si="35"/>
        <v>23.049507692307685</v>
      </c>
      <c r="AO32" s="2">
        <f t="shared" si="35"/>
        <v>23.817824615384612</v>
      </c>
      <c r="AP32" s="2">
        <f t="shared" si="35"/>
        <v>24.586141538461536</v>
      </c>
    </row>
    <row r="33" spans="1:42" x14ac:dyDescent="0.25">
      <c r="A33" s="21">
        <f t="shared" si="9"/>
        <v>3.7080000000000002E-2</v>
      </c>
      <c r="C33" s="2">
        <v>4</v>
      </c>
      <c r="D33">
        <v>-1</v>
      </c>
      <c r="E33" s="5" t="s">
        <v>46</v>
      </c>
      <c r="F33" s="2">
        <f t="shared" si="10"/>
        <v>10.03708</v>
      </c>
      <c r="G33" s="32">
        <f t="shared" si="30"/>
        <v>10.03708</v>
      </c>
      <c r="H33" s="2">
        <f t="shared" si="31"/>
        <v>5.6207647999999999</v>
      </c>
      <c r="I33" s="2">
        <f t="shared" si="24"/>
        <v>13.048204</v>
      </c>
      <c r="J33" s="2">
        <f t="shared" si="24"/>
        <v>1.4051912</v>
      </c>
      <c r="K33" s="10">
        <f t="shared" si="25"/>
        <v>1.9230769230769231</v>
      </c>
      <c r="L33" s="10">
        <f t="shared" si="32"/>
        <v>7.2222222222222229E-2</v>
      </c>
      <c r="M33" s="10">
        <v>0</v>
      </c>
      <c r="N33" s="2">
        <f t="shared" si="26"/>
        <v>10.03708</v>
      </c>
      <c r="O33" s="2">
        <f t="shared" si="27"/>
        <v>38.983301785714275</v>
      </c>
      <c r="P33" s="2">
        <f t="shared" si="28"/>
        <v>64.972169642857125</v>
      </c>
      <c r="Q33" s="2">
        <f>(AVERAGE(VLOOKUP(E33,weapon_components!$A$8:$M$178,9,0),VLOOKUP(E33,weapon_components!$A$8:$M$178,10,0))+VLOOKUP(E33,weapon_components!$A$8:$M$178,11,0))/10</f>
        <v>4.3499999999999996</v>
      </c>
      <c r="R33" s="32">
        <f t="shared" si="15"/>
        <v>0.84000000000000008</v>
      </c>
      <c r="S33" s="25">
        <f t="shared" si="33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V33">
        <v>0.82</v>
      </c>
      <c r="W33" s="14" t="s">
        <v>227</v>
      </c>
      <c r="X33" s="2">
        <f t="shared" ref="X33:AP33" si="36">$G36*(1-(X$26*(1-$K36)))</f>
        <v>13.196623466666665</v>
      </c>
      <c r="Y33" s="2">
        <f t="shared" si="36"/>
        <v>13.864806933333334</v>
      </c>
      <c r="Z33" s="2">
        <f t="shared" si="36"/>
        <v>14.532990399999999</v>
      </c>
      <c r="AA33" s="2">
        <f t="shared" si="36"/>
        <v>15.201173866666666</v>
      </c>
      <c r="AB33" s="2">
        <f t="shared" si="36"/>
        <v>15.869357333333332</v>
      </c>
      <c r="AC33" s="2">
        <f t="shared" si="36"/>
        <v>16.537540799999999</v>
      </c>
      <c r="AD33" s="2">
        <f t="shared" si="36"/>
        <v>17.205724266666667</v>
      </c>
      <c r="AE33" s="2">
        <f t="shared" si="36"/>
        <v>17.873907733333333</v>
      </c>
      <c r="AF33" s="2">
        <f t="shared" si="36"/>
        <v>18.542091199999998</v>
      </c>
      <c r="AG33" s="2">
        <f t="shared" si="36"/>
        <v>19.210274666666663</v>
      </c>
      <c r="AH33" s="2">
        <f t="shared" si="36"/>
        <v>19.878458133333329</v>
      </c>
      <c r="AI33" s="2">
        <f t="shared" si="36"/>
        <v>20.546641599999997</v>
      </c>
      <c r="AJ33" s="2">
        <f t="shared" si="36"/>
        <v>21.214825066666666</v>
      </c>
      <c r="AK33" s="2">
        <f t="shared" si="36"/>
        <v>21.883008533333332</v>
      </c>
      <c r="AL33" s="2">
        <f t="shared" si="36"/>
        <v>22.551191999999997</v>
      </c>
      <c r="AM33" s="2">
        <f t="shared" si="36"/>
        <v>23.219375466666666</v>
      </c>
      <c r="AN33" s="2">
        <f t="shared" si="36"/>
        <v>23.887558933333334</v>
      </c>
      <c r="AO33" s="2">
        <f t="shared" si="36"/>
        <v>24.5557424</v>
      </c>
      <c r="AP33" s="2">
        <f t="shared" si="36"/>
        <v>25.223925866666669</v>
      </c>
    </row>
    <row r="34" spans="1:42" x14ac:dyDescent="0.25">
      <c r="A34" s="21">
        <f t="shared" si="9"/>
        <v>1.2600000000000009E-2</v>
      </c>
      <c r="C34" s="2">
        <v>4</v>
      </c>
      <c r="D34">
        <v>0</v>
      </c>
      <c r="E34" s="5" t="s">
        <v>47</v>
      </c>
      <c r="F34" s="2">
        <f t="shared" si="10"/>
        <v>10.012600000000001</v>
      </c>
      <c r="G34" s="32">
        <f t="shared" si="30"/>
        <v>10.012600000000001</v>
      </c>
      <c r="H34" s="2">
        <f t="shared" si="31"/>
        <v>4.8060480000000005</v>
      </c>
      <c r="I34" s="2">
        <f t="shared" si="24"/>
        <v>14.01764</v>
      </c>
      <c r="J34" s="2">
        <f t="shared" si="24"/>
        <v>1.2015120000000001</v>
      </c>
      <c r="K34" s="10">
        <f t="shared" si="25"/>
        <v>2.2307692307692304</v>
      </c>
      <c r="L34" s="10">
        <f t="shared" si="32"/>
        <v>7.2222222222222229E-2</v>
      </c>
      <c r="M34" s="10">
        <v>0</v>
      </c>
      <c r="N34" s="2">
        <f t="shared" si="26"/>
        <v>10.012600000000003</v>
      </c>
      <c r="O34" s="2">
        <f t="shared" si="27"/>
        <v>85.963440789473694</v>
      </c>
      <c r="P34" s="2">
        <f t="shared" si="28"/>
        <v>143.27240131578949</v>
      </c>
      <c r="Q34" s="2">
        <f>(AVERAGE(VLOOKUP(E34,weapon_components!$A$8:$M$178,9,0),VLOOKUP(E34,weapon_components!$A$8:$M$178,10,0))+VLOOKUP(E34,weapon_components!$A$8:$M$178,11,0))/10</f>
        <v>4.3499999999999996</v>
      </c>
      <c r="R34" s="32">
        <f t="shared" si="15"/>
        <v>0.76</v>
      </c>
      <c r="S34" s="25">
        <f t="shared" si="33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V34">
        <v>0.8</v>
      </c>
      <c r="W34" s="14" t="s">
        <v>228</v>
      </c>
      <c r="X34" s="2">
        <f t="shared" ref="X34:AP34" si="37">$G37*(1-(X$26*(1-$K37)))</f>
        <v>13.335253333333332</v>
      </c>
      <c r="Y34" s="2">
        <f t="shared" si="37"/>
        <v>14.168706666666665</v>
      </c>
      <c r="Z34" s="2">
        <f t="shared" si="37"/>
        <v>15.002159999999998</v>
      </c>
      <c r="AA34" s="2">
        <f t="shared" si="37"/>
        <v>15.835613333333331</v>
      </c>
      <c r="AB34" s="2">
        <f t="shared" si="37"/>
        <v>16.669066666666666</v>
      </c>
      <c r="AC34" s="2">
        <f t="shared" si="37"/>
        <v>17.502519999999997</v>
      </c>
      <c r="AD34" s="2">
        <f t="shared" si="37"/>
        <v>18.335973333333332</v>
      </c>
      <c r="AE34" s="2">
        <f t="shared" si="37"/>
        <v>19.169426666666663</v>
      </c>
      <c r="AF34" s="2">
        <f t="shared" si="37"/>
        <v>20.002879999999994</v>
      </c>
      <c r="AG34" s="2">
        <f t="shared" si="37"/>
        <v>20.836333333333329</v>
      </c>
      <c r="AH34" s="2">
        <f t="shared" si="37"/>
        <v>21.66978666666666</v>
      </c>
      <c r="AI34" s="2">
        <f t="shared" si="37"/>
        <v>22.503239999999998</v>
      </c>
      <c r="AJ34" s="2">
        <f t="shared" si="37"/>
        <v>23.336693333333329</v>
      </c>
      <c r="AK34" s="2">
        <f t="shared" si="37"/>
        <v>24.170146666666664</v>
      </c>
      <c r="AL34" s="2">
        <f t="shared" si="37"/>
        <v>25.003599999999999</v>
      </c>
      <c r="AM34" s="2">
        <f t="shared" si="37"/>
        <v>25.83705333333333</v>
      </c>
      <c r="AN34" s="2">
        <f t="shared" si="37"/>
        <v>26.670506666666665</v>
      </c>
      <c r="AO34" s="2">
        <f t="shared" si="37"/>
        <v>27.503959999999999</v>
      </c>
      <c r="AP34" s="2">
        <f t="shared" si="37"/>
        <v>28.33741333333333</v>
      </c>
    </row>
    <row r="35" spans="1:42" x14ac:dyDescent="0.25">
      <c r="A35" s="21">
        <f t="shared" si="9"/>
        <v>-1.1879999999999981E-2</v>
      </c>
      <c r="C35" s="2">
        <v>4</v>
      </c>
      <c r="D35">
        <v>1</v>
      </c>
      <c r="E35" s="5" t="s">
        <v>48</v>
      </c>
      <c r="F35" s="2">
        <f t="shared" si="10"/>
        <v>9.9881200000000003</v>
      </c>
      <c r="G35" s="32">
        <f t="shared" si="30"/>
        <v>9.9881200000000021</v>
      </c>
      <c r="H35" s="2">
        <f t="shared" si="31"/>
        <v>3.9952479999999997</v>
      </c>
      <c r="I35" s="2">
        <f t="shared" si="24"/>
        <v>14.98218</v>
      </c>
      <c r="J35" s="2">
        <f t="shared" si="24"/>
        <v>0.99881199999999992</v>
      </c>
      <c r="K35" s="10">
        <f t="shared" si="25"/>
        <v>2.538461538461537</v>
      </c>
      <c r="L35" s="10">
        <f t="shared" si="32"/>
        <v>7.2222222222222229E-2</v>
      </c>
      <c r="M35" s="10">
        <v>0</v>
      </c>
      <c r="N35" s="2">
        <f t="shared" si="26"/>
        <v>9.9881200000000021</v>
      </c>
      <c r="O35" s="2">
        <f t="shared" si="27"/>
        <v>191.68377352941178</v>
      </c>
      <c r="P35" s="2">
        <f t="shared" si="28"/>
        <v>319.47295588235301</v>
      </c>
      <c r="Q35" s="2">
        <f>(AVERAGE(VLOOKUP(E35,weapon_components!$A$8:$M$178,9,0),VLOOKUP(E35,weapon_components!$A$8:$M$178,10,0))+VLOOKUP(E35,weapon_components!$A$8:$M$178,11,0))/10</f>
        <v>4.3499999999999996</v>
      </c>
      <c r="R35" s="32">
        <f t="shared" si="15"/>
        <v>0.67999999999999994</v>
      </c>
      <c r="S35" s="25">
        <f t="shared" si="33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V35">
        <v>0.75</v>
      </c>
      <c r="W35" s="14" t="s">
        <v>229</v>
      </c>
      <c r="X35" s="2">
        <f t="shared" ref="X35:AP35" si="38">$G38*(1-(X$26*(1-$K38)))</f>
        <v>13.473172800000004</v>
      </c>
      <c r="Y35" s="2">
        <f t="shared" si="38"/>
        <v>14.471185600000002</v>
      </c>
      <c r="Z35" s="2">
        <f t="shared" si="38"/>
        <v>15.469198400000003</v>
      </c>
      <c r="AA35" s="2">
        <f t="shared" si="38"/>
        <v>16.467211200000001</v>
      </c>
      <c r="AB35" s="2">
        <f t="shared" si="38"/>
        <v>17.465224000000003</v>
      </c>
      <c r="AC35" s="2">
        <f t="shared" si="38"/>
        <v>18.463236800000004</v>
      </c>
      <c r="AD35" s="2">
        <f t="shared" si="38"/>
        <v>19.461249600000002</v>
      </c>
      <c r="AE35" s="2">
        <f t="shared" si="38"/>
        <v>20.4592624</v>
      </c>
      <c r="AF35" s="2">
        <f t="shared" si="38"/>
        <v>21.457275200000002</v>
      </c>
      <c r="AG35" s="2">
        <f t="shared" si="38"/>
        <v>22.455288000000003</v>
      </c>
      <c r="AH35" s="2">
        <f t="shared" si="38"/>
        <v>23.453300800000001</v>
      </c>
      <c r="AI35" s="2">
        <f t="shared" si="38"/>
        <v>24.451313600000002</v>
      </c>
      <c r="AJ35" s="2">
        <f t="shared" si="38"/>
        <v>25.449326400000004</v>
      </c>
      <c r="AK35" s="2">
        <f t="shared" si="38"/>
        <v>26.447339200000005</v>
      </c>
      <c r="AL35" s="2">
        <f t="shared" si="38"/>
        <v>27.445352000000007</v>
      </c>
      <c r="AM35" s="2">
        <f t="shared" si="38"/>
        <v>28.443364800000008</v>
      </c>
      <c r="AN35" s="2">
        <f t="shared" si="38"/>
        <v>29.44137760000001</v>
      </c>
      <c r="AO35" s="2">
        <f t="shared" si="38"/>
        <v>30.439390400000011</v>
      </c>
      <c r="AP35" s="2">
        <f t="shared" si="38"/>
        <v>31.437403200000006</v>
      </c>
    </row>
    <row r="36" spans="1:42" x14ac:dyDescent="0.25">
      <c r="A36" s="21">
        <f t="shared" si="9"/>
        <v>2.8440000000000014E-2</v>
      </c>
      <c r="C36" s="2">
        <v>5</v>
      </c>
      <c r="D36">
        <v>-1</v>
      </c>
      <c r="E36" s="5" t="s">
        <v>49</v>
      </c>
      <c r="F36" s="2">
        <f t="shared" si="10"/>
        <v>12.52844</v>
      </c>
      <c r="G36" s="32">
        <f t="shared" si="30"/>
        <v>12.52844</v>
      </c>
      <c r="H36" s="2">
        <f t="shared" si="31"/>
        <v>6.0136512</v>
      </c>
      <c r="I36" s="2">
        <f t="shared" si="24"/>
        <v>17.539815999999998</v>
      </c>
      <c r="J36" s="2">
        <f t="shared" si="24"/>
        <v>1.5034128</v>
      </c>
      <c r="K36" s="10">
        <f t="shared" si="25"/>
        <v>2.0666666666666664</v>
      </c>
      <c r="L36" s="10">
        <f t="shared" si="32"/>
        <v>8.3333333333333329E-2</v>
      </c>
      <c r="M36" s="10">
        <v>0</v>
      </c>
      <c r="N36" s="2">
        <f t="shared" si="26"/>
        <v>12.52844</v>
      </c>
      <c r="O36" s="2">
        <f t="shared" si="27"/>
        <v>49.245825903614445</v>
      </c>
      <c r="P36" s="2">
        <f t="shared" si="28"/>
        <v>82.076376506024076</v>
      </c>
      <c r="Q36" s="2">
        <f>(AVERAGE(VLOOKUP(E36,weapon_components!$A$8:$M$178,9,0),VLOOKUP(E36,weapon_components!$A$8:$M$178,10,0))+VLOOKUP(E36,weapon_components!$A$8:$M$178,11,0))/10</f>
        <v>4.3499999999999996</v>
      </c>
      <c r="R36" s="32">
        <f t="shared" si="15"/>
        <v>0.83000000000000007</v>
      </c>
      <c r="S36" s="25">
        <f t="shared" si="33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V36">
        <v>0.82</v>
      </c>
      <c r="W36" s="14" t="s">
        <v>230</v>
      </c>
      <c r="X36" s="2">
        <f>($G27*(1-(X$26*(1-$K27))))/2</f>
        <v>10.762833846153844</v>
      </c>
      <c r="Y36" s="2">
        <f t="shared" ref="Y36:AP36" si="39">($G27*(1-(Y$26*(1-$K27))))/2</f>
        <v>11.531607692307691</v>
      </c>
      <c r="Z36" s="2">
        <f t="shared" si="39"/>
        <v>12.300381538461538</v>
      </c>
      <c r="AA36" s="2">
        <f t="shared" si="39"/>
        <v>13.069155384615383</v>
      </c>
      <c r="AB36" s="2">
        <f t="shared" si="39"/>
        <v>13.83792923076923</v>
      </c>
      <c r="AC36" s="2">
        <f t="shared" si="39"/>
        <v>14.606703076923075</v>
      </c>
      <c r="AD36" s="2">
        <f t="shared" si="39"/>
        <v>15.375476923076921</v>
      </c>
      <c r="AE36" s="2">
        <f t="shared" si="39"/>
        <v>16.144250769230769</v>
      </c>
      <c r="AF36" s="2">
        <f t="shared" si="39"/>
        <v>16.913024615384611</v>
      </c>
      <c r="AG36" s="2">
        <f t="shared" si="39"/>
        <v>17.68179846153846</v>
      </c>
      <c r="AH36" s="2">
        <f t="shared" si="39"/>
        <v>18.450572307692305</v>
      </c>
      <c r="AI36" s="2">
        <f t="shared" si="39"/>
        <v>19.21934615384615</v>
      </c>
      <c r="AJ36" s="2">
        <f t="shared" si="39"/>
        <v>19.988119999999999</v>
      </c>
      <c r="AK36" s="2">
        <f t="shared" si="39"/>
        <v>20.756893846153844</v>
      </c>
      <c r="AL36" s="2">
        <f t="shared" si="39"/>
        <v>21.525667692307692</v>
      </c>
      <c r="AM36" s="2">
        <f t="shared" si="39"/>
        <v>22.294441538461538</v>
      </c>
      <c r="AN36" s="2">
        <f t="shared" si="39"/>
        <v>23.063215384615386</v>
      </c>
      <c r="AO36" s="2">
        <f t="shared" si="39"/>
        <v>23.831989230769231</v>
      </c>
      <c r="AP36" s="2">
        <f t="shared" si="39"/>
        <v>24.600763076923077</v>
      </c>
    </row>
    <row r="37" spans="1:42" x14ac:dyDescent="0.25">
      <c r="A37" s="21">
        <f t="shared" si="9"/>
        <v>1.8000000000000043E-3</v>
      </c>
      <c r="C37" s="2">
        <v>5</v>
      </c>
      <c r="D37">
        <v>0</v>
      </c>
      <c r="E37" s="5" t="s">
        <v>50</v>
      </c>
      <c r="F37" s="2">
        <f t="shared" si="10"/>
        <v>12.501799999999999</v>
      </c>
      <c r="G37" s="32">
        <f t="shared" si="30"/>
        <v>12.501799999999999</v>
      </c>
      <c r="H37" s="2">
        <f t="shared" si="31"/>
        <v>5.0007199999999994</v>
      </c>
      <c r="I37" s="2">
        <f t="shared" si="24"/>
        <v>18.752699999999997</v>
      </c>
      <c r="J37" s="2">
        <f t="shared" si="24"/>
        <v>1.2501799999999998</v>
      </c>
      <c r="K37" s="10">
        <f t="shared" si="25"/>
        <v>2.333333333333333</v>
      </c>
      <c r="L37" s="10">
        <f t="shared" si="32"/>
        <v>8.3333333333333329E-2</v>
      </c>
      <c r="M37" s="10">
        <v>0</v>
      </c>
      <c r="N37" s="2">
        <f t="shared" si="26"/>
        <v>12.501799999999999</v>
      </c>
      <c r="O37" s="2">
        <f t="shared" si="27"/>
        <v>108.76565999999998</v>
      </c>
      <c r="P37" s="2">
        <f t="shared" si="28"/>
        <v>181.27609999999999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32">
        <f t="shared" si="15"/>
        <v>0.75</v>
      </c>
      <c r="S37" s="25">
        <f t="shared" si="33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V37">
        <v>0.8</v>
      </c>
      <c r="W37" s="14" t="s">
        <v>231</v>
      </c>
      <c r="X37" s="2">
        <f>($G28*(1-(X$26*(1-$K28))))/2</f>
        <v>13.486586400000002</v>
      </c>
      <c r="Y37" s="2">
        <f t="shared" ref="Y37:AP37" si="40">($G28*(1-(Y$26*(1-$K28))))/2</f>
        <v>14.485592800000003</v>
      </c>
      <c r="Z37" s="2">
        <f t="shared" si="40"/>
        <v>15.484599200000002</v>
      </c>
      <c r="AA37" s="2">
        <f t="shared" si="40"/>
        <v>16.483605600000001</v>
      </c>
      <c r="AB37" s="2">
        <f t="shared" si="40"/>
        <v>17.482612</v>
      </c>
      <c r="AC37" s="2">
        <f t="shared" si="40"/>
        <v>18.481618399999999</v>
      </c>
      <c r="AD37" s="2">
        <f t="shared" si="40"/>
        <v>19.480624800000001</v>
      </c>
      <c r="AE37" s="2">
        <f t="shared" si="40"/>
        <v>20.479631199999996</v>
      </c>
      <c r="AF37" s="2">
        <f t="shared" si="40"/>
        <v>21.478637599999995</v>
      </c>
      <c r="AG37" s="2">
        <f t="shared" si="40"/>
        <v>22.477643999999998</v>
      </c>
      <c r="AH37" s="2">
        <f t="shared" si="40"/>
        <v>23.476650399999997</v>
      </c>
      <c r="AI37" s="2">
        <f t="shared" si="40"/>
        <v>24.475656799999996</v>
      </c>
      <c r="AJ37" s="2">
        <f t="shared" si="40"/>
        <v>25.474663199999995</v>
      </c>
      <c r="AK37" s="2">
        <f t="shared" si="40"/>
        <v>26.473669599999997</v>
      </c>
      <c r="AL37" s="2">
        <f t="shared" si="40"/>
        <v>27.472675999999996</v>
      </c>
      <c r="AM37" s="2">
        <f t="shared" si="40"/>
        <v>28.471682399999999</v>
      </c>
      <c r="AN37" s="2">
        <f t="shared" si="40"/>
        <v>29.470688800000001</v>
      </c>
      <c r="AO37" s="2">
        <f t="shared" si="40"/>
        <v>30.4696952</v>
      </c>
      <c r="AP37" s="2">
        <f t="shared" si="40"/>
        <v>31.468701600000003</v>
      </c>
    </row>
    <row r="38" spans="1:42" x14ac:dyDescent="0.25">
      <c r="A38" s="21">
        <f t="shared" si="9"/>
        <v>-2.4840000000000004E-2</v>
      </c>
      <c r="C38" s="2">
        <v>5</v>
      </c>
      <c r="D38">
        <v>1</v>
      </c>
      <c r="E38" s="5" t="s">
        <v>51</v>
      </c>
      <c r="F38" s="2">
        <f t="shared" si="10"/>
        <v>12.475160000000001</v>
      </c>
      <c r="G38" s="32">
        <f t="shared" si="30"/>
        <v>12.475160000000002</v>
      </c>
      <c r="H38" s="2">
        <f t="shared" si="31"/>
        <v>3.9920511999999997</v>
      </c>
      <c r="I38" s="2">
        <f t="shared" si="24"/>
        <v>19.960256000000001</v>
      </c>
      <c r="J38" s="2">
        <f t="shared" si="24"/>
        <v>0.99801279999999992</v>
      </c>
      <c r="K38" s="10">
        <f t="shared" si="25"/>
        <v>2.5999999999999996</v>
      </c>
      <c r="L38" s="10">
        <f t="shared" si="32"/>
        <v>8.3333333333333329E-2</v>
      </c>
      <c r="M38" s="10">
        <v>0</v>
      </c>
      <c r="N38" s="2">
        <f t="shared" si="26"/>
        <v>12.475160000000004</v>
      </c>
      <c r="O38" s="2">
        <f t="shared" si="27"/>
        <v>242.98632537313438</v>
      </c>
      <c r="P38" s="2">
        <f t="shared" si="28"/>
        <v>404.977208955224</v>
      </c>
      <c r="Q38" s="2">
        <f>(AVERAGE(VLOOKUP(E38,weapon_components!$A$8:$M$178,9,0),VLOOKUP(E38,weapon_components!$A$8:$M$178,10,0))+VLOOKUP(E38,weapon_components!$A$8:$M$178,11,0))/10</f>
        <v>4.3499999999999996</v>
      </c>
      <c r="R38" s="32">
        <f t="shared" si="15"/>
        <v>0.66999999999999993</v>
      </c>
      <c r="S38" s="25">
        <f t="shared" si="33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V38">
        <v>0.75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9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19.988119999999999</v>
      </c>
      <c r="G40" s="32">
        <f>IF(G$39=1,H40,H40/(R40-INDEX($O$2:$O$6,C40)))</f>
        <v>41.641916666666667</v>
      </c>
      <c r="H40" s="2">
        <f>$F40*(INDEX($F$3:$F$5,H$39)+(($C40+($D40*$F$7))*INDEX($G$3:$G$5,H$39)))</f>
        <v>29.98218</v>
      </c>
      <c r="I40" s="2">
        <f t="shared" ref="I40:J41" si="41">$F40*(INDEX($F$3:$F$5,I$39)+(($C40+($D40*$F$7))*INDEX($G$3:$G$5,I$39)))</f>
        <v>7.9952479999999984</v>
      </c>
      <c r="J40" s="2">
        <f t="shared" si="41"/>
        <v>1.9988119999999996</v>
      </c>
      <c r="K40" s="10">
        <f t="shared" si="25"/>
        <v>-1.4861538461538464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41.64191666666666</v>
      </c>
      <c r="O40" s="2">
        <f>0.75*(((G40*INDEX($R$1:$R$3,$D40+2))*Q40)/R40)</f>
        <v>824.50994999999989</v>
      </c>
      <c r="P40" s="2">
        <f>1.25*(((G40*INDEX($R$1:$R$3,$D40+2))*Q40)/R40)</f>
        <v>1374.1832499999998</v>
      </c>
      <c r="Q40" s="2">
        <f>(AVERAGE(VLOOKUP(E40,weapon_components!$A$8:$M$178,9,0),VLOOKUP(E40,weapon_components!$A$8:$M$178,10,0))+VLOOKUP(E40,weapon_components!$A$8:$M$178,11,0))/10</f>
        <v>6.6</v>
      </c>
      <c r="R40" s="32">
        <f t="shared" si="15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V40">
        <v>1</v>
      </c>
      <c r="W40" s="2"/>
    </row>
    <row r="41" spans="1:42" x14ac:dyDescent="0.25">
      <c r="A41" s="21">
        <f t="shared" si="9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24.975159999999999</v>
      </c>
      <c r="G41" s="32">
        <f>IF(G$39=1,H41,H41/(R41-INDEX($O$2:$O$6,C41)))</f>
        <v>61.477316923076934</v>
      </c>
      <c r="H41" s="2">
        <f>$F41*(INDEX($F$3:$F$5,H$39)+(($C41+($D41*$F$7))*INDEX($G$3:$G$5,H$39)))</f>
        <v>39.960256000000001</v>
      </c>
      <c r="I41" s="2">
        <f t="shared" si="41"/>
        <v>7.9920511999999988</v>
      </c>
      <c r="J41" s="2">
        <f t="shared" si="41"/>
        <v>1.9980127999999997</v>
      </c>
      <c r="K41" s="10">
        <f t="shared" si="25"/>
        <v>-1.3200000000000003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61.477316923076941</v>
      </c>
      <c r="O41" s="2">
        <f>0.75*(((G41*INDEX($R$1:$R$3,$D41+2))*Q41)/R41)</f>
        <v>1217.2508750769234</v>
      </c>
      <c r="P41" s="2">
        <f>1.25*(((G41*INDEX($R$1:$R$3,$D41+2))*Q41)/R41)</f>
        <v>2028.7514584615387</v>
      </c>
      <c r="Q41" s="2">
        <f>(AVERAGE(VLOOKUP(E41,weapon_components!$A$8:$M$178,9,0),VLOOKUP(E41,weapon_components!$A$8:$M$178,10,0))+VLOOKUP(E41,weapon_components!$A$8:$M$178,11,0))/10</f>
        <v>6.6</v>
      </c>
      <c r="R41" s="32">
        <f t="shared" si="15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V41">
        <v>1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9"/>
        <v>6.8040000000000003E-2</v>
      </c>
      <c r="C43" s="2">
        <v>3</v>
      </c>
      <c r="D43" s="2">
        <v>1</v>
      </c>
      <c r="E43" s="5" t="s">
        <v>56</v>
      </c>
      <c r="F43" s="2">
        <f t="shared" si="10"/>
        <v>7.5680399999999999</v>
      </c>
      <c r="G43" s="32">
        <f>IF(G$42=1,H43,H43/(R43-INDEX($O$2:$O$6,C43)))</f>
        <v>7.5680400000000008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42">$F43*(INDEX($F$3:$F$5,J$42)+(($C43+($D43*$F$7))*INDEX($G$3:$G$5,J$42)))</f>
        <v>10.595255999999999</v>
      </c>
      <c r="K43" s="10">
        <f>1-((1-(I43/G43))/INDEX($P$2:$P$6,C43))</f>
        <v>-1.9333333333333336</v>
      </c>
      <c r="L43" s="10">
        <f>(INDEX($Q$2:$Q$6,C43)/((1/INDEX($F$4:$F$6,J$42))-1))</f>
        <v>2.4</v>
      </c>
      <c r="M43" s="10">
        <v>0</v>
      </c>
      <c r="N43" s="2">
        <f>((AVERAGE(O43,P43)*R43)/Q43)/INDEX($R$1:$R$3,D43)</f>
        <v>30.272160000000003</v>
      </c>
      <c r="O43" s="2">
        <f>0.75*(((G43*INDEX($R$1:$R$3,$D43+2))*Q43)/R43)</f>
        <v>118.4562782608696</v>
      </c>
      <c r="P43" s="2">
        <f>1.25*(((G43*INDEX($R$1:$R$3,$D43+2))*Q43)/R43)</f>
        <v>197.42713043478264</v>
      </c>
      <c r="Q43" s="2">
        <f>(AVERAGE(VLOOKUP(E43,weapon_components!$A$8:$M$178,9,0),VLOOKUP(E43,weapon_components!$A$8:$M$178,10,0))+VLOOKUP(E43,weapon_components!$A$8:$M$178,11,0))/10</f>
        <v>3.6</v>
      </c>
      <c r="R43" s="32">
        <f t="shared" si="15"/>
        <v>0.69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V43">
        <v>0.82</v>
      </c>
      <c r="W43" s="2"/>
    </row>
    <row r="44" spans="1:42" x14ac:dyDescent="0.25">
      <c r="A44" s="21">
        <f t="shared" si="9"/>
        <v>5.6880000000000007E-2</v>
      </c>
      <c r="C44" s="2">
        <v>3</v>
      </c>
      <c r="D44" s="2">
        <v>2</v>
      </c>
      <c r="E44" s="5" t="s">
        <v>57</v>
      </c>
      <c r="F44" s="2">
        <f t="shared" si="10"/>
        <v>7.5568799999999996</v>
      </c>
      <c r="G44" s="32">
        <f t="shared" ref="G44:G51" si="43">IF(G$42=1,H44,H44/(R44-INDEX($O$2:$O$6,C44)))</f>
        <v>7.5568799999999996</v>
      </c>
      <c r="H44" s="2">
        <f t="shared" ref="H44:H51" si="44">$F44*(INDEX($F$3:$F$5,H$42)+(($C44+($D44*$F$7))*INDEX($G$3:$G$5,H$42)))</f>
        <v>3.0227519999999997</v>
      </c>
      <c r="I44" s="2">
        <f t="shared" si="42"/>
        <v>0.75568799999999992</v>
      </c>
      <c r="J44" s="2">
        <f t="shared" si="42"/>
        <v>11.335319999999999</v>
      </c>
      <c r="K44" s="10">
        <f t="shared" si="25"/>
        <v>-2</v>
      </c>
      <c r="L44" s="10">
        <f t="shared" ref="L44:L51" si="45">(INDEX($Q$2:$Q$6,C44)/((1/INDEX($F$4:$F$6,J$42))-1))</f>
        <v>2.4</v>
      </c>
      <c r="M44" s="10">
        <v>0</v>
      </c>
      <c r="N44" s="2">
        <f t="shared" ref="N44:N51" si="46">((AVERAGE(O44,P44)*R44)/Q44)/INDEX($R$1:$R$3,D44)</f>
        <v>7.5568799999999978</v>
      </c>
      <c r="O44" s="2">
        <f>0.75*(((G44*INDEX($R$1:$R$3,$D44))*Q44)/R44)</f>
        <v>66.896970491803273</v>
      </c>
      <c r="P44" s="2">
        <f>1.25*(((G44*INDEX($R$1:$R$3,$D44))*Q44)/R44)</f>
        <v>111.49495081967211</v>
      </c>
      <c r="Q44" s="2">
        <f>(AVERAGE(VLOOKUP(E44,weapon_components!$A$8:$M$178,9,0),VLOOKUP(E44,weapon_components!$A$8:$M$178,10,0))+VLOOKUP(E44,weapon_components!$A$8:$M$178,11,0))/10</f>
        <v>3.6</v>
      </c>
      <c r="R44" s="32">
        <f t="shared" si="15"/>
        <v>0.61</v>
      </c>
      <c r="S44" s="25">
        <f t="shared" ref="S44:S51" si="47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V44">
        <v>0.8</v>
      </c>
      <c r="W44" s="2"/>
    </row>
    <row r="45" spans="1:42" x14ac:dyDescent="0.25">
      <c r="A45" s="21">
        <f t="shared" si="9"/>
        <v>4.5720000000000004E-2</v>
      </c>
      <c r="C45" s="2">
        <v>3</v>
      </c>
      <c r="D45" s="2">
        <v>3</v>
      </c>
      <c r="E45" s="5" t="s">
        <v>58</v>
      </c>
      <c r="F45" s="2">
        <f t="shared" si="10"/>
        <v>7.5457200000000002</v>
      </c>
      <c r="G45" s="32">
        <f t="shared" si="43"/>
        <v>7.5457199999999984</v>
      </c>
      <c r="H45" s="2">
        <f t="shared" si="44"/>
        <v>2.4146303999999996</v>
      </c>
      <c r="I45" s="2">
        <f t="shared" si="42"/>
        <v>0.60365759999999991</v>
      </c>
      <c r="J45" s="2">
        <f t="shared" si="42"/>
        <v>12.073152</v>
      </c>
      <c r="K45" s="10">
        <f>1-((1-(I45/G45))/INDEX($P$2:$P$6,C45))</f>
        <v>-2.0666666666666669</v>
      </c>
      <c r="L45" s="10">
        <f t="shared" si="45"/>
        <v>2.4</v>
      </c>
      <c r="M45" s="10">
        <v>0</v>
      </c>
      <c r="N45" s="2">
        <f t="shared" si="46"/>
        <v>7.5457199999999984</v>
      </c>
      <c r="O45" s="2">
        <f t="shared" ref="O45:O51" si="48">0.75*(((G45*INDEX($R$1:$R$3,$D45))*Q45)/R45)</f>
        <v>153.76184150943394</v>
      </c>
      <c r="P45" s="2">
        <f>1.25*(((G45*INDEX($R$1:$R$3,$D45))*Q45)/R45)</f>
        <v>256.26973584905659</v>
      </c>
      <c r="Q45" s="2">
        <f>(AVERAGE(VLOOKUP(E45,weapon_components!$A$8:$M$178,9,0),VLOOKUP(E45,weapon_components!$A$8:$M$178,10,0))+VLOOKUP(E45,weapon_components!$A$8:$M$178,11,0))/10</f>
        <v>3.6</v>
      </c>
      <c r="R45" s="32">
        <f t="shared" si="15"/>
        <v>0.53</v>
      </c>
      <c r="S45" s="25">
        <f t="shared" si="47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V45">
        <v>0.75</v>
      </c>
      <c r="W45" s="2"/>
    </row>
    <row r="46" spans="1:42" x14ac:dyDescent="0.25">
      <c r="A46" s="21">
        <f t="shared" si="9"/>
        <v>6.1560000000000011E-2</v>
      </c>
      <c r="C46" s="2">
        <v>4</v>
      </c>
      <c r="D46" s="2">
        <v>1</v>
      </c>
      <c r="E46" s="5" t="s">
        <v>59</v>
      </c>
      <c r="F46" s="2">
        <f t="shared" si="10"/>
        <v>10.06156</v>
      </c>
      <c r="G46" s="32">
        <f t="shared" si="43"/>
        <v>10.06156</v>
      </c>
      <c r="H46" s="2">
        <f t="shared" si="44"/>
        <v>4.0246239999999993</v>
      </c>
      <c r="I46" s="2">
        <f t="shared" si="42"/>
        <v>1.0061559999999998</v>
      </c>
      <c r="J46" s="2">
        <f t="shared" si="42"/>
        <v>15.09234</v>
      </c>
      <c r="K46" s="10">
        <f t="shared" si="25"/>
        <v>-1.7692307692307692</v>
      </c>
      <c r="L46" s="10">
        <f t="shared" si="45"/>
        <v>2.6</v>
      </c>
      <c r="M46" s="10">
        <v>0</v>
      </c>
      <c r="N46" s="2">
        <f t="shared" si="46"/>
        <v>10.061560000000002</v>
      </c>
      <c r="O46" s="2">
        <f t="shared" si="48"/>
        <v>39.950311764705887</v>
      </c>
      <c r="P46" s="2">
        <f t="shared" ref="P46:P51" si="49">1.25*(((G46*INDEX($R$1:$R$3,$D46))*Q46)/R46)</f>
        <v>66.583852941176488</v>
      </c>
      <c r="Q46" s="2">
        <f>(AVERAGE(VLOOKUP(E46,weapon_components!$A$8:$M$178,9,0),VLOOKUP(E46,weapon_components!$A$8:$M$178,10,0))+VLOOKUP(E46,weapon_components!$A$8:$M$178,11,0))/10</f>
        <v>3.6</v>
      </c>
      <c r="R46" s="32">
        <f t="shared" si="15"/>
        <v>0.67999999999999994</v>
      </c>
      <c r="S46" s="25">
        <f t="shared" si="47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V46">
        <v>0.82</v>
      </c>
      <c r="W46" s="2"/>
    </row>
    <row r="47" spans="1:42" x14ac:dyDescent="0.25">
      <c r="A47" s="21">
        <f t="shared" si="9"/>
        <v>4.9320000000000003E-2</v>
      </c>
      <c r="C47" s="2">
        <v>4</v>
      </c>
      <c r="D47" s="2">
        <v>2</v>
      </c>
      <c r="E47" s="5" t="s">
        <v>60</v>
      </c>
      <c r="F47" s="2">
        <f t="shared" si="10"/>
        <v>10.04932</v>
      </c>
      <c r="G47" s="32">
        <f t="shared" si="43"/>
        <v>10.04932</v>
      </c>
      <c r="H47" s="2">
        <f t="shared" si="44"/>
        <v>3.2157823999999993</v>
      </c>
      <c r="I47" s="2">
        <f t="shared" si="42"/>
        <v>0.80394559999999982</v>
      </c>
      <c r="J47" s="2">
        <f t="shared" si="42"/>
        <v>16.078911999999999</v>
      </c>
      <c r="K47" s="10">
        <f t="shared" si="25"/>
        <v>-1.8307692307692309</v>
      </c>
      <c r="L47" s="10">
        <f t="shared" si="45"/>
        <v>2.6</v>
      </c>
      <c r="M47" s="10">
        <v>0</v>
      </c>
      <c r="N47" s="2">
        <f t="shared" si="46"/>
        <v>10.04932</v>
      </c>
      <c r="O47" s="2">
        <f t="shared" si="48"/>
        <v>90.443880000000007</v>
      </c>
      <c r="P47" s="2">
        <f t="shared" si="49"/>
        <v>150.7398</v>
      </c>
      <c r="Q47" s="2">
        <f>(AVERAGE(VLOOKUP(E47,weapon_components!$A$8:$M$178,9,0),VLOOKUP(E47,weapon_components!$A$8:$M$178,10,0))+VLOOKUP(E47,weapon_components!$A$8:$M$178,11,0))/10</f>
        <v>3.6</v>
      </c>
      <c r="R47" s="32">
        <f t="shared" si="15"/>
        <v>0.6</v>
      </c>
      <c r="S47" s="25">
        <f t="shared" si="47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V47">
        <v>0.8</v>
      </c>
      <c r="W47" s="14"/>
    </row>
    <row r="48" spans="1:42" x14ac:dyDescent="0.25">
      <c r="A48" s="21">
        <f t="shared" si="9"/>
        <v>3.7080000000000002E-2</v>
      </c>
      <c r="C48" s="2">
        <v>4</v>
      </c>
      <c r="D48" s="2">
        <v>3</v>
      </c>
      <c r="E48" s="5" t="s">
        <v>61</v>
      </c>
      <c r="F48" s="2">
        <f t="shared" si="10"/>
        <v>10.03708</v>
      </c>
      <c r="G48" s="32">
        <f>IF(G$42=1,H48,H48/(R48-INDEX($O$2:$O$6,C48)))</f>
        <v>10.037080000000001</v>
      </c>
      <c r="H48" s="2">
        <f t="shared" si="44"/>
        <v>2.4088992</v>
      </c>
      <c r="I48" s="2">
        <f t="shared" si="42"/>
        <v>0.6022248</v>
      </c>
      <c r="J48" s="2">
        <f t="shared" si="42"/>
        <v>17.063036</v>
      </c>
      <c r="K48" s="10">
        <f t="shared" si="25"/>
        <v>-1.8923076923076922</v>
      </c>
      <c r="L48" s="10">
        <f t="shared" si="45"/>
        <v>2.6</v>
      </c>
      <c r="M48" s="10">
        <v>0</v>
      </c>
      <c r="N48" s="2">
        <f t="shared" si="46"/>
        <v>10.037080000000001</v>
      </c>
      <c r="O48" s="2">
        <f t="shared" si="48"/>
        <v>208.46243076923082</v>
      </c>
      <c r="P48" s="2">
        <f t="shared" si="49"/>
        <v>347.4373846153847</v>
      </c>
      <c r="Q48" s="2">
        <f>(AVERAGE(VLOOKUP(E48,weapon_components!$A$8:$M$178,9,0),VLOOKUP(E48,weapon_components!$A$8:$M$178,10,0))+VLOOKUP(E48,weapon_components!$A$8:$M$178,11,0))/10</f>
        <v>3.6</v>
      </c>
      <c r="R48" s="32">
        <f t="shared" si="15"/>
        <v>0.52</v>
      </c>
      <c r="S48" s="25">
        <f t="shared" si="47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  <c r="V48">
        <v>0.75</v>
      </c>
    </row>
    <row r="49" spans="1:24" x14ac:dyDescent="0.25">
      <c r="A49" s="21">
        <f t="shared" si="9"/>
        <v>5.5079999999999997E-2</v>
      </c>
      <c r="C49" s="2">
        <v>5</v>
      </c>
      <c r="D49" s="2">
        <v>1</v>
      </c>
      <c r="E49" s="5" t="s">
        <v>62</v>
      </c>
      <c r="F49" s="2">
        <f t="shared" si="10"/>
        <v>12.55508</v>
      </c>
      <c r="G49" s="32">
        <f t="shared" si="43"/>
        <v>12.555080000000004</v>
      </c>
      <c r="H49" s="2">
        <f t="shared" si="44"/>
        <v>4.0176255999999997</v>
      </c>
      <c r="I49" s="2">
        <f t="shared" si="42"/>
        <v>1.0044063999999999</v>
      </c>
      <c r="J49" s="2">
        <f t="shared" si="42"/>
        <v>20.088128000000001</v>
      </c>
      <c r="K49" s="10">
        <f t="shared" si="25"/>
        <v>-1.4533333333333336</v>
      </c>
      <c r="L49" s="10">
        <f t="shared" si="45"/>
        <v>3</v>
      </c>
      <c r="M49" s="10">
        <v>0</v>
      </c>
      <c r="N49" s="2">
        <f t="shared" si="46"/>
        <v>12.555080000000004</v>
      </c>
      <c r="O49" s="2">
        <f t="shared" si="48"/>
        <v>50.595098507462708</v>
      </c>
      <c r="P49" s="2">
        <f t="shared" si="49"/>
        <v>84.325164179104505</v>
      </c>
      <c r="Q49" s="2">
        <f>(AVERAGE(VLOOKUP(E49,weapon_components!$A$8:$M$178,9,0),VLOOKUP(E49,weapon_components!$A$8:$M$178,10,0))+VLOOKUP(E49,weapon_components!$A$8:$M$178,11,0))/10</f>
        <v>3.6</v>
      </c>
      <c r="R49" s="32">
        <f t="shared" si="15"/>
        <v>0.66999999999999993</v>
      </c>
      <c r="S49" s="25">
        <f t="shared" si="47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  <c r="V49">
        <v>0.82</v>
      </c>
    </row>
    <row r="50" spans="1:24" x14ac:dyDescent="0.25">
      <c r="A50" s="21">
        <f t="shared" si="9"/>
        <v>4.1760000000000005E-2</v>
      </c>
      <c r="C50" s="2">
        <v>5</v>
      </c>
      <c r="D50" s="2">
        <v>2</v>
      </c>
      <c r="E50" s="5" t="s">
        <v>63</v>
      </c>
      <c r="F50" s="2">
        <f t="shared" si="10"/>
        <v>12.54176</v>
      </c>
      <c r="G50" s="32">
        <f t="shared" si="43"/>
        <v>12.541759999999998</v>
      </c>
      <c r="H50" s="2">
        <f t="shared" si="44"/>
        <v>3.0100224</v>
      </c>
      <c r="I50" s="2">
        <f t="shared" si="42"/>
        <v>0.7525056</v>
      </c>
      <c r="J50" s="2">
        <f t="shared" si="42"/>
        <v>21.320992000000004</v>
      </c>
      <c r="K50" s="10">
        <f t="shared" si="25"/>
        <v>-1.5066666666666664</v>
      </c>
      <c r="L50" s="10">
        <f t="shared" si="45"/>
        <v>3</v>
      </c>
      <c r="M50" s="10">
        <v>0</v>
      </c>
      <c r="N50" s="2">
        <f t="shared" si="46"/>
        <v>12.541759999999998</v>
      </c>
      <c r="O50" s="2">
        <f t="shared" si="48"/>
        <v>114.78898983050844</v>
      </c>
      <c r="P50" s="2">
        <f t="shared" si="49"/>
        <v>191.31498305084739</v>
      </c>
      <c r="Q50" s="2">
        <f>(AVERAGE(VLOOKUP(E50,weapon_components!$A$8:$M$178,9,0),VLOOKUP(E50,weapon_components!$A$8:$M$178,10,0))+VLOOKUP(E50,weapon_components!$A$8:$M$178,11,0))/10</f>
        <v>3.6</v>
      </c>
      <c r="R50" s="32">
        <f t="shared" si="15"/>
        <v>0.59000000000000008</v>
      </c>
      <c r="S50" s="25">
        <f t="shared" si="47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  <c r="V50">
        <v>0.8</v>
      </c>
    </row>
    <row r="51" spans="1:24" x14ac:dyDescent="0.25">
      <c r="A51" s="21">
        <f t="shared" si="9"/>
        <v>2.8440000000000014E-2</v>
      </c>
      <c r="C51" s="2">
        <v>5</v>
      </c>
      <c r="D51" s="2">
        <v>3</v>
      </c>
      <c r="E51" s="5" t="s">
        <v>64</v>
      </c>
      <c r="F51" s="2">
        <f t="shared" si="10"/>
        <v>12.52844</v>
      </c>
      <c r="G51" s="32">
        <f t="shared" si="43"/>
        <v>12.528439999999996</v>
      </c>
      <c r="H51" s="2">
        <f t="shared" si="44"/>
        <v>2.004550399999999</v>
      </c>
      <c r="I51" s="2">
        <f t="shared" si="42"/>
        <v>0.50113759999999974</v>
      </c>
      <c r="J51" s="2">
        <f t="shared" si="42"/>
        <v>22.551192</v>
      </c>
      <c r="K51" s="10">
        <f>1-((1-(I51/G51))/INDEX($P$2:$P$6,C51))</f>
        <v>-1.56</v>
      </c>
      <c r="L51" s="10">
        <f t="shared" si="45"/>
        <v>3</v>
      </c>
      <c r="M51" s="10">
        <v>0</v>
      </c>
      <c r="N51" s="2">
        <f t="shared" si="46"/>
        <v>12.528439999999996</v>
      </c>
      <c r="O51" s="2">
        <f t="shared" si="48"/>
        <v>265.30814117647049</v>
      </c>
      <c r="P51" s="2">
        <f t="shared" si="49"/>
        <v>442.18023529411755</v>
      </c>
      <c r="Q51" s="2">
        <f>(AVERAGE(VLOOKUP(E51,weapon_components!$A$8:$M$178,9,0),VLOOKUP(E51,weapon_components!$A$8:$M$178,10,0))+VLOOKUP(E51,weapon_components!$A$8:$M$178,11,0))/10</f>
        <v>3.6</v>
      </c>
      <c r="R51" s="32">
        <f t="shared" si="15"/>
        <v>0.51</v>
      </c>
      <c r="S51" s="25">
        <f t="shared" si="47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  <c r="V51">
        <v>0.75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4" x14ac:dyDescent="0.25">
      <c r="A53" s="21">
        <f t="shared" si="9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19.841239999999999</v>
      </c>
      <c r="G53" s="32">
        <f>IF(G$52=1,H53,H53/(R53-INDEX($O$2:$O$6,C53)))</f>
        <v>29.761859999999999</v>
      </c>
      <c r="H53" s="2">
        <f>$F53*(INDEX($F$3:$F$5,H$9)+(($C53+($D53*$F$7))*INDEX($G$3:$G$5,H$9)))</f>
        <v>29.761859999999999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>1-((1-(I53/G53))/INDEX($P$2:$P$6,C53))</f>
        <v>-1.2564102564102564</v>
      </c>
      <c r="L53" s="10">
        <f>(INDEX($Q$2:$Q$6,C53)/((1/INDEX($F$4:$F$6,J$52))-1))</f>
        <v>7.2222222222222229E-2</v>
      </c>
      <c r="M53" s="10">
        <v>0</v>
      </c>
      <c r="N53" s="2">
        <f t="shared" ref="N53:N89" si="50">(AVERAGE(O53,P53)*R53)/Q53</f>
        <v>119.04743999999999</v>
      </c>
      <c r="O53" s="2">
        <f>0.75*(((G53*INDEX($R$1:$R$3,$D53+2))*Q53)/R53)</f>
        <v>602.67766499999993</v>
      </c>
      <c r="P53" s="2">
        <f>1.25*(((G53*INDEX($R$1:$R$3,$D53+2))*Q53)/R53)</f>
        <v>1004.462775</v>
      </c>
      <c r="Q53" s="2">
        <f>(AVERAGE(VLOOKUP(E53,weapon_components!$A$8:$M$178,9,0),VLOOKUP(E53,weapon_components!$A$8:$M$178,10,0))+VLOOKUP(E53,weapon_components!$A$8:$M$178,11,0))/10</f>
        <v>6.75</v>
      </c>
      <c r="R53" s="32">
        <f t="shared" si="15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  <c r="V53">
        <v>0.95</v>
      </c>
    </row>
    <row r="54" spans="1:24" x14ac:dyDescent="0.25">
      <c r="A54" s="21">
        <f t="shared" si="9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24.81532</v>
      </c>
      <c r="G54" s="32">
        <f>IF(G$52=1,H54,H54/(R54-INDEX($O$2:$O$6,C54)))</f>
        <v>39.704512000000001</v>
      </c>
      <c r="H54" s="2">
        <f t="shared" ref="H54:J75" si="51">$F54*(INDEX($F$3:$F$5,H$9)+(($C54+($D54*$F$7))*INDEX($G$3:$G$5,H$9)))</f>
        <v>39.704512000000001</v>
      </c>
      <c r="I54" s="2">
        <f t="shared" si="51"/>
        <v>7.9409023999999988</v>
      </c>
      <c r="J54" s="2">
        <f t="shared" si="51"/>
        <v>1.9852255999999997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50"/>
        <v>158.81804799999998</v>
      </c>
      <c r="O54" s="2">
        <f>0.75*(((G54*INDEX($R$1:$R$3,$D54+2))*Q54)/R54)</f>
        <v>804.01636799999994</v>
      </c>
      <c r="P54" s="2">
        <f>1.25*(((G54*INDEX($R$1:$R$3,$D54+2))*Q54)/R54)</f>
        <v>1340.0272799999998</v>
      </c>
      <c r="Q54" s="2">
        <f>(AVERAGE(VLOOKUP(E54,weapon_components!$A$8:$M$178,9,0),VLOOKUP(E54,weapon_components!$A$8:$M$178,10,0))+VLOOKUP(E54,weapon_components!$A$8:$M$178,11,0))/10</f>
        <v>6.75</v>
      </c>
      <c r="R54" s="32">
        <f t="shared" si="15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  <c r="V54">
        <v>0.95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32">
        <f>IF(G$55=1,H56,H56/(R56-INDEX($O$2:$O$6,C56)))</f>
        <v>2.5270000000000001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2">1-((1-(I56/G56))/INDEX($P$2:$P$6,C56))</f>
        <v>-19</v>
      </c>
      <c r="L56" s="10">
        <v>0</v>
      </c>
      <c r="M56" s="10">
        <v>1</v>
      </c>
      <c r="N56" s="2">
        <f t="shared" si="50"/>
        <v>2.5270000000000001</v>
      </c>
      <c r="O56" s="2">
        <f t="shared" ref="O56:O70" si="53">0.75*(((G56*INDEX($R$1:$R$3,$D56+2))*Q56)/R56)</f>
        <v>8.169181034482758</v>
      </c>
      <c r="P56" s="2">
        <f t="shared" ref="P56:P70" si="54">1.25*(((G56*INDEX($R$1:$R$3,$D56+2))*Q56)/R56)</f>
        <v>13.615301724137929</v>
      </c>
      <c r="Q56" s="2">
        <f>(AVERAGE(VLOOKUP(E56,weapon_components!$A$8:$M$178,9,0),VLOOKUP(E56,weapon_components!$A$8:$M$178,10,0))+VLOOKUP(E56,weapon_components!$A$8:$M$178,11,0))/10</f>
        <v>3.75</v>
      </c>
      <c r="R56" s="32">
        <f t="shared" si="15"/>
        <v>0.87000000000000011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  <c r="V56">
        <v>0.76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32">
        <f t="shared" ref="G57:G72" si="55">IF(G$55=1,H57,H57/(R57-INDEX($O$2:$O$6,C57)))</f>
        <v>2.5000000000000004</v>
      </c>
      <c r="H57" s="2">
        <f>$F57*(0.68-(0.12*$D57))</f>
        <v>1.7000000000000002</v>
      </c>
      <c r="I57" s="2">
        <f t="shared" ref="I57:I70" si="56">$F57*(0.32+(0.12*D57))</f>
        <v>0.8</v>
      </c>
      <c r="J57" s="2">
        <f t="shared" ref="J57:J70" si="57">F57</f>
        <v>2.5</v>
      </c>
      <c r="K57" s="10">
        <f t="shared" si="52"/>
        <v>-16</v>
      </c>
      <c r="L57" s="10">
        <v>0</v>
      </c>
      <c r="M57" s="10">
        <v>1</v>
      </c>
      <c r="N57" s="2">
        <f t="shared" si="50"/>
        <v>5.0000000000000009</v>
      </c>
      <c r="O57" s="2">
        <f t="shared" si="53"/>
        <v>18.750000000000004</v>
      </c>
      <c r="P57" s="2">
        <f t="shared" si="54"/>
        <v>31.250000000000004</v>
      </c>
      <c r="Q57" s="2">
        <f>(AVERAGE(VLOOKUP(E57,weapon_components!$A$8:$M$178,9,0),VLOOKUP(E57,weapon_components!$A$8:$M$178,10,0))+VLOOKUP(E57,weapon_components!$A$8:$M$178,11,0))/10</f>
        <v>3.75</v>
      </c>
      <c r="R57" s="32">
        <f t="shared" si="15"/>
        <v>0.75</v>
      </c>
      <c r="S57" s="25">
        <f t="shared" ref="S57:S69" si="58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  <c r="V57">
        <v>0.72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32">
        <f t="shared" si="55"/>
        <v>2.4729999999999999</v>
      </c>
      <c r="H58" s="2">
        <f t="shared" ref="H58:H70" si="59">$F58*(0.68-(0.12*$D58))</f>
        <v>1.3848800000000001</v>
      </c>
      <c r="I58" s="2">
        <f t="shared" si="56"/>
        <v>1.08812</v>
      </c>
      <c r="J58" s="2">
        <f t="shared" si="57"/>
        <v>2.4729999999999999</v>
      </c>
      <c r="K58" s="10">
        <f t="shared" si="52"/>
        <v>-13.000000000000002</v>
      </c>
      <c r="L58" s="10">
        <v>0</v>
      </c>
      <c r="M58" s="10">
        <v>1</v>
      </c>
      <c r="N58" s="2">
        <f t="shared" si="50"/>
        <v>9.8919999999999995</v>
      </c>
      <c r="O58" s="2">
        <f t="shared" si="53"/>
        <v>44.160714285714278</v>
      </c>
      <c r="P58" s="2">
        <f t="shared" si="54"/>
        <v>73.601190476190453</v>
      </c>
      <c r="Q58" s="2">
        <f>(AVERAGE(VLOOKUP(E58,weapon_components!$A$8:$M$178,9,0),VLOOKUP(E58,weapon_components!$A$8:$M$178,10,0))+VLOOKUP(E58,weapon_components!$A$8:$M$178,11,0))/10</f>
        <v>3.75</v>
      </c>
      <c r="R58" s="32">
        <f t="shared" si="15"/>
        <v>0.63000000000000012</v>
      </c>
      <c r="S58" s="25">
        <f t="shared" si="58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  <c r="V58">
        <v>0.67</v>
      </c>
    </row>
    <row r="59" spans="1:24" x14ac:dyDescent="0.25">
      <c r="A59" s="21">
        <f t="shared" si="9"/>
        <v>1.4039999999999978E-2</v>
      </c>
      <c r="C59" s="2">
        <v>2</v>
      </c>
      <c r="D59" s="2">
        <v>-1</v>
      </c>
      <c r="E59" s="16" t="s">
        <v>72</v>
      </c>
      <c r="F59" s="2">
        <f t="shared" si="10"/>
        <v>5.0140399999999996</v>
      </c>
      <c r="G59" s="32">
        <f t="shared" si="55"/>
        <v>5.0140399999999996</v>
      </c>
      <c r="H59" s="2">
        <f t="shared" si="59"/>
        <v>4.0112319999999997</v>
      </c>
      <c r="I59" s="2">
        <f t="shared" si="56"/>
        <v>1.0028079999999999</v>
      </c>
      <c r="J59" s="2">
        <f t="shared" si="57"/>
        <v>5.0140399999999996</v>
      </c>
      <c r="K59" s="10">
        <f t="shared" si="52"/>
        <v>-3.4444444444444446</v>
      </c>
      <c r="L59" s="10">
        <v>0</v>
      </c>
      <c r="M59" s="10">
        <v>1</v>
      </c>
      <c r="N59" s="2">
        <f t="shared" si="50"/>
        <v>5.0140399999999996</v>
      </c>
      <c r="O59" s="2">
        <f t="shared" si="53"/>
        <v>15.002114361702127</v>
      </c>
      <c r="P59" s="2">
        <f t="shared" si="54"/>
        <v>25.003523936170211</v>
      </c>
      <c r="Q59" s="2">
        <f>(AVERAGE(VLOOKUP(E59,weapon_components!$A$8:$M$178,9,0),VLOOKUP(E59,weapon_components!$A$8:$M$178,10,0))+VLOOKUP(E59,weapon_components!$A$8:$M$178,11,0))/10</f>
        <v>3.75</v>
      </c>
      <c r="R59" s="32">
        <f t="shared" si="15"/>
        <v>0.94000000000000006</v>
      </c>
      <c r="S59" s="25">
        <f t="shared" si="58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  <c r="V59">
        <v>0.76</v>
      </c>
    </row>
    <row r="60" spans="1:24" x14ac:dyDescent="0.25">
      <c r="A60" s="21">
        <f t="shared" si="9"/>
        <v>-1.6200000000000016E-2</v>
      </c>
      <c r="C60" s="2">
        <v>2</v>
      </c>
      <c r="D60" s="2">
        <v>0</v>
      </c>
      <c r="E60" s="16" t="s">
        <v>73</v>
      </c>
      <c r="F60" s="2">
        <f t="shared" si="10"/>
        <v>4.9837999999999996</v>
      </c>
      <c r="G60" s="32">
        <f t="shared" si="55"/>
        <v>4.9837999999999996</v>
      </c>
      <c r="H60" s="2">
        <f t="shared" si="59"/>
        <v>3.3889839999999998</v>
      </c>
      <c r="I60" s="2">
        <f t="shared" si="56"/>
        <v>1.5948159999999998</v>
      </c>
      <c r="J60" s="2">
        <f t="shared" si="57"/>
        <v>4.9837999999999996</v>
      </c>
      <c r="K60" s="10">
        <f t="shared" si="52"/>
        <v>-2.7777777777777777</v>
      </c>
      <c r="L60" s="10">
        <v>0</v>
      </c>
      <c r="M60" s="10">
        <v>1</v>
      </c>
      <c r="N60" s="2">
        <f t="shared" si="50"/>
        <v>9.9675999999999991</v>
      </c>
      <c r="O60" s="2">
        <f t="shared" si="53"/>
        <v>34.187652439024383</v>
      </c>
      <c r="P60" s="2">
        <f t="shared" si="54"/>
        <v>56.9794207317073</v>
      </c>
      <c r="Q60" s="2">
        <f>(AVERAGE(VLOOKUP(E60,weapon_components!$A$8:$M$178,9,0),VLOOKUP(E60,weapon_components!$A$8:$M$178,10,0))+VLOOKUP(E60,weapon_components!$A$8:$M$178,11,0))/10</f>
        <v>3.75</v>
      </c>
      <c r="R60" s="32">
        <f t="shared" si="15"/>
        <v>0.82000000000000006</v>
      </c>
      <c r="S60" s="25">
        <f t="shared" si="58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  <c r="V60">
        <v>0.72</v>
      </c>
    </row>
    <row r="61" spans="1:24" x14ac:dyDescent="0.25">
      <c r="A61" s="21">
        <f t="shared" si="9"/>
        <v>-4.6440000000000016E-2</v>
      </c>
      <c r="C61" s="2">
        <v>2</v>
      </c>
      <c r="D61" s="2">
        <v>1</v>
      </c>
      <c r="E61" s="16" t="s">
        <v>74</v>
      </c>
      <c r="F61" s="2">
        <f t="shared" si="10"/>
        <v>4.9535600000000004</v>
      </c>
      <c r="G61" s="32">
        <f t="shared" si="55"/>
        <v>4.9535600000000004</v>
      </c>
      <c r="H61" s="2">
        <f t="shared" si="59"/>
        <v>2.7739936000000003</v>
      </c>
      <c r="I61" s="2">
        <f t="shared" si="56"/>
        <v>2.1795664000000001</v>
      </c>
      <c r="J61" s="2">
        <f t="shared" si="57"/>
        <v>4.9535600000000004</v>
      </c>
      <c r="K61" s="10">
        <f t="shared" si="52"/>
        <v>-2.1111111111111116</v>
      </c>
      <c r="L61" s="10">
        <v>0</v>
      </c>
      <c r="M61" s="10">
        <v>1</v>
      </c>
      <c r="N61" s="2">
        <f t="shared" si="50"/>
        <v>19.814239999999998</v>
      </c>
      <c r="O61" s="2">
        <f t="shared" si="53"/>
        <v>79.610785714285711</v>
      </c>
      <c r="P61" s="2">
        <f t="shared" si="54"/>
        <v>132.68464285714285</v>
      </c>
      <c r="Q61" s="2">
        <f>(AVERAGE(VLOOKUP(E61,weapon_components!$A$8:$M$178,9,0),VLOOKUP(E61,weapon_components!$A$8:$M$178,10,0))+VLOOKUP(E61,weapon_components!$A$8:$M$178,11,0))/10</f>
        <v>3.75</v>
      </c>
      <c r="R61" s="32">
        <f t="shared" si="15"/>
        <v>0.70000000000000007</v>
      </c>
      <c r="S61" s="25">
        <f t="shared" si="58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  <c r="V61">
        <v>0.67</v>
      </c>
    </row>
    <row r="62" spans="1:24" x14ac:dyDescent="0.25">
      <c r="A62" s="21">
        <f t="shared" si="9"/>
        <v>1.0799999999999983E-3</v>
      </c>
      <c r="C62" s="2">
        <v>3</v>
      </c>
      <c r="D62" s="2">
        <v>-1</v>
      </c>
      <c r="E62" s="16" t="s">
        <v>75</v>
      </c>
      <c r="F62" s="2">
        <f t="shared" si="10"/>
        <v>7.50108</v>
      </c>
      <c r="G62" s="32">
        <f t="shared" si="55"/>
        <v>7.5960303797468347</v>
      </c>
      <c r="H62" s="2">
        <f t="shared" si="59"/>
        <v>6.000864</v>
      </c>
      <c r="I62" s="2">
        <f t="shared" si="56"/>
        <v>1.500216</v>
      </c>
      <c r="J62" s="2">
        <f t="shared" si="57"/>
        <v>7.50108</v>
      </c>
      <c r="K62" s="10">
        <f t="shared" si="52"/>
        <v>-1.6750000000000003</v>
      </c>
      <c r="L62" s="10">
        <v>0</v>
      </c>
      <c r="M62" s="10">
        <v>1</v>
      </c>
      <c r="N62" s="2">
        <f t="shared" si="50"/>
        <v>7.5960303797468347</v>
      </c>
      <c r="O62" s="2">
        <f t="shared" si="53"/>
        <v>21.363835443037971</v>
      </c>
      <c r="P62" s="2">
        <f t="shared" si="54"/>
        <v>35.606392405063289</v>
      </c>
      <c r="Q62" s="2">
        <f>(AVERAGE(VLOOKUP(E62,weapon_components!$A$8:$M$178,9,0),VLOOKUP(E62,weapon_components!$A$8:$M$178,10,0))+VLOOKUP(E62,weapon_components!$A$8:$M$178,11,0))/10</f>
        <v>3.75</v>
      </c>
      <c r="R62" s="32">
        <f t="shared" si="15"/>
        <v>1</v>
      </c>
      <c r="S62" s="25">
        <f t="shared" si="58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  <c r="V62">
        <v>0.76</v>
      </c>
    </row>
    <row r="63" spans="1:24" x14ac:dyDescent="0.25">
      <c r="A63" s="21">
        <f t="shared" si="9"/>
        <v>-3.2399999999999991E-2</v>
      </c>
      <c r="C63" s="2">
        <v>3</v>
      </c>
      <c r="D63" s="2">
        <v>0</v>
      </c>
      <c r="E63" s="16" t="s">
        <v>76</v>
      </c>
      <c r="F63" s="2">
        <f t="shared" si="10"/>
        <v>7.4676</v>
      </c>
      <c r="G63" s="32">
        <f t="shared" si="55"/>
        <v>7.4675999999999982</v>
      </c>
      <c r="H63" s="2">
        <f t="shared" si="59"/>
        <v>5.0779680000000003</v>
      </c>
      <c r="I63" s="2">
        <f t="shared" si="56"/>
        <v>2.3896320000000002</v>
      </c>
      <c r="J63" s="2">
        <f t="shared" si="57"/>
        <v>7.4676</v>
      </c>
      <c r="K63" s="10">
        <f t="shared" si="52"/>
        <v>-1.2666666666666666</v>
      </c>
      <c r="L63" s="10">
        <v>0</v>
      </c>
      <c r="M63" s="10">
        <v>1</v>
      </c>
      <c r="N63" s="2">
        <f t="shared" si="50"/>
        <v>14.935199999999996</v>
      </c>
      <c r="O63" s="2">
        <f t="shared" si="53"/>
        <v>47.196910112359532</v>
      </c>
      <c r="P63" s="2">
        <f t="shared" si="54"/>
        <v>78.661516853932554</v>
      </c>
      <c r="Q63" s="2">
        <f>(AVERAGE(VLOOKUP(E63,weapon_components!$A$8:$M$178,9,0),VLOOKUP(E63,weapon_components!$A$8:$M$178,10,0))+VLOOKUP(E63,weapon_components!$A$8:$M$178,11,0))/10</f>
        <v>3.75</v>
      </c>
      <c r="R63" s="32">
        <f t="shared" si="15"/>
        <v>0.89000000000000012</v>
      </c>
      <c r="S63" s="25">
        <f t="shared" si="58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V63">
        <v>0.72</v>
      </c>
      <c r="X63" s="14"/>
    </row>
    <row r="64" spans="1:24" x14ac:dyDescent="0.25">
      <c r="A64" s="21">
        <f t="shared" si="9"/>
        <v>-6.587999999999998E-2</v>
      </c>
      <c r="C64" s="2">
        <v>3</v>
      </c>
      <c r="D64" s="2">
        <v>1</v>
      </c>
      <c r="E64" s="16" t="s">
        <v>77</v>
      </c>
      <c r="F64" s="2">
        <f t="shared" si="10"/>
        <v>7.4341200000000001</v>
      </c>
      <c r="G64" s="32">
        <f>IF(G$55=1,H64,H64/(R64-INDEX($O$2:$O$6,C64)))</f>
        <v>7.4341200000000001</v>
      </c>
      <c r="H64" s="2">
        <f t="shared" si="59"/>
        <v>4.1631072000000007</v>
      </c>
      <c r="I64" s="2">
        <f t="shared" si="56"/>
        <v>3.2710127999999998</v>
      </c>
      <c r="J64" s="2">
        <f t="shared" si="57"/>
        <v>7.4341200000000001</v>
      </c>
      <c r="K64" s="10">
        <f t="shared" si="52"/>
        <v>-0.86666666666666692</v>
      </c>
      <c r="L64" s="10">
        <v>0</v>
      </c>
      <c r="M64" s="10">
        <v>1</v>
      </c>
      <c r="N64" s="2">
        <f t="shared" si="50"/>
        <v>29.736479999999997</v>
      </c>
      <c r="O64" s="2">
        <f t="shared" si="53"/>
        <v>108.6153896103896</v>
      </c>
      <c r="P64" s="2">
        <f t="shared" si="54"/>
        <v>181.02564935064933</v>
      </c>
      <c r="Q64" s="2">
        <f>(AVERAGE(VLOOKUP(E64,weapon_components!$A$8:$M$178,9,0),VLOOKUP(E64,weapon_components!$A$8:$M$178,10,0))+VLOOKUP(E64,weapon_components!$A$8:$M$178,11,0))/10</f>
        <v>3.75</v>
      </c>
      <c r="R64" s="32">
        <f t="shared" si="15"/>
        <v>0.77</v>
      </c>
      <c r="S64" s="25">
        <f t="shared" si="58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  <c r="V64">
        <v>0.67</v>
      </c>
    </row>
    <row r="65" spans="1:22" x14ac:dyDescent="0.25">
      <c r="A65" s="21">
        <f t="shared" si="9"/>
        <v>-1.1879999999999981E-2</v>
      </c>
      <c r="C65" s="2">
        <v>4</v>
      </c>
      <c r="D65" s="2">
        <v>-1</v>
      </c>
      <c r="E65" s="16" t="s">
        <v>78</v>
      </c>
      <c r="F65" s="2">
        <f t="shared" si="10"/>
        <v>9.9881200000000003</v>
      </c>
      <c r="G65" s="32">
        <f t="shared" si="55"/>
        <v>11.097911111111111</v>
      </c>
      <c r="H65" s="2">
        <f t="shared" si="59"/>
        <v>7.9904960000000003</v>
      </c>
      <c r="I65" s="2">
        <f t="shared" si="56"/>
        <v>1.9976240000000001</v>
      </c>
      <c r="J65" s="2">
        <f t="shared" si="57"/>
        <v>9.9881200000000003</v>
      </c>
      <c r="K65" s="10">
        <f t="shared" si="52"/>
        <v>-1.523076923076923</v>
      </c>
      <c r="L65" s="10">
        <v>0</v>
      </c>
      <c r="M65" s="10">
        <v>1</v>
      </c>
      <c r="N65" s="2">
        <f t="shared" si="50"/>
        <v>11.097911111111111</v>
      </c>
      <c r="O65" s="2">
        <f t="shared" si="53"/>
        <v>31.212875000000004</v>
      </c>
      <c r="P65" s="2">
        <f t="shared" si="54"/>
        <v>52.021458333333335</v>
      </c>
      <c r="Q65" s="2">
        <f>(AVERAGE(VLOOKUP(E65,weapon_components!$A$8:$M$178,9,0),VLOOKUP(E65,weapon_components!$A$8:$M$178,10,0))+VLOOKUP(E65,weapon_components!$A$8:$M$178,11,0))/10</f>
        <v>3.75</v>
      </c>
      <c r="R65" s="32">
        <f t="shared" si="15"/>
        <v>1</v>
      </c>
      <c r="S65" s="25">
        <f t="shared" si="58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  <c r="V65">
        <v>0.76</v>
      </c>
    </row>
    <row r="66" spans="1:22" x14ac:dyDescent="0.25">
      <c r="A66" s="21">
        <f t="shared" si="9"/>
        <v>-4.859999999999999E-2</v>
      </c>
      <c r="C66" s="2">
        <v>4</v>
      </c>
      <c r="D66" s="2">
        <v>0</v>
      </c>
      <c r="E66" s="16" t="s">
        <v>79</v>
      </c>
      <c r="F66" s="2">
        <f t="shared" si="10"/>
        <v>9.9513999999999996</v>
      </c>
      <c r="G66" s="32">
        <f t="shared" si="55"/>
        <v>9.9513999999999996</v>
      </c>
      <c r="H66" s="2">
        <f t="shared" si="59"/>
        <v>6.7669519999999999</v>
      </c>
      <c r="I66" s="2">
        <f t="shared" si="56"/>
        <v>3.1844479999999997</v>
      </c>
      <c r="J66" s="2">
        <f t="shared" si="57"/>
        <v>9.9513999999999996</v>
      </c>
      <c r="K66" s="10">
        <f t="shared" si="52"/>
        <v>-1.092307692307692</v>
      </c>
      <c r="L66" s="10">
        <v>0</v>
      </c>
      <c r="M66" s="10">
        <v>1</v>
      </c>
      <c r="N66" s="2">
        <f t="shared" si="50"/>
        <v>19.902799999999999</v>
      </c>
      <c r="O66" s="2">
        <f t="shared" si="53"/>
        <v>58.308984374999987</v>
      </c>
      <c r="P66" s="2">
        <f t="shared" si="54"/>
        <v>97.181640624999972</v>
      </c>
      <c r="Q66" s="2">
        <f>(AVERAGE(VLOOKUP(E66,weapon_components!$A$8:$M$178,9,0),VLOOKUP(E66,weapon_components!$A$8:$M$178,10,0))+VLOOKUP(E66,weapon_components!$A$8:$M$178,11,0))/10</f>
        <v>3.75</v>
      </c>
      <c r="R66" s="32">
        <f t="shared" si="15"/>
        <v>0.96000000000000008</v>
      </c>
      <c r="S66" s="25">
        <f t="shared" si="58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  <c r="V66">
        <v>0.72</v>
      </c>
    </row>
    <row r="67" spans="1:22" x14ac:dyDescent="0.25">
      <c r="A67" s="21">
        <f t="shared" si="9"/>
        <v>-8.5319999999999993E-2</v>
      </c>
      <c r="C67" s="2">
        <v>4</v>
      </c>
      <c r="D67" s="2">
        <v>1</v>
      </c>
      <c r="E67" s="16" t="s">
        <v>80</v>
      </c>
      <c r="F67" s="2">
        <f t="shared" si="10"/>
        <v>9.9146800000000006</v>
      </c>
      <c r="G67" s="32">
        <f t="shared" si="55"/>
        <v>9.9146800000000006</v>
      </c>
      <c r="H67" s="2">
        <f t="shared" si="59"/>
        <v>5.5522208000000006</v>
      </c>
      <c r="I67" s="2">
        <f t="shared" si="56"/>
        <v>4.3624592</v>
      </c>
      <c r="J67" s="2">
        <f t="shared" si="57"/>
        <v>9.9146800000000006</v>
      </c>
      <c r="K67" s="10">
        <f t="shared" si="52"/>
        <v>-0.72307692307692317</v>
      </c>
      <c r="L67" s="10">
        <v>0</v>
      </c>
      <c r="M67" s="10">
        <v>1</v>
      </c>
      <c r="N67" s="2">
        <f t="shared" si="50"/>
        <v>39.658720000000002</v>
      </c>
      <c r="O67" s="2">
        <f t="shared" si="53"/>
        <v>132.78589285714287</v>
      </c>
      <c r="P67" s="2">
        <f t="shared" si="54"/>
        <v>221.30982142857141</v>
      </c>
      <c r="Q67" s="2">
        <f>(AVERAGE(VLOOKUP(E67,weapon_components!$A$8:$M$178,9,0),VLOOKUP(E67,weapon_components!$A$8:$M$178,10,0))+VLOOKUP(E67,weapon_components!$A$8:$M$178,11,0))/10</f>
        <v>3.75</v>
      </c>
      <c r="R67" s="32">
        <f t="shared" si="15"/>
        <v>0.84000000000000008</v>
      </c>
      <c r="S67" s="25">
        <f t="shared" si="58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  <c r="V67">
        <v>0.67</v>
      </c>
    </row>
    <row r="68" spans="1:22" x14ac:dyDescent="0.25">
      <c r="A68" s="21">
        <f t="shared" si="9"/>
        <v>-2.4840000000000004E-2</v>
      </c>
      <c r="C68" s="2">
        <v>5</v>
      </c>
      <c r="D68" s="2">
        <v>-1</v>
      </c>
      <c r="E68" s="16" t="s">
        <v>81</v>
      </c>
      <c r="F68" s="2">
        <f t="shared" si="10"/>
        <v>12.475160000000001</v>
      </c>
      <c r="G68" s="32">
        <f t="shared" si="55"/>
        <v>15.35404307692308</v>
      </c>
      <c r="H68" s="2">
        <f t="shared" si="59"/>
        <v>9.9801280000000006</v>
      </c>
      <c r="I68" s="2">
        <f t="shared" si="56"/>
        <v>2.4950320000000001</v>
      </c>
      <c r="J68" s="2">
        <f t="shared" si="57"/>
        <v>12.475160000000001</v>
      </c>
      <c r="K68" s="10">
        <f t="shared" si="52"/>
        <v>-1.2333333333333334</v>
      </c>
      <c r="L68" s="10">
        <v>0</v>
      </c>
      <c r="M68" s="10">
        <v>1</v>
      </c>
      <c r="N68" s="2">
        <f t="shared" si="50"/>
        <v>15.354043076923082</v>
      </c>
      <c r="O68" s="2">
        <f t="shared" si="53"/>
        <v>43.183246153846163</v>
      </c>
      <c r="P68" s="2">
        <f t="shared" si="54"/>
        <v>71.972076923076941</v>
      </c>
      <c r="Q68" s="2">
        <f>(AVERAGE(VLOOKUP(E68,weapon_components!$A$8:$M$178,9,0),VLOOKUP(E68,weapon_components!$A$8:$M$178,10,0))+VLOOKUP(E68,weapon_components!$A$8:$M$178,11,0))/10</f>
        <v>3.75</v>
      </c>
      <c r="R68" s="32">
        <f t="shared" si="15"/>
        <v>1</v>
      </c>
      <c r="S68" s="25">
        <f t="shared" si="58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  <c r="V68">
        <v>0.76</v>
      </c>
    </row>
    <row r="69" spans="1:22" x14ac:dyDescent="0.25">
      <c r="A69" s="21">
        <f t="shared" si="9"/>
        <v>-6.4799999999999983E-2</v>
      </c>
      <c r="C69" s="2">
        <v>5</v>
      </c>
      <c r="D69" s="2">
        <v>0</v>
      </c>
      <c r="E69" s="16" t="s">
        <v>82</v>
      </c>
      <c r="F69" s="2">
        <f t="shared" si="10"/>
        <v>12.4352</v>
      </c>
      <c r="G69" s="32">
        <f t="shared" si="55"/>
        <v>13.009132307692312</v>
      </c>
      <c r="H69" s="2">
        <f>$F69*(0.68-(0.12*$D69))</f>
        <v>8.4559360000000012</v>
      </c>
      <c r="I69" s="2">
        <f t="shared" si="56"/>
        <v>3.9792640000000001</v>
      </c>
      <c r="J69" s="2">
        <f t="shared" si="57"/>
        <v>12.4352</v>
      </c>
      <c r="K69" s="10">
        <f t="shared" si="52"/>
        <v>-0.85098039215686305</v>
      </c>
      <c r="L69" s="10">
        <v>0</v>
      </c>
      <c r="M69" s="10">
        <v>1</v>
      </c>
      <c r="N69" s="2">
        <f t="shared" si="50"/>
        <v>26.018264615384624</v>
      </c>
      <c r="O69" s="2">
        <f t="shared" si="53"/>
        <v>73.176369230769254</v>
      </c>
      <c r="P69" s="2">
        <f t="shared" si="54"/>
        <v>121.96061538461542</v>
      </c>
      <c r="Q69" s="2">
        <f>(AVERAGE(VLOOKUP(E69,weapon_components!$A$8:$M$178,9,0),VLOOKUP(E69,weapon_components!$A$8:$M$178,10,0))+VLOOKUP(E69,weapon_components!$A$8:$M$178,11,0))/10</f>
        <v>3.75</v>
      </c>
      <c r="R69" s="32">
        <f t="shared" si="15"/>
        <v>1</v>
      </c>
      <c r="S69" s="25">
        <f t="shared" si="58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  <c r="V69">
        <v>0.72</v>
      </c>
    </row>
    <row r="70" spans="1:22" x14ac:dyDescent="0.25">
      <c r="A70" s="21">
        <f t="shared" si="9"/>
        <v>-0.10476000000000001</v>
      </c>
      <c r="C70" s="2">
        <v>5</v>
      </c>
      <c r="D70" s="2">
        <v>1</v>
      </c>
      <c r="E70" s="16" t="s">
        <v>83</v>
      </c>
      <c r="F70" s="2">
        <f t="shared" si="10"/>
        <v>12.395239999999999</v>
      </c>
      <c r="G70" s="32">
        <f t="shared" si="55"/>
        <v>12.395239999999999</v>
      </c>
      <c r="H70" s="2">
        <f t="shared" si="59"/>
        <v>6.9413344000000006</v>
      </c>
      <c r="I70" s="2">
        <f t="shared" si="56"/>
        <v>5.4539055999999997</v>
      </c>
      <c r="J70" s="2">
        <f t="shared" si="57"/>
        <v>12.395239999999999</v>
      </c>
      <c r="K70" s="10">
        <f t="shared" si="52"/>
        <v>-0.4933333333333334</v>
      </c>
      <c r="L70" s="10">
        <v>0</v>
      </c>
      <c r="M70" s="10">
        <v>1</v>
      </c>
      <c r="N70" s="2">
        <f t="shared" si="50"/>
        <v>49.580959999999997</v>
      </c>
      <c r="O70" s="2">
        <f t="shared" si="53"/>
        <v>153.23785714285711</v>
      </c>
      <c r="P70" s="2">
        <f t="shared" si="54"/>
        <v>255.39642857142852</v>
      </c>
      <c r="Q70" s="2">
        <f>(AVERAGE(VLOOKUP(E70,weapon_components!$A$8:$M$178,9,0),VLOOKUP(E70,weapon_components!$A$8:$M$178,10,0))+VLOOKUP(E70,weapon_components!$A$8:$M$178,11,0))/10</f>
        <v>3.75</v>
      </c>
      <c r="R70" s="32">
        <f t="shared" si="15"/>
        <v>0.91000000000000014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  <c r="V70">
        <v>0.67</v>
      </c>
    </row>
    <row r="71" spans="1:22" x14ac:dyDescent="0.25">
      <c r="A71" s="21">
        <f t="shared" si="9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9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60">($F$2+(C72*$F$1))*(B72+1)</f>
        <v>20</v>
      </c>
      <c r="G72" s="32">
        <f>IF(G$71=1,H72,H72/(R72-INDEX($O$2:$O$6,C72)))</f>
        <v>41.666666666666671</v>
      </c>
      <c r="H72" s="26">
        <f>$F72*(INDEX($F$3:$F$5,H$71)+(($C72+($D72*$F$7))*INDEX($G$3:$G$5,H$71)))</f>
        <v>30</v>
      </c>
      <c r="I72" s="26">
        <f t="shared" ref="I72:J73" si="61">$F72*(INDEX($F$3:$F$5,I$71)+(($C72+($D72*$F$7))*INDEX($G$3:$G$5,I$71)))</f>
        <v>1.9999999999999998</v>
      </c>
      <c r="J72" s="26">
        <f t="shared" si="61"/>
        <v>1.9999999999999998</v>
      </c>
      <c r="K72" s="10">
        <f>1-((1-(I72/G72))/INDEX($P$2:$P$6,C72))</f>
        <v>-1.9292307692307689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166.66666666666669</v>
      </c>
      <c r="O72" s="2">
        <f>0.75*(((G72*INDEX($R$1:$R$3,$D72+2))*Q72)/R72)</f>
        <v>1250.0000000000002</v>
      </c>
      <c r="P72" s="2">
        <f>1.25*(((G72*INDEX($R$1:$R$3,$D72+2))*Q72)/R72)</f>
        <v>2083.3333333333339</v>
      </c>
      <c r="Q72" s="2">
        <v>10</v>
      </c>
      <c r="R72" s="32">
        <f t="shared" si="15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  <c r="V72">
        <v>0.7</v>
      </c>
    </row>
    <row r="73" spans="1:22" x14ac:dyDescent="0.25">
      <c r="A73" s="21">
        <f t="shared" si="9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32">
        <f>IF(G$71=1,H73,H73/(R73-INDEX($O$2:$O$6,C73)))</f>
        <v>61.538461538461547</v>
      </c>
      <c r="H73" s="26">
        <f>$F73*(INDEX($F$3:$F$5,H$71)+(($C73+($D73*$F$7))*INDEX($G$3:$G$5,H$71)))</f>
        <v>40</v>
      </c>
      <c r="I73" s="26">
        <f t="shared" si="61"/>
        <v>1.9999999999999998</v>
      </c>
      <c r="J73" s="26">
        <f t="shared" si="61"/>
        <v>1.9999999999999998</v>
      </c>
      <c r="K73" s="10">
        <f>1-((1-(I73/G73))/INDEX($P$2:$P$6,C73))</f>
        <v>-1.58</v>
      </c>
      <c r="L73" s="10">
        <f>(INDEX($Q$2:$Q$6,C73)/((1/INDEX($F$4:$F$6,J$71))-1))</f>
        <v>8.3333333333333329E-2</v>
      </c>
      <c r="M73" s="10">
        <v>0</v>
      </c>
      <c r="N73" s="2">
        <f t="shared" si="50"/>
        <v>246.15384615384619</v>
      </c>
      <c r="O73" s="2">
        <f>0.75*(((G73*INDEX($R$1:$R$3,$D73+2))*Q73)/R73)</f>
        <v>1846.1538461538464</v>
      </c>
      <c r="P73" s="2">
        <f>1.25*(((G73*INDEX($R$1:$R$3,$D73+2))*Q73)/R73)</f>
        <v>3076.9230769230771</v>
      </c>
      <c r="Q73" s="2">
        <v>10</v>
      </c>
      <c r="R73" s="32">
        <f t="shared" si="15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  <c r="V73">
        <v>0.7</v>
      </c>
    </row>
    <row r="74" spans="1:22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9"/>
        <v>1.0799999999999983E-3</v>
      </c>
      <c r="C75" s="2">
        <v>3</v>
      </c>
      <c r="D75" s="2">
        <v>-1</v>
      </c>
      <c r="E75" s="16" t="s">
        <v>88</v>
      </c>
      <c r="F75" s="2">
        <f t="shared" si="60"/>
        <v>7.5</v>
      </c>
      <c r="G75" s="32">
        <f>IF(G$74=1,H75,H75/(R75-INDEX($O$2:$O$6,C75)))</f>
        <v>7.5</v>
      </c>
      <c r="H75" s="2">
        <f>$F75*(0.32-(0.12*$D75))</f>
        <v>3.3</v>
      </c>
      <c r="I75" s="2">
        <f>$F75*(0.68+(0.12*D75))</f>
        <v>4.2</v>
      </c>
      <c r="J75" s="2">
        <f t="shared" si="51"/>
        <v>1.2</v>
      </c>
      <c r="K75" s="10">
        <f t="shared" si="25"/>
        <v>-0.46666666666666656</v>
      </c>
      <c r="L75" s="10">
        <v>0</v>
      </c>
      <c r="M75" s="10">
        <v>1</v>
      </c>
      <c r="N75" s="2">
        <f t="shared" si="50"/>
        <v>7.5</v>
      </c>
      <c r="O75" s="2">
        <f t="shared" ref="O75:O83" si="62">0.75*(((G75*INDEX($R$1:$R$3,$D75+2))*Q75)/R75)</f>
        <v>27.259615384615387</v>
      </c>
      <c r="P75" s="2">
        <f t="shared" ref="P75:P83" si="63">1.25*(((G75*INDEX($R$1:$R$3,$D75+2))*Q75)/R75)</f>
        <v>45.432692307692307</v>
      </c>
      <c r="Q75" s="2">
        <f>(AVERAGE(VLOOKUP(E75,weapon_components!$A$8:$M$178,9,0),VLOOKUP(E75,weapon_components!$A$8:$M$178,10,0))+VLOOKUP(E75,weapon_components!$A$8:$M$178,11,0))/10</f>
        <v>3.15</v>
      </c>
      <c r="R75" s="32">
        <f t="shared" si="15"/>
        <v>0.65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  <c r="V75">
        <v>0.82</v>
      </c>
    </row>
    <row r="76" spans="1:22" x14ac:dyDescent="0.25">
      <c r="A76" s="21">
        <f t="shared" ref="A76:A119" si="64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5">($F$2+(C76*$F$1))*(B76+1)</f>
        <v>7.5</v>
      </c>
      <c r="G76" s="32">
        <f t="shared" ref="G76:G85" si="66">IF(G$74=1,H76,H76/(R76-INDEX($O$2:$O$6,C76)))</f>
        <v>7.5</v>
      </c>
      <c r="H76" s="2">
        <f t="shared" ref="H76:H83" si="67">$F76*(0.32-(0.12*$D76))</f>
        <v>2.4</v>
      </c>
      <c r="I76" s="2">
        <f t="shared" ref="I76:I83" si="68">$F76*(0.68+(0.12*D76))</f>
        <v>5.1000000000000005</v>
      </c>
      <c r="J76" s="2">
        <f t="shared" ref="H76:J86" si="69">$F76*(INDEX($F$3:$F$5,J$9)+(($C76+($D76*$F$7))*INDEX($G$3:$G$5,J$9)))</f>
        <v>1.05</v>
      </c>
      <c r="K76" s="10">
        <f t="shared" si="25"/>
        <v>-6.6666666666666652E-2</v>
      </c>
      <c r="L76" s="10">
        <v>0</v>
      </c>
      <c r="M76" s="10">
        <v>1</v>
      </c>
      <c r="N76" s="2">
        <f t="shared" si="50"/>
        <v>15</v>
      </c>
      <c r="O76" s="2">
        <f t="shared" si="62"/>
        <v>66.863207547169807</v>
      </c>
      <c r="P76" s="2">
        <f t="shared" si="63"/>
        <v>111.43867924528301</v>
      </c>
      <c r="Q76" s="2">
        <f>(AVERAGE(VLOOKUP(E76,weapon_components!$A$8:$M$178,9,0),VLOOKUP(E76,weapon_components!$A$8:$M$178,10,0))+VLOOKUP(E76,weapon_components!$A$8:$M$178,11,0))/10</f>
        <v>3.15</v>
      </c>
      <c r="R76" s="32">
        <f t="shared" si="15"/>
        <v>0.53</v>
      </c>
      <c r="S76" s="25">
        <f t="shared" ref="S76:S83" si="70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  <c r="V76">
        <v>0.8</v>
      </c>
    </row>
    <row r="77" spans="1:22" x14ac:dyDescent="0.25">
      <c r="A77" s="21">
        <f t="shared" si="64"/>
        <v>-6.587999999999998E-2</v>
      </c>
      <c r="C77" s="2">
        <v>3</v>
      </c>
      <c r="D77" s="2">
        <v>1</v>
      </c>
      <c r="E77" s="16" t="s">
        <v>90</v>
      </c>
      <c r="F77" s="2">
        <f t="shared" si="65"/>
        <v>7.5</v>
      </c>
      <c r="G77" s="32">
        <f t="shared" si="66"/>
        <v>7.5</v>
      </c>
      <c r="H77" s="2">
        <f t="shared" si="67"/>
        <v>1.5</v>
      </c>
      <c r="I77" s="2">
        <f t="shared" si="68"/>
        <v>6</v>
      </c>
      <c r="J77" s="2">
        <f t="shared" si="69"/>
        <v>0.89999999999999991</v>
      </c>
      <c r="K77" s="10">
        <f t="shared" si="25"/>
        <v>0.33333333333333348</v>
      </c>
      <c r="L77" s="10">
        <v>0</v>
      </c>
      <c r="M77" s="10">
        <v>1</v>
      </c>
      <c r="N77" s="2">
        <f t="shared" si="50"/>
        <v>29.999999999999996</v>
      </c>
      <c r="O77" s="2">
        <f t="shared" si="62"/>
        <v>172.86585365853657</v>
      </c>
      <c r="P77" s="2">
        <f t="shared" si="63"/>
        <v>288.10975609756093</v>
      </c>
      <c r="Q77" s="2">
        <f>(AVERAGE(VLOOKUP(E77,weapon_components!$A$8:$M$178,9,0),VLOOKUP(E77,weapon_components!$A$8:$M$178,10,0))+VLOOKUP(E77,weapon_components!$A$8:$M$178,11,0))/10</f>
        <v>3.15</v>
      </c>
      <c r="R77" s="32">
        <f t="shared" ref="R77:R119" si="71">IF((H77/F77)+INDEX($O$2:$O$6,$C77)&gt;1,1,(H77/F77)+INDEX($O$2:$O$6,$C77))</f>
        <v>0.41000000000000003</v>
      </c>
      <c r="S77" s="25">
        <f t="shared" si="70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  <c r="V77">
        <v>0.75</v>
      </c>
    </row>
    <row r="78" spans="1:22" x14ac:dyDescent="0.25">
      <c r="A78" s="21">
        <f t="shared" si="64"/>
        <v>-1.1879999999999981E-2</v>
      </c>
      <c r="C78" s="2">
        <v>4</v>
      </c>
      <c r="D78" s="2">
        <v>-1</v>
      </c>
      <c r="E78" s="16" t="s">
        <v>91</v>
      </c>
      <c r="F78" s="2">
        <f t="shared" si="65"/>
        <v>10</v>
      </c>
      <c r="G78" s="32">
        <f t="shared" si="66"/>
        <v>10</v>
      </c>
      <c r="H78" s="2">
        <f t="shared" si="67"/>
        <v>4.4000000000000004</v>
      </c>
      <c r="I78" s="2">
        <f t="shared" si="68"/>
        <v>5.6000000000000005</v>
      </c>
      <c r="J78" s="2">
        <f t="shared" si="69"/>
        <v>1.4000000000000001</v>
      </c>
      <c r="K78" s="10">
        <f t="shared" si="25"/>
        <v>-0.3538461538461537</v>
      </c>
      <c r="L78" s="10">
        <v>0</v>
      </c>
      <c r="M78" s="10">
        <v>1</v>
      </c>
      <c r="N78" s="2">
        <f t="shared" si="50"/>
        <v>10</v>
      </c>
      <c r="O78" s="2">
        <f t="shared" si="62"/>
        <v>32.812499999999993</v>
      </c>
      <c r="P78" s="2">
        <f t="shared" si="63"/>
        <v>54.687499999999993</v>
      </c>
      <c r="Q78" s="2">
        <f>(AVERAGE(VLOOKUP(E78,weapon_components!$A$8:$M$178,9,0),VLOOKUP(E78,weapon_components!$A$8:$M$178,10,0))+VLOOKUP(E78,weapon_components!$A$8:$M$178,11,0))/10</f>
        <v>3.15</v>
      </c>
      <c r="R78" s="32">
        <f t="shared" si="71"/>
        <v>0.72000000000000008</v>
      </c>
      <c r="S78" s="25">
        <f t="shared" si="70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  <c r="V78">
        <v>0.82</v>
      </c>
    </row>
    <row r="79" spans="1:22" x14ac:dyDescent="0.25">
      <c r="A79" s="21">
        <f t="shared" si="64"/>
        <v>-4.859999999999999E-2</v>
      </c>
      <c r="C79" s="2">
        <v>4</v>
      </c>
      <c r="D79" s="2">
        <v>0</v>
      </c>
      <c r="E79" s="16" t="s">
        <v>92</v>
      </c>
      <c r="F79" s="2">
        <f t="shared" si="65"/>
        <v>10</v>
      </c>
      <c r="G79" s="32">
        <f t="shared" si="66"/>
        <v>9.9999999999999982</v>
      </c>
      <c r="H79" s="2">
        <f t="shared" si="67"/>
        <v>3.2</v>
      </c>
      <c r="I79" s="2">
        <f t="shared" si="68"/>
        <v>6.8000000000000007</v>
      </c>
      <c r="J79" s="2">
        <f t="shared" si="69"/>
        <v>1.2</v>
      </c>
      <c r="K79" s="10">
        <f t="shared" si="25"/>
        <v>1.5384615384615885E-2</v>
      </c>
      <c r="L79" s="10">
        <v>0</v>
      </c>
      <c r="M79" s="10">
        <v>1</v>
      </c>
      <c r="N79" s="2">
        <f t="shared" si="50"/>
        <v>19.999999999999996</v>
      </c>
      <c r="O79" s="2">
        <f t="shared" si="62"/>
        <v>78.749999999999972</v>
      </c>
      <c r="P79" s="2">
        <f t="shared" si="63"/>
        <v>131.24999999999994</v>
      </c>
      <c r="Q79" s="2">
        <f>(AVERAGE(VLOOKUP(E79,weapon_components!$A$8:$M$178,9,0),VLOOKUP(E79,weapon_components!$A$8:$M$178,10,0))+VLOOKUP(E79,weapon_components!$A$8:$M$178,11,0))/10</f>
        <v>3.15</v>
      </c>
      <c r="R79" s="32">
        <f t="shared" si="71"/>
        <v>0.60000000000000009</v>
      </c>
      <c r="S79" s="25">
        <f t="shared" si="70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  <c r="V79">
        <v>0.8</v>
      </c>
    </row>
    <row r="80" spans="1:22" x14ac:dyDescent="0.25">
      <c r="A80" s="21">
        <f t="shared" si="64"/>
        <v>-8.5319999999999993E-2</v>
      </c>
      <c r="C80" s="2">
        <v>4</v>
      </c>
      <c r="D80" s="2">
        <v>1</v>
      </c>
      <c r="E80" s="16" t="s">
        <v>93</v>
      </c>
      <c r="F80" s="2">
        <f t="shared" si="65"/>
        <v>10</v>
      </c>
      <c r="G80" s="32">
        <f t="shared" si="66"/>
        <v>10</v>
      </c>
      <c r="H80" s="2">
        <f t="shared" si="67"/>
        <v>2</v>
      </c>
      <c r="I80" s="2">
        <f t="shared" si="68"/>
        <v>8</v>
      </c>
      <c r="J80" s="2">
        <f t="shared" si="69"/>
        <v>0.99999999999999989</v>
      </c>
      <c r="K80" s="10">
        <f t="shared" si="25"/>
        <v>0.3846153846153848</v>
      </c>
      <c r="L80" s="10">
        <v>0</v>
      </c>
      <c r="M80" s="10">
        <v>1</v>
      </c>
      <c r="N80" s="2">
        <f t="shared" si="50"/>
        <v>40.000000000000007</v>
      </c>
      <c r="O80" s="2">
        <f t="shared" si="62"/>
        <v>196.875</v>
      </c>
      <c r="P80" s="2">
        <f t="shared" si="63"/>
        <v>328.125</v>
      </c>
      <c r="Q80" s="2">
        <f>(AVERAGE(VLOOKUP(E80,weapon_components!$A$8:$M$178,9,0),VLOOKUP(E80,weapon_components!$A$8:$M$178,10,0))+VLOOKUP(E80,weapon_components!$A$8:$M$178,11,0))/10</f>
        <v>3.15</v>
      </c>
      <c r="R80" s="32">
        <f t="shared" si="71"/>
        <v>0.48000000000000004</v>
      </c>
      <c r="S80" s="25">
        <f t="shared" si="70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  <c r="V80">
        <v>0.75</v>
      </c>
    </row>
    <row r="81" spans="1:22" x14ac:dyDescent="0.25">
      <c r="A81" s="21">
        <f t="shared" si="64"/>
        <v>-2.4840000000000004E-2</v>
      </c>
      <c r="C81" s="2">
        <v>5</v>
      </c>
      <c r="D81" s="2">
        <v>-1</v>
      </c>
      <c r="E81" s="16" t="s">
        <v>94</v>
      </c>
      <c r="F81" s="2">
        <f t="shared" si="65"/>
        <v>12.5</v>
      </c>
      <c r="G81" s="32">
        <f t="shared" si="66"/>
        <v>12.5</v>
      </c>
      <c r="H81" s="2">
        <f t="shared" si="67"/>
        <v>5.5</v>
      </c>
      <c r="I81" s="2">
        <f t="shared" si="68"/>
        <v>7.0000000000000009</v>
      </c>
      <c r="J81" s="2">
        <f t="shared" si="69"/>
        <v>1.5</v>
      </c>
      <c r="K81" s="10">
        <f t="shared" si="25"/>
        <v>-0.17333333333333312</v>
      </c>
      <c r="L81" s="10">
        <v>0</v>
      </c>
      <c r="M81" s="10">
        <v>1</v>
      </c>
      <c r="N81" s="2">
        <f t="shared" si="50"/>
        <v>12.5</v>
      </c>
      <c r="O81" s="2">
        <f t="shared" si="62"/>
        <v>37.381329113924046</v>
      </c>
      <c r="P81" s="2">
        <f t="shared" si="63"/>
        <v>62.302215189873415</v>
      </c>
      <c r="Q81" s="2">
        <f>(AVERAGE(VLOOKUP(E81,weapon_components!$A$8:$M$178,9,0),VLOOKUP(E81,weapon_components!$A$8:$M$178,10,0))+VLOOKUP(E81,weapon_components!$A$8:$M$178,11,0))/10</f>
        <v>3.15</v>
      </c>
      <c r="R81" s="32">
        <f t="shared" si="71"/>
        <v>0.79</v>
      </c>
      <c r="S81" s="25">
        <f t="shared" si="70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  <c r="V81">
        <v>0.82</v>
      </c>
    </row>
    <row r="82" spans="1:22" x14ac:dyDescent="0.25">
      <c r="A82" s="21">
        <f t="shared" si="64"/>
        <v>-6.4799999999999983E-2</v>
      </c>
      <c r="C82" s="2">
        <v>5</v>
      </c>
      <c r="D82" s="2">
        <v>0</v>
      </c>
      <c r="E82" s="16" t="s">
        <v>95</v>
      </c>
      <c r="F82" s="2">
        <f t="shared" si="65"/>
        <v>12.5</v>
      </c>
      <c r="G82" s="32">
        <f t="shared" si="66"/>
        <v>12.5</v>
      </c>
      <c r="H82" s="2">
        <f t="shared" si="67"/>
        <v>4</v>
      </c>
      <c r="I82" s="2">
        <f t="shared" si="68"/>
        <v>8.5</v>
      </c>
      <c r="J82" s="2">
        <f t="shared" si="69"/>
        <v>1.25</v>
      </c>
      <c r="K82" s="10">
        <f t="shared" si="25"/>
        <v>0.14666666666666683</v>
      </c>
      <c r="L82" s="10">
        <v>0</v>
      </c>
      <c r="M82" s="10">
        <v>1</v>
      </c>
      <c r="N82" s="2">
        <f t="shared" si="50"/>
        <v>25</v>
      </c>
      <c r="O82" s="2">
        <f t="shared" si="62"/>
        <v>88.152985074626855</v>
      </c>
      <c r="P82" s="2">
        <f t="shared" si="63"/>
        <v>146.92164179104478</v>
      </c>
      <c r="Q82" s="2">
        <f>(AVERAGE(VLOOKUP(E82,weapon_components!$A$8:$M$178,9,0),VLOOKUP(E82,weapon_components!$A$8:$M$178,10,0))+VLOOKUP(E82,weapon_components!$A$8:$M$178,11,0))/10</f>
        <v>3.15</v>
      </c>
      <c r="R82" s="32">
        <f t="shared" si="71"/>
        <v>0.67</v>
      </c>
      <c r="S82" s="25">
        <f t="shared" si="70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  <c r="V82">
        <v>0.8</v>
      </c>
    </row>
    <row r="83" spans="1:22" x14ac:dyDescent="0.25">
      <c r="A83" s="21">
        <f t="shared" si="64"/>
        <v>-0.10476000000000001</v>
      </c>
      <c r="C83" s="2">
        <v>5</v>
      </c>
      <c r="D83" s="2">
        <v>1</v>
      </c>
      <c r="E83" s="16" t="s">
        <v>96</v>
      </c>
      <c r="F83" s="2">
        <f t="shared" si="65"/>
        <v>12.5</v>
      </c>
      <c r="G83" s="32">
        <f t="shared" si="66"/>
        <v>12.5</v>
      </c>
      <c r="H83" s="2">
        <f t="shared" si="67"/>
        <v>2.5</v>
      </c>
      <c r="I83" s="2">
        <f t="shared" si="68"/>
        <v>10</v>
      </c>
      <c r="J83" s="2">
        <f t="shared" si="69"/>
        <v>0.99999999999999989</v>
      </c>
      <c r="K83" s="10">
        <f t="shared" si="25"/>
        <v>0.46666666666666679</v>
      </c>
      <c r="L83" s="10">
        <v>0</v>
      </c>
      <c r="M83" s="10">
        <v>1</v>
      </c>
      <c r="N83" s="2">
        <f t="shared" si="50"/>
        <v>50</v>
      </c>
      <c r="O83" s="2">
        <f t="shared" si="62"/>
        <v>214.77272727272725</v>
      </c>
      <c r="P83" s="2">
        <f t="shared" si="63"/>
        <v>357.95454545454538</v>
      </c>
      <c r="Q83" s="2">
        <f>(AVERAGE(VLOOKUP(E83,weapon_components!$A$8:$M$178,9,0),VLOOKUP(E83,weapon_components!$A$8:$M$178,10,0))+VLOOKUP(E83,weapon_components!$A$8:$M$178,11,0))/10</f>
        <v>3.15</v>
      </c>
      <c r="R83" s="32">
        <f t="shared" si="71"/>
        <v>0.55000000000000004</v>
      </c>
      <c r="S83" s="25">
        <f t="shared" si="70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  <c r="V83">
        <v>0.75</v>
      </c>
    </row>
    <row r="84" spans="1:22" x14ac:dyDescent="0.25">
      <c r="A84" s="21">
        <f t="shared" si="64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</row>
    <row r="85" spans="1:22" x14ac:dyDescent="0.25">
      <c r="A85" s="21">
        <f t="shared" si="64"/>
        <v>0.09</v>
      </c>
      <c r="C85">
        <v>4</v>
      </c>
      <c r="D85">
        <v>1</v>
      </c>
      <c r="E85" s="5" t="s">
        <v>98</v>
      </c>
      <c r="F85" s="2">
        <f t="shared" si="65"/>
        <v>10</v>
      </c>
      <c r="G85" s="32">
        <f>IF(G$84=1,H85,H85/(R85-INDEX($O$2:$O$6,C85)))</f>
        <v>20.833333333333336</v>
      </c>
      <c r="H85" s="2">
        <f t="shared" si="69"/>
        <v>15</v>
      </c>
      <c r="I85" s="2">
        <f t="shared" si="69"/>
        <v>3.9999999999999996</v>
      </c>
      <c r="J85" s="2">
        <f t="shared" si="69"/>
        <v>0.99999999999999989</v>
      </c>
      <c r="K85" s="10">
        <v>-1</v>
      </c>
      <c r="L85" s="10">
        <f t="shared" ref="L85" si="72">J85/F85</f>
        <v>9.9999999999999992E-2</v>
      </c>
      <c r="M85" s="10">
        <v>0</v>
      </c>
      <c r="N85" s="2">
        <f t="shared" si="50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2">
        <f t="shared" si="71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  <c r="V85">
        <v>0.8</v>
      </c>
    </row>
    <row r="86" spans="1:22" x14ac:dyDescent="0.25">
      <c r="A86" s="21">
        <f t="shared" si="64"/>
        <v>7.4999999999999997E-2</v>
      </c>
      <c r="C86">
        <v>5</v>
      </c>
      <c r="D86">
        <v>1</v>
      </c>
      <c r="E86" s="5" t="s">
        <v>99</v>
      </c>
      <c r="F86" s="2">
        <f t="shared" si="65"/>
        <v>12.5</v>
      </c>
      <c r="G86" s="32">
        <f>IF(G$84=1,H86,H86/(R86-INDEX($O$2:$O$6,C86)))</f>
        <v>30.769230769230774</v>
      </c>
      <c r="H86" s="2">
        <f t="shared" si="69"/>
        <v>20</v>
      </c>
      <c r="I86" s="2">
        <f t="shared" si="69"/>
        <v>3.9999999999999996</v>
      </c>
      <c r="J86" s="2">
        <f t="shared" si="69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2">
        <f t="shared" si="71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  <c r="V86">
        <v>0.8</v>
      </c>
    </row>
    <row r="87" spans="1:22" s="14" customFormat="1" x14ac:dyDescent="0.25">
      <c r="A87" s="21">
        <f t="shared" si="64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2" x14ac:dyDescent="0.25">
      <c r="A88" s="21">
        <f t="shared" si="64"/>
        <v>-9.0000000000000011E-3</v>
      </c>
      <c r="C88" s="2">
        <v>1</v>
      </c>
      <c r="D88" s="2">
        <v>-1</v>
      </c>
      <c r="E88" s="5" t="s">
        <v>101</v>
      </c>
      <c r="F88" s="2">
        <f t="shared" si="65"/>
        <v>2.5</v>
      </c>
      <c r="G88" s="32">
        <f>IF(G$87=1,H88,H88/(R88-INDEX($O$2:$O$6,C88)))</f>
        <v>2.5</v>
      </c>
      <c r="H88" s="2">
        <f>$F88*(INDEX($F$3:$F$5,H$87)+(($C88+($D88*$F$7))*INDEX($G$3:$G$5,H$9)))</f>
        <v>2.5</v>
      </c>
      <c r="I88" s="2">
        <f t="shared" ref="H88:J102" si="73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5"/>
        <v>-3.9999999999999991</v>
      </c>
      <c r="L88" s="10">
        <v>0</v>
      </c>
      <c r="M88" s="10">
        <v>1</v>
      </c>
      <c r="N88" s="2">
        <f t="shared" si="50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32">
        <f t="shared" si="71"/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  <c r="V88">
        <v>1</v>
      </c>
    </row>
    <row r="89" spans="1:22" x14ac:dyDescent="0.25">
      <c r="A89" s="21">
        <f t="shared" si="64"/>
        <v>-4.4999999999999998E-2</v>
      </c>
      <c r="C89" s="2">
        <v>1</v>
      </c>
      <c r="D89" s="2">
        <v>0</v>
      </c>
      <c r="E89" s="5" t="s">
        <v>102</v>
      </c>
      <c r="F89" s="2">
        <f t="shared" si="65"/>
        <v>2.5</v>
      </c>
      <c r="G89" s="32">
        <f t="shared" ref="G89:G104" si="74">IF(G$87=1,H89,H89/(R89-INDEX($O$2:$O$6,C89)))</f>
        <v>2.75</v>
      </c>
      <c r="H89" s="2">
        <f t="shared" si="73"/>
        <v>2.75</v>
      </c>
      <c r="I89" s="2">
        <f t="shared" si="73"/>
        <v>1.7999999999999998</v>
      </c>
      <c r="J89" s="2">
        <f t="shared" si="73"/>
        <v>2.4500000000000002</v>
      </c>
      <c r="K89" s="10">
        <f t="shared" si="25"/>
        <v>-7.6363636363636385</v>
      </c>
      <c r="L89" s="10">
        <v>0</v>
      </c>
      <c r="M89" s="10">
        <v>1</v>
      </c>
      <c r="N89" s="2">
        <f t="shared" si="50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32">
        <f t="shared" si="71"/>
        <v>1</v>
      </c>
      <c r="S89" s="25">
        <f t="shared" ref="S89:S102" si="75">($S$87)*(1+(D89*$F$8))*(1+((C89-1)*$J$3))</f>
        <v>60</v>
      </c>
      <c r="T89" s="2">
        <f t="shared" ref="T89:T115" si="76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  <c r="V89">
        <v>1</v>
      </c>
    </row>
    <row r="90" spans="1:22" x14ac:dyDescent="0.25">
      <c r="A90" s="21">
        <f t="shared" si="64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32">
        <f t="shared" si="74"/>
        <v>3</v>
      </c>
      <c r="H90" s="2">
        <f t="shared" si="73"/>
        <v>3</v>
      </c>
      <c r="I90" s="2">
        <f t="shared" si="73"/>
        <v>1.6</v>
      </c>
      <c r="J90" s="2">
        <f t="shared" si="73"/>
        <v>2.4</v>
      </c>
      <c r="K90" s="10">
        <f t="shared" ref="K90:K102" si="77">1-((1-(I90/G90))/INDEX($P$2:$P$6,C90))</f>
        <v>-10.666666666666666</v>
      </c>
      <c r="L90" s="10">
        <v>0</v>
      </c>
      <c r="M90" s="10">
        <v>1</v>
      </c>
      <c r="N90" s="2">
        <f t="shared" ref="N90:N115" si="78">(AVERAGE(O90,P90)*R90)/Q90</f>
        <v>12</v>
      </c>
      <c r="O90" s="2">
        <f t="shared" ref="O90:O115" si="79">0.75*(((G90*INDEX($R$1:$R$3,$D90+2))*Q90)/R90)</f>
        <v>49.5</v>
      </c>
      <c r="P90" s="2">
        <f t="shared" ref="P90:P115" si="80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32">
        <f t="shared" si="71"/>
        <v>1</v>
      </c>
      <c r="S90" s="25">
        <f t="shared" si="75"/>
        <v>72</v>
      </c>
      <c r="T90" s="2">
        <f t="shared" si="76"/>
        <v>2.5</v>
      </c>
      <c r="U90" s="14">
        <f>-INDEX('Ship Design Balancing'!$K$2:$K$6,'Weapon Formulas'!C90)*(INDEX('Weapon Formulas'!$R$1:$R$3,'Weapon Formulas'!D90+2)*(1+'Weapon Formulas'!B90))</f>
        <v>-13.333333333333332</v>
      </c>
      <c r="V90">
        <v>1</v>
      </c>
    </row>
    <row r="91" spans="1:22" x14ac:dyDescent="0.25">
      <c r="A91" s="21">
        <f t="shared" si="64"/>
        <v>-2.6280000000000015E-2</v>
      </c>
      <c r="C91" s="2">
        <v>2</v>
      </c>
      <c r="D91" s="2">
        <v>-1</v>
      </c>
      <c r="E91" s="5" t="s">
        <v>104</v>
      </c>
      <c r="F91" s="2">
        <f t="shared" si="65"/>
        <v>5</v>
      </c>
      <c r="G91" s="32">
        <f t="shared" si="74"/>
        <v>5.5</v>
      </c>
      <c r="H91" s="2">
        <f t="shared" si="73"/>
        <v>5.5</v>
      </c>
      <c r="I91" s="2">
        <f t="shared" si="73"/>
        <v>3.5999999999999996</v>
      </c>
      <c r="J91" s="2">
        <f t="shared" si="73"/>
        <v>4.9000000000000004</v>
      </c>
      <c r="K91" s="10">
        <f t="shared" si="77"/>
        <v>-0.91919191919192</v>
      </c>
      <c r="L91" s="10">
        <v>0</v>
      </c>
      <c r="M91" s="10">
        <v>1</v>
      </c>
      <c r="N91" s="2">
        <f t="shared" si="78"/>
        <v>5.5</v>
      </c>
      <c r="O91" s="2">
        <f t="shared" si="79"/>
        <v>22.6875</v>
      </c>
      <c r="P91" s="2">
        <f t="shared" si="80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32">
        <f t="shared" si="71"/>
        <v>1</v>
      </c>
      <c r="S91" s="25">
        <f t="shared" si="75"/>
        <v>53.760000000000005</v>
      </c>
      <c r="T91" s="2">
        <f t="shared" si="76"/>
        <v>3.75</v>
      </c>
      <c r="U91" s="14">
        <f>-INDEX('Ship Design Balancing'!$K$2:$K$6,'Weapon Formulas'!C91)*(INDEX('Weapon Formulas'!$R$1:$R$3,'Weapon Formulas'!D91+2)*(1+'Weapon Formulas'!B91))</f>
        <v>-6.6666666666666661</v>
      </c>
      <c r="V91">
        <v>1</v>
      </c>
    </row>
    <row r="92" spans="1:22" x14ac:dyDescent="0.25">
      <c r="A92" s="21">
        <f t="shared" si="64"/>
        <v>-6.6600000000000006E-2</v>
      </c>
      <c r="C92" s="2">
        <v>2</v>
      </c>
      <c r="D92" s="2">
        <v>0</v>
      </c>
      <c r="E92" s="5" t="s">
        <v>105</v>
      </c>
      <c r="F92" s="2">
        <f t="shared" si="65"/>
        <v>5</v>
      </c>
      <c r="G92" s="32">
        <f t="shared" si="74"/>
        <v>6</v>
      </c>
      <c r="H92" s="2">
        <f t="shared" si="73"/>
        <v>6</v>
      </c>
      <c r="I92" s="2">
        <f t="shared" si="73"/>
        <v>3.2</v>
      </c>
      <c r="J92" s="2">
        <f t="shared" si="73"/>
        <v>4.8</v>
      </c>
      <c r="K92" s="10">
        <f t="shared" si="77"/>
        <v>-1.5925925925925926</v>
      </c>
      <c r="L92" s="10">
        <v>0</v>
      </c>
      <c r="M92" s="10">
        <v>1</v>
      </c>
      <c r="N92" s="2">
        <f t="shared" si="78"/>
        <v>12</v>
      </c>
      <c r="O92" s="2">
        <f t="shared" si="79"/>
        <v>49.5</v>
      </c>
      <c r="P92" s="2">
        <f t="shared" si="80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32">
        <f t="shared" si="71"/>
        <v>1</v>
      </c>
      <c r="S92" s="25">
        <f t="shared" si="75"/>
        <v>67.2</v>
      </c>
      <c r="T92" s="2">
        <f t="shared" si="76"/>
        <v>3.75</v>
      </c>
      <c r="U92" s="14">
        <f>-INDEX('Ship Design Balancing'!$K$2:$K$6,'Weapon Formulas'!C92)*(INDEX('Weapon Formulas'!$R$1:$R$3,'Weapon Formulas'!D92+2)*(1+'Weapon Formulas'!B92))</f>
        <v>-13.333333333333332</v>
      </c>
      <c r="V92">
        <v>1</v>
      </c>
    </row>
    <row r="93" spans="1:22" x14ac:dyDescent="0.25">
      <c r="A93" s="21">
        <f t="shared" si="64"/>
        <v>-0.10692000000000004</v>
      </c>
      <c r="C93" s="2">
        <v>2</v>
      </c>
      <c r="D93" s="2">
        <v>1</v>
      </c>
      <c r="E93" s="5" t="s">
        <v>106</v>
      </c>
      <c r="F93" s="2">
        <f t="shared" si="65"/>
        <v>5</v>
      </c>
      <c r="G93" s="32">
        <f t="shared" si="74"/>
        <v>6.5</v>
      </c>
      <c r="H93" s="2">
        <f t="shared" si="73"/>
        <v>6.5</v>
      </c>
      <c r="I93" s="2">
        <f t="shared" si="73"/>
        <v>2.8000000000000003</v>
      </c>
      <c r="J93" s="2">
        <f t="shared" si="73"/>
        <v>4.6999999999999993</v>
      </c>
      <c r="K93" s="10">
        <f t="shared" si="77"/>
        <v>-2.1623931623931623</v>
      </c>
      <c r="L93" s="10">
        <v>0</v>
      </c>
      <c r="M93" s="10">
        <v>1</v>
      </c>
      <c r="N93" s="2">
        <f t="shared" si="78"/>
        <v>26</v>
      </c>
      <c r="O93" s="2">
        <f t="shared" si="79"/>
        <v>107.25</v>
      </c>
      <c r="P93" s="2">
        <f t="shared" si="80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32">
        <f t="shared" si="71"/>
        <v>1</v>
      </c>
      <c r="S93" s="25">
        <f t="shared" si="75"/>
        <v>80.640000000000015</v>
      </c>
      <c r="T93" s="2">
        <f t="shared" si="76"/>
        <v>3.75</v>
      </c>
      <c r="U93" s="14">
        <f>-INDEX('Ship Design Balancing'!$K$2:$K$6,'Weapon Formulas'!C93)*(INDEX('Weapon Formulas'!$R$1:$R$3,'Weapon Formulas'!D93+2)*(1+'Weapon Formulas'!B93))</f>
        <v>-26.666666666666664</v>
      </c>
      <c r="V93">
        <v>1</v>
      </c>
    </row>
    <row r="94" spans="1:22" x14ac:dyDescent="0.25">
      <c r="A94" s="21">
        <f t="shared" si="64"/>
        <v>-4.3559999999999988E-2</v>
      </c>
      <c r="C94" s="2">
        <v>3</v>
      </c>
      <c r="D94" s="2">
        <v>-1</v>
      </c>
      <c r="E94" s="5" t="s">
        <v>107</v>
      </c>
      <c r="F94" s="2">
        <f t="shared" si="65"/>
        <v>7.5</v>
      </c>
      <c r="G94" s="32">
        <f t="shared" si="74"/>
        <v>9</v>
      </c>
      <c r="H94" s="2">
        <f t="shared" si="73"/>
        <v>9</v>
      </c>
      <c r="I94" s="2">
        <f t="shared" si="73"/>
        <v>4.8</v>
      </c>
      <c r="J94" s="2">
        <f t="shared" si="73"/>
        <v>7.1999999999999993</v>
      </c>
      <c r="K94" s="10">
        <f t="shared" si="77"/>
        <v>-0.55555555555555558</v>
      </c>
      <c r="L94" s="10">
        <v>0</v>
      </c>
      <c r="M94" s="10">
        <v>1</v>
      </c>
      <c r="N94" s="2">
        <f t="shared" si="78"/>
        <v>9</v>
      </c>
      <c r="O94" s="2">
        <f t="shared" si="79"/>
        <v>37.125</v>
      </c>
      <c r="P94" s="2">
        <f t="shared" si="80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32">
        <f t="shared" si="71"/>
        <v>1</v>
      </c>
      <c r="S94" s="25">
        <f t="shared" si="75"/>
        <v>59.519999999999996</v>
      </c>
      <c r="T94" s="2">
        <f t="shared" si="76"/>
        <v>5</v>
      </c>
      <c r="U94" s="14">
        <f>-INDEX('Ship Design Balancing'!$K$2:$K$6,'Weapon Formulas'!C94)*(INDEX('Weapon Formulas'!$R$1:$R$3,'Weapon Formulas'!D94+2)*(1+'Weapon Formulas'!B94))</f>
        <v>-13.333333333333332</v>
      </c>
      <c r="V94">
        <v>1</v>
      </c>
    </row>
    <row r="95" spans="1:22" x14ac:dyDescent="0.25">
      <c r="A95" s="21">
        <f t="shared" si="64"/>
        <v>-8.8200000000000014E-2</v>
      </c>
      <c r="C95" s="2">
        <v>3</v>
      </c>
      <c r="D95" s="2">
        <v>0</v>
      </c>
      <c r="E95" s="5" t="s">
        <v>108</v>
      </c>
      <c r="F95" s="2">
        <f t="shared" si="65"/>
        <v>7.5</v>
      </c>
      <c r="G95" s="32">
        <f t="shared" si="74"/>
        <v>9.75</v>
      </c>
      <c r="H95" s="2">
        <f t="shared" si="73"/>
        <v>9.75</v>
      </c>
      <c r="I95" s="2">
        <f t="shared" si="73"/>
        <v>4.2</v>
      </c>
      <c r="J95" s="2">
        <f t="shared" si="73"/>
        <v>7.05</v>
      </c>
      <c r="K95" s="10">
        <f t="shared" si="77"/>
        <v>-0.89743589743589736</v>
      </c>
      <c r="L95" s="10">
        <v>0</v>
      </c>
      <c r="M95" s="10">
        <v>1</v>
      </c>
      <c r="N95" s="2">
        <f t="shared" si="78"/>
        <v>19.5</v>
      </c>
      <c r="O95" s="2">
        <f t="shared" si="79"/>
        <v>80.4375</v>
      </c>
      <c r="P95" s="2">
        <f t="shared" si="80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32">
        <f t="shared" si="71"/>
        <v>1</v>
      </c>
      <c r="S95" s="25">
        <f t="shared" si="75"/>
        <v>74.400000000000006</v>
      </c>
      <c r="T95" s="2">
        <f t="shared" si="76"/>
        <v>5</v>
      </c>
      <c r="U95" s="14">
        <f>-INDEX('Ship Design Balancing'!$K$2:$K$6,'Weapon Formulas'!C95)*(INDEX('Weapon Formulas'!$R$1:$R$3,'Weapon Formulas'!D95+2)*(1+'Weapon Formulas'!B95))</f>
        <v>-26.666666666666664</v>
      </c>
      <c r="V95">
        <v>1</v>
      </c>
    </row>
    <row r="96" spans="1:22" x14ac:dyDescent="0.25">
      <c r="A96" s="21">
        <f t="shared" si="64"/>
        <v>-0.13284000000000001</v>
      </c>
      <c r="C96" s="2">
        <v>3</v>
      </c>
      <c r="D96" s="2">
        <v>1</v>
      </c>
      <c r="E96" s="5" t="s">
        <v>109</v>
      </c>
      <c r="F96" s="2">
        <f t="shared" si="65"/>
        <v>7.5</v>
      </c>
      <c r="G96" s="32">
        <f t="shared" si="74"/>
        <v>10.5</v>
      </c>
      <c r="H96" s="2">
        <f t="shared" si="73"/>
        <v>10.5</v>
      </c>
      <c r="I96" s="2">
        <f t="shared" si="73"/>
        <v>3.5999999999999996</v>
      </c>
      <c r="J96" s="2">
        <f t="shared" si="73"/>
        <v>6.8999999999999995</v>
      </c>
      <c r="K96" s="10">
        <f t="shared" si="77"/>
        <v>-1.1904761904761911</v>
      </c>
      <c r="L96" s="10">
        <v>0</v>
      </c>
      <c r="M96" s="10">
        <v>1</v>
      </c>
      <c r="N96" s="2">
        <f t="shared" si="78"/>
        <v>42</v>
      </c>
      <c r="O96" s="2">
        <f t="shared" si="79"/>
        <v>173.25</v>
      </c>
      <c r="P96" s="2">
        <f t="shared" si="80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32">
        <f t="shared" si="71"/>
        <v>1</v>
      </c>
      <c r="S96" s="25">
        <f t="shared" si="75"/>
        <v>89.28</v>
      </c>
      <c r="T96" s="2">
        <f t="shared" si="76"/>
        <v>5</v>
      </c>
      <c r="U96" s="14">
        <f>-INDEX('Ship Design Balancing'!$K$2:$K$6,'Weapon Formulas'!C96)*(INDEX('Weapon Formulas'!$R$1:$R$3,'Weapon Formulas'!D96+2)*(1+'Weapon Formulas'!B96))</f>
        <v>-53.333333333333329</v>
      </c>
      <c r="V96">
        <v>1</v>
      </c>
    </row>
    <row r="97" spans="1:22" x14ac:dyDescent="0.25">
      <c r="A97" s="21">
        <f t="shared" si="64"/>
        <v>-6.0840000000000005E-2</v>
      </c>
      <c r="C97" s="2">
        <v>4</v>
      </c>
      <c r="D97" s="2">
        <v>-1</v>
      </c>
      <c r="E97" s="5" t="s">
        <v>110</v>
      </c>
      <c r="F97" s="2">
        <f t="shared" si="65"/>
        <v>10</v>
      </c>
      <c r="G97" s="32">
        <f t="shared" si="74"/>
        <v>13</v>
      </c>
      <c r="H97" s="2">
        <f t="shared" si="73"/>
        <v>13</v>
      </c>
      <c r="I97" s="2">
        <f t="shared" si="73"/>
        <v>5.6000000000000005</v>
      </c>
      <c r="J97" s="2">
        <f t="shared" si="73"/>
        <v>9.3999999999999986</v>
      </c>
      <c r="K97" s="10">
        <f t="shared" si="77"/>
        <v>-0.75147928994082824</v>
      </c>
      <c r="L97" s="10">
        <v>0</v>
      </c>
      <c r="M97" s="10">
        <v>1</v>
      </c>
      <c r="N97" s="2">
        <f t="shared" si="78"/>
        <v>13</v>
      </c>
      <c r="O97" s="2">
        <f t="shared" si="79"/>
        <v>53.625</v>
      </c>
      <c r="P97" s="2">
        <f t="shared" si="80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32">
        <f t="shared" si="71"/>
        <v>1</v>
      </c>
      <c r="S97" s="25">
        <f t="shared" si="75"/>
        <v>65.28</v>
      </c>
      <c r="T97" s="2">
        <f t="shared" si="76"/>
        <v>7.5</v>
      </c>
      <c r="U97" s="14">
        <f>-INDEX('Ship Design Balancing'!$K$2:$K$6,'Weapon Formulas'!C97)*(INDEX('Weapon Formulas'!$R$1:$R$3,'Weapon Formulas'!D97+2)*(1+'Weapon Formulas'!B97))</f>
        <v>-26.666666666666664</v>
      </c>
      <c r="V97">
        <v>1</v>
      </c>
    </row>
    <row r="98" spans="1:22" x14ac:dyDescent="0.25">
      <c r="A98" s="21">
        <f t="shared" si="64"/>
        <v>-0.10979999999999998</v>
      </c>
      <c r="C98" s="2">
        <v>4</v>
      </c>
      <c r="D98" s="2">
        <v>0</v>
      </c>
      <c r="E98" s="5" t="s">
        <v>111</v>
      </c>
      <c r="F98" s="2">
        <f t="shared" si="65"/>
        <v>10</v>
      </c>
      <c r="G98" s="32">
        <f t="shared" si="74"/>
        <v>14</v>
      </c>
      <c r="H98" s="2">
        <f t="shared" si="73"/>
        <v>14</v>
      </c>
      <c r="I98" s="2">
        <f t="shared" si="73"/>
        <v>4.8</v>
      </c>
      <c r="J98" s="2">
        <f t="shared" si="73"/>
        <v>9.1999999999999993</v>
      </c>
      <c r="K98" s="10">
        <f t="shared" si="77"/>
        <v>-1.0219780219780219</v>
      </c>
      <c r="L98" s="10">
        <v>0</v>
      </c>
      <c r="M98" s="10">
        <v>1</v>
      </c>
      <c r="N98" s="2">
        <f t="shared" si="78"/>
        <v>28</v>
      </c>
      <c r="O98" s="2">
        <f t="shared" si="79"/>
        <v>115.5</v>
      </c>
      <c r="P98" s="2">
        <f t="shared" si="80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32">
        <f t="shared" si="71"/>
        <v>1</v>
      </c>
      <c r="S98" s="25">
        <f t="shared" si="75"/>
        <v>81.599999999999994</v>
      </c>
      <c r="T98" s="2">
        <f t="shared" si="76"/>
        <v>7.5</v>
      </c>
      <c r="U98" s="14">
        <f>-INDEX('Ship Design Balancing'!$K$2:$K$6,'Weapon Formulas'!C98)*(INDEX('Weapon Formulas'!$R$1:$R$3,'Weapon Formulas'!D98+2)*(1+'Weapon Formulas'!B98))</f>
        <v>-53.333333333333329</v>
      </c>
      <c r="V98">
        <v>1</v>
      </c>
    </row>
    <row r="99" spans="1:22" x14ac:dyDescent="0.25">
      <c r="A99" s="21">
        <f t="shared" si="64"/>
        <v>-0.15875999999999996</v>
      </c>
      <c r="C99" s="2">
        <v>4</v>
      </c>
      <c r="D99" s="2">
        <v>1</v>
      </c>
      <c r="E99" s="5" t="s">
        <v>112</v>
      </c>
      <c r="F99" s="2">
        <f t="shared" si="65"/>
        <v>10</v>
      </c>
      <c r="G99" s="32">
        <f t="shared" si="74"/>
        <v>15</v>
      </c>
      <c r="H99" s="2">
        <f t="shared" si="73"/>
        <v>15</v>
      </c>
      <c r="I99" s="2">
        <f t="shared" si="73"/>
        <v>3.9999999999999996</v>
      </c>
      <c r="J99" s="2">
        <f t="shared" si="73"/>
        <v>9</v>
      </c>
      <c r="K99" s="10">
        <f t="shared" si="77"/>
        <v>-1.2564102564102564</v>
      </c>
      <c r="L99" s="10">
        <v>0</v>
      </c>
      <c r="M99" s="10">
        <v>1</v>
      </c>
      <c r="N99" s="2">
        <f t="shared" si="78"/>
        <v>60</v>
      </c>
      <c r="O99" s="2">
        <f t="shared" si="79"/>
        <v>247.5</v>
      </c>
      <c r="P99" s="2">
        <f t="shared" si="80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32">
        <f t="shared" si="71"/>
        <v>1</v>
      </c>
      <c r="S99" s="25">
        <f t="shared" si="75"/>
        <v>97.919999999999987</v>
      </c>
      <c r="T99" s="2">
        <f t="shared" si="76"/>
        <v>7.5</v>
      </c>
      <c r="U99" s="14">
        <f>-INDEX('Ship Design Balancing'!$K$2:$K$6,'Weapon Formulas'!C99)*(INDEX('Weapon Formulas'!$R$1:$R$3,'Weapon Formulas'!D99+2)*(1+'Weapon Formulas'!B99))</f>
        <v>-106.66666666666666</v>
      </c>
      <c r="V99">
        <v>1</v>
      </c>
    </row>
    <row r="100" spans="1:22" x14ac:dyDescent="0.25">
      <c r="A100" s="21">
        <f t="shared" si="64"/>
        <v>-7.8119999999999981E-2</v>
      </c>
      <c r="C100" s="2">
        <v>5</v>
      </c>
      <c r="D100" s="2">
        <v>-1</v>
      </c>
      <c r="E100" s="5" t="s">
        <v>113</v>
      </c>
      <c r="F100" s="2">
        <f t="shared" si="65"/>
        <v>12.5</v>
      </c>
      <c r="G100" s="32">
        <f t="shared" si="74"/>
        <v>17.5</v>
      </c>
      <c r="H100" s="2">
        <f t="shared" si="73"/>
        <v>17.5</v>
      </c>
      <c r="I100" s="2">
        <f t="shared" si="73"/>
        <v>6</v>
      </c>
      <c r="J100" s="2">
        <f t="shared" si="73"/>
        <v>11.5</v>
      </c>
      <c r="K100" s="10">
        <f t="shared" si="77"/>
        <v>-0.75238095238095237</v>
      </c>
      <c r="L100" s="10">
        <v>0</v>
      </c>
      <c r="M100" s="10">
        <v>1</v>
      </c>
      <c r="N100" s="2">
        <f t="shared" si="78"/>
        <v>17.5</v>
      </c>
      <c r="O100" s="2">
        <f t="shared" si="79"/>
        <v>72.1875</v>
      </c>
      <c r="P100" s="2">
        <f t="shared" si="80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32">
        <f t="shared" si="71"/>
        <v>1</v>
      </c>
      <c r="S100" s="25">
        <f t="shared" si="75"/>
        <v>71.039999999999992</v>
      </c>
      <c r="T100" s="2">
        <f t="shared" si="76"/>
        <v>10</v>
      </c>
      <c r="U100" s="14">
        <f>-INDEX('Ship Design Balancing'!$K$2:$K$6,'Weapon Formulas'!C100)*(INDEX('Weapon Formulas'!$R$1:$R$3,'Weapon Formulas'!D100+2)*(1+'Weapon Formulas'!B100))</f>
        <v>-53.333333333333329</v>
      </c>
      <c r="V100">
        <v>1</v>
      </c>
    </row>
    <row r="101" spans="1:22" x14ac:dyDescent="0.25">
      <c r="A101" s="21">
        <f t="shared" si="64"/>
        <v>-0.13139999999999999</v>
      </c>
      <c r="C101" s="2">
        <v>5</v>
      </c>
      <c r="D101" s="2">
        <v>0</v>
      </c>
      <c r="E101" s="5" t="s">
        <v>114</v>
      </c>
      <c r="F101" s="2">
        <f t="shared" si="65"/>
        <v>12.5</v>
      </c>
      <c r="G101" s="32">
        <f t="shared" si="74"/>
        <v>18.75</v>
      </c>
      <c r="H101" s="2">
        <f t="shared" si="73"/>
        <v>18.75</v>
      </c>
      <c r="I101" s="2">
        <f t="shared" si="73"/>
        <v>5</v>
      </c>
      <c r="J101" s="2">
        <f t="shared" si="73"/>
        <v>11.25</v>
      </c>
      <c r="K101" s="10">
        <f t="shared" si="77"/>
        <v>-0.95555555555555571</v>
      </c>
      <c r="L101" s="10">
        <v>0</v>
      </c>
      <c r="M101" s="10">
        <v>1</v>
      </c>
      <c r="N101" s="2">
        <f t="shared" si="78"/>
        <v>37.5</v>
      </c>
      <c r="O101" s="2">
        <f t="shared" si="79"/>
        <v>154.6875</v>
      </c>
      <c r="P101" s="2">
        <f t="shared" si="80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32">
        <f t="shared" si="71"/>
        <v>1</v>
      </c>
      <c r="S101" s="25">
        <f t="shared" si="75"/>
        <v>88.8</v>
      </c>
      <c r="T101" s="2">
        <f t="shared" si="76"/>
        <v>10</v>
      </c>
      <c r="U101" s="14">
        <f>-INDEX('Ship Design Balancing'!$K$2:$K$6,'Weapon Formulas'!C101)*(INDEX('Weapon Formulas'!$R$1:$R$3,'Weapon Formulas'!D101+2)*(1+'Weapon Formulas'!B101))</f>
        <v>-106.66666666666666</v>
      </c>
      <c r="V101">
        <v>1</v>
      </c>
    </row>
    <row r="102" spans="1:22" x14ac:dyDescent="0.25">
      <c r="A102" s="21">
        <f t="shared" si="64"/>
        <v>-0.18468000000000001</v>
      </c>
      <c r="C102" s="2">
        <v>5</v>
      </c>
      <c r="D102" s="2">
        <v>1</v>
      </c>
      <c r="E102" s="5" t="s">
        <v>115</v>
      </c>
      <c r="F102" s="2">
        <f t="shared" si="65"/>
        <v>12.5</v>
      </c>
      <c r="G102" s="32">
        <f t="shared" si="74"/>
        <v>20</v>
      </c>
      <c r="H102" s="2">
        <f t="shared" si="73"/>
        <v>20</v>
      </c>
      <c r="I102" s="2">
        <f t="shared" si="73"/>
        <v>3.9999999999999996</v>
      </c>
      <c r="J102" s="2">
        <f t="shared" si="73"/>
        <v>11</v>
      </c>
      <c r="K102" s="10">
        <f t="shared" si="77"/>
        <v>-1.1333333333333333</v>
      </c>
      <c r="L102" s="10">
        <v>0</v>
      </c>
      <c r="M102" s="10">
        <v>1</v>
      </c>
      <c r="N102" s="2">
        <f t="shared" si="78"/>
        <v>80</v>
      </c>
      <c r="O102" s="2">
        <f t="shared" si="79"/>
        <v>330</v>
      </c>
      <c r="P102" s="2">
        <f t="shared" si="80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32">
        <f t="shared" si="71"/>
        <v>1</v>
      </c>
      <c r="S102" s="25">
        <f t="shared" si="75"/>
        <v>106.56</v>
      </c>
      <c r="T102" s="2">
        <f t="shared" si="76"/>
        <v>10</v>
      </c>
      <c r="U102" s="14">
        <f>-INDEX('Ship Design Balancing'!$K$2:$K$6,'Weapon Formulas'!C102)*(INDEX('Weapon Formulas'!$R$1:$R$3,'Weapon Formulas'!D102+2)*(1+'Weapon Formulas'!B102))</f>
        <v>-213.33333333333331</v>
      </c>
      <c r="V102">
        <v>1</v>
      </c>
    </row>
    <row r="103" spans="1:22" x14ac:dyDescent="0.25">
      <c r="A103" s="21">
        <f t="shared" si="64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64"/>
        <v>-4.3559999999999988E-2</v>
      </c>
      <c r="C104">
        <v>3</v>
      </c>
      <c r="D104" s="2">
        <v>-1</v>
      </c>
      <c r="E104" s="5" t="s">
        <v>117</v>
      </c>
      <c r="F104" s="2">
        <f t="shared" si="65"/>
        <v>7.5</v>
      </c>
      <c r="G104" s="32">
        <f>IF(G$103=1,H104,H104/(R104-INDEX($O$2:$O$6,C104)))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81">1-((1-(I104/G104))/INDEX($P$2:$P$6,C104))</f>
        <v>0</v>
      </c>
      <c r="L104" s="10">
        <v>0</v>
      </c>
      <c r="M104" s="10">
        <f>J104/F104</f>
        <v>0.76</v>
      </c>
      <c r="N104" s="2">
        <f t="shared" si="78"/>
        <v>9</v>
      </c>
      <c r="O104" s="2">
        <f t="shared" si="79"/>
        <v>56.362499999999997</v>
      </c>
      <c r="P104" s="2">
        <f t="shared" si="80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32">
        <f t="shared" si="71"/>
        <v>1</v>
      </c>
      <c r="S104" s="25">
        <f>($S$103)*(1+(D104*$F$8))*(1+((C104-1)*$J$3))</f>
        <v>59.519999999999996</v>
      </c>
      <c r="T104" s="2">
        <f t="shared" si="76"/>
        <v>5</v>
      </c>
      <c r="U104" s="14">
        <f>-INDEX('Ship Design Balancing'!$K$2:$K$6,'Weapon Formulas'!C104)*(INDEX('Weapon Formulas'!$R$1:$R$3,'Weapon Formulas'!D104+2)*(1+'Weapon Formulas'!B104))</f>
        <v>-13.333333333333332</v>
      </c>
      <c r="V104">
        <v>1</v>
      </c>
    </row>
    <row r="105" spans="1:22" x14ac:dyDescent="0.25">
      <c r="A105" s="21">
        <f t="shared" si="64"/>
        <v>-8.8200000000000014E-2</v>
      </c>
      <c r="C105">
        <v>3</v>
      </c>
      <c r="D105" s="2">
        <v>0</v>
      </c>
      <c r="E105" s="5" t="s">
        <v>118</v>
      </c>
      <c r="F105" s="2">
        <f t="shared" si="65"/>
        <v>7.5</v>
      </c>
      <c r="G105" s="32">
        <f t="shared" ref="G105:G114" si="82">IF(G$103=1,H105,H105/(R105-INDEX($O$2:$O$6,C105)))</f>
        <v>9.75</v>
      </c>
      <c r="H105" s="2">
        <f t="shared" ref="H105:H112" si="83">$F105*(INDEX($F$3:$F$5,H$103)+(($C105+($D105*$F$7))*INDEX($G$3:$G$5,H$9)))</f>
        <v>9.75</v>
      </c>
      <c r="I105" s="2">
        <f t="shared" ref="I105:J112" si="84">$F105*(INDEX($F$3:$F$5,I$103)+(($C105+($D105*$F$7))*INDEX($G$3:$G$5,I$9)))</f>
        <v>5.7</v>
      </c>
      <c r="J105" s="2">
        <f t="shared" si="84"/>
        <v>5.55</v>
      </c>
      <c r="K105" s="10">
        <f t="shared" si="81"/>
        <v>-0.38461538461538458</v>
      </c>
      <c r="L105" s="10">
        <v>0</v>
      </c>
      <c r="M105" s="10">
        <f t="shared" ref="M105:M112" si="85">J105/F105</f>
        <v>0.74</v>
      </c>
      <c r="N105" s="2">
        <f t="shared" si="78"/>
        <v>19.5</v>
      </c>
      <c r="O105" s="2">
        <f t="shared" si="79"/>
        <v>122.11874999999999</v>
      </c>
      <c r="P105" s="2">
        <f t="shared" si="80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32">
        <f t="shared" si="71"/>
        <v>1</v>
      </c>
      <c r="S105" s="25">
        <f t="shared" ref="S105:S112" si="86">($S$103)*(1+(D105*$F$8))*(1+((C105-1)*$J$3))</f>
        <v>74.400000000000006</v>
      </c>
      <c r="T105" s="2">
        <f t="shared" si="76"/>
        <v>5</v>
      </c>
      <c r="U105" s="14">
        <f>-INDEX('Ship Design Balancing'!$K$2:$K$6,'Weapon Formulas'!C105)*(INDEX('Weapon Formulas'!$R$1:$R$3,'Weapon Formulas'!D105+2)*(1+'Weapon Formulas'!B105))</f>
        <v>-26.666666666666664</v>
      </c>
      <c r="V105">
        <v>1</v>
      </c>
    </row>
    <row r="106" spans="1:22" x14ac:dyDescent="0.25">
      <c r="A106" s="21">
        <f t="shared" si="64"/>
        <v>-0.13284000000000001</v>
      </c>
      <c r="C106">
        <v>3</v>
      </c>
      <c r="D106" s="2">
        <v>1</v>
      </c>
      <c r="E106" s="5" t="s">
        <v>119</v>
      </c>
      <c r="F106" s="2">
        <f t="shared" si="65"/>
        <v>7.5</v>
      </c>
      <c r="G106" s="32">
        <f t="shared" si="82"/>
        <v>10.5</v>
      </c>
      <c r="H106" s="2">
        <f t="shared" si="83"/>
        <v>10.5</v>
      </c>
      <c r="I106" s="2">
        <f t="shared" si="84"/>
        <v>5.0999999999999996</v>
      </c>
      <c r="J106" s="2">
        <f t="shared" si="84"/>
        <v>5.3999999999999995</v>
      </c>
      <c r="K106" s="10">
        <f t="shared" si="81"/>
        <v>-0.71428571428571463</v>
      </c>
      <c r="L106" s="10">
        <v>0</v>
      </c>
      <c r="M106" s="10">
        <f t="shared" si="85"/>
        <v>0.72</v>
      </c>
      <c r="N106" s="2">
        <f t="shared" si="78"/>
        <v>42</v>
      </c>
      <c r="O106" s="2">
        <f t="shared" si="79"/>
        <v>263.02499999999998</v>
      </c>
      <c r="P106" s="2">
        <f t="shared" si="80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32">
        <f t="shared" si="71"/>
        <v>1</v>
      </c>
      <c r="S106" s="25">
        <f t="shared" si="86"/>
        <v>89.28</v>
      </c>
      <c r="T106" s="2">
        <f t="shared" si="76"/>
        <v>5</v>
      </c>
      <c r="U106" s="14">
        <f>-INDEX('Ship Design Balancing'!$K$2:$K$6,'Weapon Formulas'!C106)*(INDEX('Weapon Formulas'!$R$1:$R$3,'Weapon Formulas'!D106+2)*(1+'Weapon Formulas'!B106))</f>
        <v>-53.333333333333329</v>
      </c>
      <c r="V106">
        <v>1</v>
      </c>
    </row>
    <row r="107" spans="1:22" x14ac:dyDescent="0.25">
      <c r="A107" s="21">
        <f t="shared" si="64"/>
        <v>-6.0840000000000005E-2</v>
      </c>
      <c r="C107">
        <v>4</v>
      </c>
      <c r="D107" s="2">
        <v>-1</v>
      </c>
      <c r="E107" s="5" t="s">
        <v>120</v>
      </c>
      <c r="F107" s="2">
        <f t="shared" si="65"/>
        <v>10</v>
      </c>
      <c r="G107" s="32">
        <f t="shared" si="82"/>
        <v>13</v>
      </c>
      <c r="H107" s="2">
        <f t="shared" si="83"/>
        <v>13</v>
      </c>
      <c r="I107" s="2">
        <f t="shared" si="84"/>
        <v>7.6</v>
      </c>
      <c r="J107" s="2">
        <f t="shared" si="84"/>
        <v>7.4</v>
      </c>
      <c r="K107" s="10">
        <f t="shared" si="81"/>
        <v>-0.27810650887573973</v>
      </c>
      <c r="L107" s="10">
        <v>0</v>
      </c>
      <c r="M107" s="10">
        <f t="shared" si="85"/>
        <v>0.74</v>
      </c>
      <c r="N107" s="2">
        <f t="shared" si="78"/>
        <v>13</v>
      </c>
      <c r="O107" s="2">
        <f t="shared" si="79"/>
        <v>81.412499999999994</v>
      </c>
      <c r="P107" s="2">
        <f t="shared" si="80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32">
        <f t="shared" si="71"/>
        <v>1</v>
      </c>
      <c r="S107" s="25">
        <f t="shared" si="86"/>
        <v>65.28</v>
      </c>
      <c r="T107" s="2">
        <f t="shared" si="76"/>
        <v>7.5</v>
      </c>
      <c r="U107" s="14">
        <f>-INDEX('Ship Design Balancing'!$K$2:$K$6,'Weapon Formulas'!C107)*(INDEX('Weapon Formulas'!$R$1:$R$3,'Weapon Formulas'!D107+2)*(1+'Weapon Formulas'!B107))</f>
        <v>-26.666666666666664</v>
      </c>
      <c r="V107">
        <v>1</v>
      </c>
    </row>
    <row r="108" spans="1:22" x14ac:dyDescent="0.25">
      <c r="A108" s="21">
        <f t="shared" si="64"/>
        <v>-0.10979999999999998</v>
      </c>
      <c r="C108">
        <v>4</v>
      </c>
      <c r="D108" s="2">
        <v>0</v>
      </c>
      <c r="E108" s="5" t="s">
        <v>121</v>
      </c>
      <c r="F108" s="2">
        <f t="shared" si="65"/>
        <v>10</v>
      </c>
      <c r="G108" s="32">
        <f t="shared" si="82"/>
        <v>14</v>
      </c>
      <c r="H108" s="2">
        <f t="shared" si="83"/>
        <v>14</v>
      </c>
      <c r="I108" s="2">
        <f t="shared" si="84"/>
        <v>6.7999999999999989</v>
      </c>
      <c r="J108" s="2">
        <f t="shared" si="84"/>
        <v>7.1999999999999993</v>
      </c>
      <c r="K108" s="10">
        <f t="shared" si="81"/>
        <v>-0.58241758241758257</v>
      </c>
      <c r="L108" s="10">
        <v>0</v>
      </c>
      <c r="M108" s="10">
        <f t="shared" si="85"/>
        <v>0.72</v>
      </c>
      <c r="N108" s="2">
        <f t="shared" si="78"/>
        <v>28.000000000000004</v>
      </c>
      <c r="O108" s="2">
        <f t="shared" si="79"/>
        <v>175.35</v>
      </c>
      <c r="P108" s="2">
        <f t="shared" si="80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32">
        <f t="shared" si="71"/>
        <v>1</v>
      </c>
      <c r="S108" s="25">
        <f t="shared" si="86"/>
        <v>81.599999999999994</v>
      </c>
      <c r="T108" s="2">
        <f t="shared" si="76"/>
        <v>7.5</v>
      </c>
      <c r="U108" s="14">
        <f>-INDEX('Ship Design Balancing'!$K$2:$K$6,'Weapon Formulas'!C108)*(INDEX('Weapon Formulas'!$R$1:$R$3,'Weapon Formulas'!D108+2)*(1+'Weapon Formulas'!B108))</f>
        <v>-53.333333333333329</v>
      </c>
      <c r="V108">
        <v>1</v>
      </c>
    </row>
    <row r="109" spans="1:22" x14ac:dyDescent="0.25">
      <c r="A109" s="21">
        <f t="shared" si="64"/>
        <v>-0.15875999999999996</v>
      </c>
      <c r="C109">
        <v>4</v>
      </c>
      <c r="D109" s="2">
        <v>1</v>
      </c>
      <c r="E109" s="5" t="s">
        <v>122</v>
      </c>
      <c r="F109" s="2">
        <f t="shared" si="65"/>
        <v>10</v>
      </c>
      <c r="G109" s="32">
        <f t="shared" si="82"/>
        <v>15</v>
      </c>
      <c r="H109" s="2">
        <f t="shared" si="83"/>
        <v>15</v>
      </c>
      <c r="I109" s="2">
        <f t="shared" si="84"/>
        <v>5.9999999999999982</v>
      </c>
      <c r="J109" s="2">
        <f t="shared" si="84"/>
        <v>7.0000000000000009</v>
      </c>
      <c r="K109" s="10">
        <f t="shared" si="81"/>
        <v>-0.84615384615384626</v>
      </c>
      <c r="L109" s="10">
        <v>0</v>
      </c>
      <c r="M109" s="10">
        <f t="shared" si="85"/>
        <v>0.70000000000000007</v>
      </c>
      <c r="N109" s="2">
        <f t="shared" si="78"/>
        <v>60</v>
      </c>
      <c r="O109" s="2">
        <f t="shared" si="79"/>
        <v>375.75</v>
      </c>
      <c r="P109" s="2">
        <f t="shared" si="80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32">
        <f t="shared" si="71"/>
        <v>1</v>
      </c>
      <c r="S109" s="25">
        <f t="shared" si="86"/>
        <v>97.919999999999987</v>
      </c>
      <c r="T109" s="2">
        <f t="shared" si="76"/>
        <v>7.5</v>
      </c>
      <c r="U109" s="14">
        <f>-INDEX('Ship Design Balancing'!$K$2:$K$6,'Weapon Formulas'!C109)*(INDEX('Weapon Formulas'!$R$1:$R$3,'Weapon Formulas'!D109+2)*(1+'Weapon Formulas'!B109))</f>
        <v>-106.66666666666666</v>
      </c>
      <c r="V109">
        <v>1</v>
      </c>
    </row>
    <row r="110" spans="1:22" x14ac:dyDescent="0.25">
      <c r="A110" s="21">
        <f t="shared" si="64"/>
        <v>-7.8119999999999981E-2</v>
      </c>
      <c r="C110">
        <v>5</v>
      </c>
      <c r="D110" s="2">
        <v>-1</v>
      </c>
      <c r="E110" s="5" t="s">
        <v>123</v>
      </c>
      <c r="F110" s="2">
        <f t="shared" si="65"/>
        <v>12.5</v>
      </c>
      <c r="G110" s="32">
        <f t="shared" si="82"/>
        <v>17.5</v>
      </c>
      <c r="H110" s="2">
        <f t="shared" si="83"/>
        <v>17.5</v>
      </c>
      <c r="I110" s="2">
        <f t="shared" si="84"/>
        <v>8.5</v>
      </c>
      <c r="J110" s="2">
        <f t="shared" si="84"/>
        <v>9</v>
      </c>
      <c r="K110" s="10">
        <f t="shared" si="81"/>
        <v>-0.37142857142857122</v>
      </c>
      <c r="L110" s="10">
        <v>0</v>
      </c>
      <c r="M110" s="10">
        <f t="shared" si="85"/>
        <v>0.72</v>
      </c>
      <c r="N110" s="2">
        <f t="shared" si="78"/>
        <v>17.5</v>
      </c>
      <c r="O110" s="2">
        <f t="shared" si="79"/>
        <v>109.59375</v>
      </c>
      <c r="P110" s="2">
        <f t="shared" si="80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32">
        <f t="shared" si="71"/>
        <v>1</v>
      </c>
      <c r="S110" s="25">
        <f t="shared" si="86"/>
        <v>71.039999999999992</v>
      </c>
      <c r="T110" s="2">
        <f t="shared" si="76"/>
        <v>10</v>
      </c>
      <c r="U110" s="14">
        <f>-INDEX('Ship Design Balancing'!$K$2:$K$6,'Weapon Formulas'!C110)*(INDEX('Weapon Formulas'!$R$1:$R$3,'Weapon Formulas'!D110+2)*(1+'Weapon Formulas'!B110))</f>
        <v>-53.333333333333329</v>
      </c>
      <c r="V110">
        <v>1</v>
      </c>
    </row>
    <row r="111" spans="1:22" x14ac:dyDescent="0.25">
      <c r="A111" s="21">
        <f t="shared" si="64"/>
        <v>-0.13139999999999999</v>
      </c>
      <c r="C111">
        <v>5</v>
      </c>
      <c r="D111" s="2">
        <v>0</v>
      </c>
      <c r="E111" s="5" t="s">
        <v>124</v>
      </c>
      <c r="F111" s="2">
        <f t="shared" si="65"/>
        <v>12.5</v>
      </c>
      <c r="G111" s="32">
        <f t="shared" si="82"/>
        <v>18.75</v>
      </c>
      <c r="H111" s="2">
        <f t="shared" si="83"/>
        <v>18.75</v>
      </c>
      <c r="I111" s="2">
        <f t="shared" si="84"/>
        <v>7.4999999999999982</v>
      </c>
      <c r="J111" s="2">
        <f t="shared" si="84"/>
        <v>8.75</v>
      </c>
      <c r="K111" s="10">
        <f t="shared" si="81"/>
        <v>-0.60000000000000031</v>
      </c>
      <c r="L111" s="10">
        <v>0</v>
      </c>
      <c r="M111" s="10">
        <f>J111/F111</f>
        <v>0.7</v>
      </c>
      <c r="N111" s="2">
        <f t="shared" si="78"/>
        <v>37.5</v>
      </c>
      <c r="O111" s="2">
        <f t="shared" si="79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32">
        <f t="shared" si="71"/>
        <v>1</v>
      </c>
      <c r="S111" s="25">
        <f t="shared" si="86"/>
        <v>88.8</v>
      </c>
      <c r="T111" s="2">
        <f>INDEX($T$2:$T$6,C111)</f>
        <v>10</v>
      </c>
      <c r="U111" s="14">
        <f>-INDEX('Ship Design Balancing'!$K$2:$K$6,'Weapon Formulas'!C111)*(INDEX('Weapon Formulas'!$R$1:$R$3,'Weapon Formulas'!D111+2)*(1+'Weapon Formulas'!B111))</f>
        <v>-106.66666666666666</v>
      </c>
      <c r="V111">
        <v>1</v>
      </c>
    </row>
    <row r="112" spans="1:22" x14ac:dyDescent="0.25">
      <c r="A112" s="21">
        <f t="shared" si="64"/>
        <v>-0.18468000000000001</v>
      </c>
      <c r="C112">
        <v>5</v>
      </c>
      <c r="D112" s="2">
        <v>1</v>
      </c>
      <c r="E112" s="5" t="s">
        <v>125</v>
      </c>
      <c r="F112" s="2">
        <f t="shared" si="65"/>
        <v>12.5</v>
      </c>
      <c r="G112" s="32">
        <f t="shared" si="82"/>
        <v>20</v>
      </c>
      <c r="H112" s="2">
        <f t="shared" si="83"/>
        <v>20</v>
      </c>
      <c r="I112" s="2">
        <f t="shared" si="84"/>
        <v>6.4999999999999991</v>
      </c>
      <c r="J112" s="2">
        <f t="shared" si="84"/>
        <v>8.5</v>
      </c>
      <c r="K112" s="10">
        <f t="shared" si="81"/>
        <v>-0.8</v>
      </c>
      <c r="L112" s="10">
        <v>0</v>
      </c>
      <c r="M112" s="10">
        <f t="shared" si="85"/>
        <v>0.68</v>
      </c>
      <c r="N112" s="2">
        <f t="shared" si="78"/>
        <v>80</v>
      </c>
      <c r="O112" s="2">
        <f t="shared" si="79"/>
        <v>501</v>
      </c>
      <c r="P112" s="2">
        <f t="shared" si="80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32">
        <f t="shared" si="71"/>
        <v>1</v>
      </c>
      <c r="S112" s="25">
        <f t="shared" si="86"/>
        <v>106.56</v>
      </c>
      <c r="T112" s="2">
        <f t="shared" si="76"/>
        <v>10</v>
      </c>
      <c r="U112" s="14">
        <f>-INDEX('Ship Design Balancing'!$K$2:$K$6,'Weapon Formulas'!C112)*(INDEX('Weapon Formulas'!$R$1:$R$3,'Weapon Formulas'!D112+2)*(1+'Weapon Formulas'!B112))</f>
        <v>-213.33333333333331</v>
      </c>
      <c r="V112">
        <v>1</v>
      </c>
    </row>
    <row r="113" spans="1:22" x14ac:dyDescent="0.25">
      <c r="A113" s="21">
        <f t="shared" si="64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64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5"/>
        <v>20</v>
      </c>
      <c r="G114" s="32">
        <f>IF(G$113=1,H114,H114/(R114-INDEX($O$2:$O$6,C114)))</f>
        <v>28</v>
      </c>
      <c r="H114" s="2">
        <f>$F114*(INDEX($F$3:$F$5,H$113)+(($C114+($D114*$F$7))*INDEX($G$3:$G$5,H$113)))</f>
        <v>28</v>
      </c>
      <c r="I114" s="2">
        <f t="shared" ref="I114:J115" si="87">$F114*(INDEX($F$3:$F$5,I$113)+(($C114+($D114*$F$7))*INDEX($G$3:$G$5,I$113)))</f>
        <v>9.6</v>
      </c>
      <c r="J114" s="2">
        <f t="shared" si="87"/>
        <v>28</v>
      </c>
      <c r="K114" s="10">
        <f>1-((1-(I114/G114))/INDEX($P$2:$P$6,C114))</f>
        <v>-1.0219780219780219</v>
      </c>
      <c r="L114" s="10">
        <v>0</v>
      </c>
      <c r="M114" s="10">
        <v>1</v>
      </c>
      <c r="N114" s="2">
        <f t="shared" si="78"/>
        <v>56</v>
      </c>
      <c r="O114" s="2">
        <f t="shared" si="79"/>
        <v>105</v>
      </c>
      <c r="P114" s="2">
        <f t="shared" si="80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32">
        <f t="shared" si="71"/>
        <v>1</v>
      </c>
      <c r="S114" s="25">
        <f>($S$113)*(1+(D114*$F$8))*(1+((C114-1)*$J$3))</f>
        <v>81.599999999999994</v>
      </c>
      <c r="T114" s="2">
        <f t="shared" si="76"/>
        <v>7.5</v>
      </c>
      <c r="U114" s="14">
        <f>-INDEX('Ship Design Balancing'!$K$2:$K$6,'Weapon Formulas'!C114)*(INDEX('Weapon Formulas'!$R$1:$R$3,'Weapon Formulas'!D114+2)*(1+'Weapon Formulas'!B114))</f>
        <v>-106.66666666666666</v>
      </c>
      <c r="V114">
        <v>1</v>
      </c>
    </row>
    <row r="115" spans="1:22" x14ac:dyDescent="0.25">
      <c r="A115" s="21">
        <f t="shared" si="64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5"/>
        <v>25</v>
      </c>
      <c r="G115" s="32">
        <f>IF(G$113=1,H115,H115/(R115-INDEX($O$2:$O$6,C115)))</f>
        <v>37.5</v>
      </c>
      <c r="H115" s="2">
        <f>$F115*(INDEX($F$3:$F$5,H$113)+(($C115+($D115*$F$7))*INDEX($G$3:$G$5,H$113)))</f>
        <v>37.5</v>
      </c>
      <c r="I115" s="2">
        <f t="shared" si="87"/>
        <v>10</v>
      </c>
      <c r="J115" s="2">
        <f t="shared" si="87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8"/>
        <v>75</v>
      </c>
      <c r="O115" s="2">
        <f t="shared" si="79"/>
        <v>140.625</v>
      </c>
      <c r="P115" s="2">
        <f t="shared" si="80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32">
        <f t="shared" si="71"/>
        <v>1</v>
      </c>
      <c r="S115" s="25">
        <f>($S$113)*(1+(D115*$F$8))*(1+((C115-1)*$J$3))</f>
        <v>88.8</v>
      </c>
      <c r="T115" s="2">
        <f t="shared" si="76"/>
        <v>10</v>
      </c>
      <c r="U115" s="14">
        <f>-INDEX('Ship Design Balancing'!$K$2:$K$6,'Weapon Formulas'!C115)*(INDEX('Weapon Formulas'!$R$1:$R$3,'Weapon Formulas'!D115+2)*(1+'Weapon Formulas'!B115))</f>
        <v>-213.33333333333331</v>
      </c>
      <c r="V115">
        <v>1</v>
      </c>
    </row>
    <row r="116" spans="1:22" x14ac:dyDescent="0.25">
      <c r="A116" s="21">
        <f t="shared" si="64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64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8">($F$2+(C117*$F$1))*(B117+1)</f>
        <v>15</v>
      </c>
      <c r="G117" s="32">
        <f>IF(G$116=1,H117,H117/(R117-INDEX($O$2:$O$6,C117)))</f>
        <v>15</v>
      </c>
      <c r="H117" s="2">
        <f>$F117*(INDEX($F$3:$F$5,H$116)+(($C117+($D117*$F$7))*INDEX($G$3:$G$5,H$116)))</f>
        <v>7.1999999999999993</v>
      </c>
      <c r="I117" s="2">
        <f t="shared" ref="I117:J119" si="89">$F117*(INDEX($F$3:$F$5,I$116)+(($C117+($D117*$F$7))*INDEX($G$3:$G$5,I$116)))</f>
        <v>21</v>
      </c>
      <c r="J117" s="2">
        <f t="shared" si="89"/>
        <v>21</v>
      </c>
      <c r="K117" s="10">
        <f t="shared" ref="K117:K119" si="90">1-((1-(I117/G117))/INDEX($P$2:$P$6,C117))</f>
        <v>2.333333333333333</v>
      </c>
      <c r="L117" s="10">
        <v>0</v>
      </c>
      <c r="M117" s="10">
        <v>1</v>
      </c>
      <c r="N117" s="2">
        <f t="shared" ref="N117:N119" si="91">(AVERAGE(O117,P117)*R117)/Q117</f>
        <v>15</v>
      </c>
      <c r="O117" s="2">
        <f t="shared" ref="O117:O118" si="92">0.75*(((G117*INDEX($R$1:$R$3,$D117+2))*Q117)/R117)/4</f>
        <v>163.04347826086956</v>
      </c>
      <c r="P117" s="2">
        <f t="shared" ref="P117:P118" si="93">1.25*(((G117*INDEX($R$1:$R$3,$D117+2))*Q117)/R117)/4</f>
        <v>271.73913043478262</v>
      </c>
      <c r="Q117" s="2">
        <v>10</v>
      </c>
      <c r="R117" s="32">
        <f t="shared" si="71"/>
        <v>0.69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  <c r="V117">
        <v>0.75</v>
      </c>
    </row>
    <row r="118" spans="1:22" x14ac:dyDescent="0.25">
      <c r="A118" s="21">
        <f t="shared" si="64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8"/>
        <v>20</v>
      </c>
      <c r="G118" s="32">
        <f t="shared" ref="G118:G119" si="94">IF(G$116=1,H118,H118/(R118-INDEX($O$2:$O$6,C118)))</f>
        <v>20.000000000000004</v>
      </c>
      <c r="H118" s="2">
        <f>$F118*(INDEX($F$3:$F$5,H$116)+(($C118+($D118*$F$7))*INDEX($G$3:$G$5,H$116)))</f>
        <v>7.9999999999999991</v>
      </c>
      <c r="I118" s="2">
        <f t="shared" si="89"/>
        <v>30</v>
      </c>
      <c r="J118" s="2">
        <f t="shared" si="89"/>
        <v>30</v>
      </c>
      <c r="K118" s="10">
        <f t="shared" si="90"/>
        <v>2.5384615384615374</v>
      </c>
      <c r="L118" s="10">
        <v>0</v>
      </c>
      <c r="M118" s="10">
        <v>1</v>
      </c>
      <c r="N118" s="2">
        <f t="shared" si="91"/>
        <v>20.000000000000004</v>
      </c>
      <c r="O118" s="2">
        <f t="shared" si="92"/>
        <v>220.58823529411768</v>
      </c>
      <c r="P118" s="2">
        <f t="shared" si="93"/>
        <v>367.64705882352951</v>
      </c>
      <c r="Q118" s="2">
        <v>10</v>
      </c>
      <c r="R118" s="32">
        <f t="shared" si="71"/>
        <v>0.67999999999999994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  <c r="V118">
        <v>0.75</v>
      </c>
    </row>
    <row r="119" spans="1:22" x14ac:dyDescent="0.25">
      <c r="A119" s="21">
        <f t="shared" si="64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25</v>
      </c>
      <c r="G119" s="32">
        <f>IF(G$116=1,H119,H119/(R119-INDEX($O$2:$O$6,C119)))</f>
        <v>25.000000000000007</v>
      </c>
      <c r="H119" s="2">
        <f>$F119*(INDEX($F$3:$F$5,H$116)+(($C119+($D119*$F$7))*INDEX($G$3:$G$5,H$116)))</f>
        <v>7.9999999999999991</v>
      </c>
      <c r="I119" s="2">
        <f t="shared" si="89"/>
        <v>40</v>
      </c>
      <c r="J119" s="2">
        <f t="shared" si="89"/>
        <v>40</v>
      </c>
      <c r="K119" s="10">
        <f t="shared" si="90"/>
        <v>2.5999999999999988</v>
      </c>
      <c r="L119" s="10">
        <v>0</v>
      </c>
      <c r="M119" s="10">
        <v>1</v>
      </c>
      <c r="N119" s="2">
        <f t="shared" si="91"/>
        <v>25.000000000000007</v>
      </c>
      <c r="O119" s="2">
        <f>0.75*(((G119*INDEX($R$1:$R$3,$D119+2))*Q119)/R119)/4</f>
        <v>279.85074626865679</v>
      </c>
      <c r="P119" s="2">
        <f>1.25*(((G119*INDEX($R$1:$R$3,$D119+2))*Q119)/R119)/4</f>
        <v>466.41791044776136</v>
      </c>
      <c r="Q119" s="2">
        <v>10</v>
      </c>
      <c r="R119" s="32">
        <f t="shared" si="71"/>
        <v>0.66999999999999993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0:F169" si="95">($F$2+(C121*$F$1))*(B121+1)</f>
        <v>2.5</v>
      </c>
      <c r="G121" s="32">
        <f>IF(G$120=1,H121,H121/(R121-INDEX($O$2:$O$6,C121)))</f>
        <v>2.688172043010753</v>
      </c>
      <c r="H121" s="30">
        <f>$F121*(INDEX($F$3:$F$5,H$120)+(($C121+($D121*$F$7))*INDEX($G$3:$G$5,H$120)))</f>
        <v>2.5</v>
      </c>
      <c r="I121" s="30">
        <f t="shared" ref="I121:J124" si="96">$F121*(INDEX($F$3:$F$5,I$120)+(($C121+($D121*$F$7))*INDEX($G$3:$G$5,I$120)))</f>
        <v>2</v>
      </c>
      <c r="J121" s="30">
        <f t="shared" si="96"/>
        <v>0.5</v>
      </c>
      <c r="K121" s="10">
        <f>1-((1-(I121/G121))/INDEX($P$2:$P$6,C121))</f>
        <v>-5.400000000000003</v>
      </c>
      <c r="L121" s="10">
        <v>0</v>
      </c>
      <c r="M121" s="10">
        <f>J121/F121</f>
        <v>0.2</v>
      </c>
      <c r="N121" s="32">
        <f>(AVERAGE(O121,P121)*R121)/Q121</f>
        <v>2.688172043010753</v>
      </c>
      <c r="O121" s="32">
        <f>0.75*(((G121*INDEX($R$1:$R$3,$D121+2))*Q121)/R121)</f>
        <v>8.7701612903225801</v>
      </c>
      <c r="P121" s="32">
        <f>1.25*(((G121*INDEX($R$1:$R$3,$D121+2))*Q121)/R121)</f>
        <v>14.616935483870968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2">
        <f>IF((H121/F121)+INDEX($O$2:$O$6,$C121)&gt;1,1,(H121/F121)+INDEX($O$2:$O$6,$C121))</f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95"/>
        <v>2.5</v>
      </c>
      <c r="G122" s="32">
        <f>IF(G$120=1,H122,H122/(R122-INDEX($O$2:$O$6,C122)))</f>
        <v>2.956989247311828</v>
      </c>
      <c r="H122" s="30">
        <f>$F122*(INDEX($F$3:$F$5,H$120)+(($C122+($D122*$F$7))*INDEX($G$3:$G$5,H$120)))</f>
        <v>2.75</v>
      </c>
      <c r="I122" s="30">
        <f t="shared" si="96"/>
        <v>1.7999999999999998</v>
      </c>
      <c r="J122" s="30">
        <f t="shared" si="96"/>
        <v>0.44999999999999996</v>
      </c>
      <c r="K122" s="10">
        <f>1-((1-(I122/G122))/INDEX($P$2:$P$6,C122))</f>
        <v>-8.7818181818181831</v>
      </c>
      <c r="L122" s="10">
        <v>0</v>
      </c>
      <c r="M122" s="10">
        <f>J122/F122</f>
        <v>0.18</v>
      </c>
      <c r="N122" s="32">
        <f>(AVERAGE(O122,P122)*R122)/Q122</f>
        <v>5.9139784946236569</v>
      </c>
      <c r="O122" s="32">
        <f>0.75*(((G122*INDEX($R$1:$R$3,$D122+2))*Q122)/R122)</f>
        <v>19.294354838709676</v>
      </c>
      <c r="P122" s="32">
        <f>1.25*(((G122*INDEX($R$1:$R$3,$D122+2))*Q122)/R122)</f>
        <v>32.157258064516128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2">
        <f>IF((H122/F122)+INDEX($O$2:$O$6,$C122)&gt;1,1,(H122/F122)+INDEX($O$2:$O$6,$C122))</f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-6.6666666666666661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3</v>
      </c>
      <c r="I123" s="13">
        <v>1</v>
      </c>
      <c r="J123" s="13">
        <v>2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2.5</v>
      </c>
      <c r="G124" s="32">
        <f>IF(G$123=1,H124,H124/(R124-INDEX($O$2:$O$6,C124)))</f>
        <v>2.5</v>
      </c>
      <c r="H124" s="32">
        <f>$F124*(INDEX($F$3:$F$5,H$123)+(($C124+($D124*$F$7))*INDEX($G$3:$G$5,H$123)))</f>
        <v>0.5</v>
      </c>
      <c r="I124" s="32">
        <f>$F124*(INDEX($F$3:$F$5,I$123)+(($C124+($D124*$F$7))*INDEX($G$3:$G$5,I$123)))</f>
        <v>2.5</v>
      </c>
      <c r="J124" s="32">
        <f>$F124*(INDEX($F$3:$F$5,J$123)+(($C124+($D124*$F$7))*INDEX($G$3:$G$5,J$123)))</f>
        <v>2</v>
      </c>
      <c r="K124" s="10">
        <f>1-((1-(I124/G124))/INDEX($P$2:$P$6,C124))</f>
        <v>1</v>
      </c>
      <c r="L124" s="10">
        <f>(INDEX($Q$2:$Q$6,C124)/((1/INDEX($F$4:$F$6,J$124))-1))</f>
        <v>0.02</v>
      </c>
      <c r="M124" s="10">
        <v>0</v>
      </c>
      <c r="N124" s="32">
        <f>(AVERAGE(O124,P124)*R124)/Q124</f>
        <v>2.5000000000000004</v>
      </c>
      <c r="O124" s="32">
        <f>0.75*(((G124*INDEX($R$1:$R$3,$D124+2))*Q124)/R124)</f>
        <v>30.208333333333336</v>
      </c>
      <c r="P124" s="32">
        <f>1.25*(((G124*INDEX($R$1:$R$3,$D124+2))*Q124)/R124)</f>
        <v>50.347222222222221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2">
        <f>IF((H124/F124)+INDEX($O$2:$O$6,$C124)&gt;1,1,(H124/F124)+INDEX($O$2:$O$6,$C124))</f>
        <v>0.27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7" si="97">($F$2+(C125*$F$1))*(B125+1)</f>
        <v>2.5</v>
      </c>
      <c r="G125" s="32">
        <f t="shared" ref="G125:G147" si="98">IF(G$123=1,H125,H125/(R125-INDEX($O$2:$O$6,C125)))</f>
        <v>2.5</v>
      </c>
      <c r="H125" s="32">
        <f t="shared" ref="H125:J148" si="99">$F125*(INDEX($F$3:$F$5,H$123)+(($C125+($D125*$F$7))*INDEX($G$3:$G$5,H$123)))</f>
        <v>0.44999999999999996</v>
      </c>
      <c r="I125" s="32">
        <f t="shared" si="99"/>
        <v>2.75</v>
      </c>
      <c r="J125" s="32">
        <f t="shared" si="99"/>
        <v>1.7999999999999998</v>
      </c>
      <c r="K125" s="10">
        <f t="shared" ref="K125:K147" si="100">1-((1-(I125/G125))/INDEX($P$2:$P$6,C125))</f>
        <v>3.5000000000000022</v>
      </c>
      <c r="L125" s="10">
        <f t="shared" ref="L125:L147" si="101">(INDEX($Q$2:$Q$6,C125)/((1/INDEX($F$4:$F$6,J$124))-1))</f>
        <v>0.02</v>
      </c>
      <c r="M125" s="10">
        <v>0</v>
      </c>
      <c r="N125" s="32">
        <f t="shared" ref="N125:N147" si="102">(AVERAGE(O125,P125)*R125)/Q125</f>
        <v>5</v>
      </c>
      <c r="O125" s="32">
        <f t="shared" ref="O125:O147" si="103">0.75*(((G125*INDEX($R$1:$R$3,$D125+2))*Q125)/R125)</f>
        <v>65.25</v>
      </c>
      <c r="P125" s="32">
        <f t="shared" ref="P125:P147" si="104">1.25*(((G125*INDEX($R$1:$R$3,$D125+2))*Q125)/R125)</f>
        <v>108.75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2">
        <f>IF((H125/F125)+INDEX($O$2:$O$6,$C125)&gt;1,1,(H125/F125)+INDEX($O$2:$O$6,$C125))</f>
        <v>0.25</v>
      </c>
      <c r="S125" s="32">
        <f t="shared" ref="S125:S147" si="105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-6.6666666666666661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7"/>
        <v>2.5</v>
      </c>
      <c r="G126" s="32">
        <f t="shared" si="98"/>
        <v>2.5</v>
      </c>
      <c r="H126" s="32">
        <f t="shared" si="99"/>
        <v>0.4</v>
      </c>
      <c r="I126" s="32">
        <f t="shared" si="99"/>
        <v>3</v>
      </c>
      <c r="J126" s="32">
        <f t="shared" si="99"/>
        <v>1.6</v>
      </c>
      <c r="K126" s="10">
        <f t="shared" si="100"/>
        <v>5.9999999999999991</v>
      </c>
      <c r="L126" s="10">
        <f t="shared" si="101"/>
        <v>0.02</v>
      </c>
      <c r="M126" s="10">
        <v>0</v>
      </c>
      <c r="N126" s="32">
        <f t="shared" si="102"/>
        <v>10</v>
      </c>
      <c r="O126" s="32">
        <f t="shared" si="103"/>
        <v>141.8478260869565</v>
      </c>
      <c r="P126" s="32">
        <f t="shared" si="104"/>
        <v>236.41304347826087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2">
        <f t="shared" ref="R125:R147" si="106">IF((H126/F126)+INDEX($O$2:$O$6,$C126)&gt;1,1,(H126/F126)+INDEX($O$2:$O$6,$C126))</f>
        <v>0.23</v>
      </c>
      <c r="S126" s="32">
        <f t="shared" si="105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-13.333333333333332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7"/>
        <v>2.5</v>
      </c>
      <c r="G127" s="32">
        <f t="shared" si="98"/>
        <v>2.5</v>
      </c>
      <c r="H127" s="32">
        <f t="shared" si="99"/>
        <v>0.5</v>
      </c>
      <c r="I127" s="32">
        <f t="shared" si="99"/>
        <v>2.5</v>
      </c>
      <c r="J127" s="32">
        <f t="shared" si="99"/>
        <v>2</v>
      </c>
      <c r="K127" s="10">
        <f t="shared" si="100"/>
        <v>1</v>
      </c>
      <c r="L127" s="10">
        <f t="shared" si="101"/>
        <v>0.02</v>
      </c>
      <c r="M127" s="10">
        <v>0</v>
      </c>
      <c r="N127" s="32">
        <f t="shared" si="102"/>
        <v>2.5000000000000004</v>
      </c>
      <c r="O127" s="32">
        <f t="shared" si="103"/>
        <v>30.208333333333336</v>
      </c>
      <c r="P127" s="32">
        <f t="shared" si="104"/>
        <v>50.347222222222221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2">
        <f t="shared" si="106"/>
        <v>0.27</v>
      </c>
      <c r="S127" s="32">
        <f t="shared" si="105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7"/>
        <v>2.5</v>
      </c>
      <c r="G128" s="32">
        <f t="shared" si="98"/>
        <v>2.5</v>
      </c>
      <c r="H128" s="32">
        <f t="shared" si="99"/>
        <v>0.44999999999999996</v>
      </c>
      <c r="I128" s="32">
        <f t="shared" si="99"/>
        <v>2.75</v>
      </c>
      <c r="J128" s="32">
        <f t="shared" si="99"/>
        <v>1.7999999999999998</v>
      </c>
      <c r="K128" s="10">
        <f t="shared" si="100"/>
        <v>3.5000000000000022</v>
      </c>
      <c r="L128" s="10">
        <f t="shared" si="101"/>
        <v>0.02</v>
      </c>
      <c r="M128" s="10">
        <v>0</v>
      </c>
      <c r="N128" s="32">
        <f t="shared" si="102"/>
        <v>5</v>
      </c>
      <c r="O128" s="32">
        <f t="shared" si="103"/>
        <v>65.25</v>
      </c>
      <c r="P128" s="32">
        <f t="shared" si="104"/>
        <v>108.75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2">
        <f t="shared" si="106"/>
        <v>0.25</v>
      </c>
      <c r="S128" s="32">
        <f t="shared" si="105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-6.6666666666666661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7"/>
        <v>2.5</v>
      </c>
      <c r="G129" s="32">
        <f t="shared" si="98"/>
        <v>2.5</v>
      </c>
      <c r="H129" s="32">
        <f t="shared" si="99"/>
        <v>0.4</v>
      </c>
      <c r="I129" s="32">
        <f t="shared" si="99"/>
        <v>3</v>
      </c>
      <c r="J129" s="32">
        <f t="shared" si="99"/>
        <v>1.6</v>
      </c>
      <c r="K129" s="10">
        <f t="shared" si="100"/>
        <v>5.9999999999999991</v>
      </c>
      <c r="L129" s="10">
        <f t="shared" si="101"/>
        <v>0.02</v>
      </c>
      <c r="M129" s="10">
        <v>0</v>
      </c>
      <c r="N129" s="32">
        <f t="shared" si="102"/>
        <v>10</v>
      </c>
      <c r="O129" s="32">
        <f t="shared" si="103"/>
        <v>141.8478260869565</v>
      </c>
      <c r="P129" s="32">
        <f t="shared" si="104"/>
        <v>236.41304347826087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2">
        <f t="shared" si="106"/>
        <v>0.23</v>
      </c>
      <c r="S129" s="32">
        <f t="shared" si="105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-13.333333333333332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7"/>
        <v>2.5</v>
      </c>
      <c r="G130" s="32">
        <f t="shared" si="98"/>
        <v>2.5</v>
      </c>
      <c r="H130" s="32">
        <f t="shared" si="99"/>
        <v>0.5</v>
      </c>
      <c r="I130" s="32">
        <f t="shared" si="99"/>
        <v>2.5</v>
      </c>
      <c r="J130" s="32">
        <f t="shared" si="99"/>
        <v>2</v>
      </c>
      <c r="K130" s="10">
        <f t="shared" si="100"/>
        <v>1</v>
      </c>
      <c r="L130" s="10">
        <f t="shared" si="101"/>
        <v>0.02</v>
      </c>
      <c r="M130" s="10">
        <v>0</v>
      </c>
      <c r="N130" s="32">
        <f t="shared" si="102"/>
        <v>2.5000000000000004</v>
      </c>
      <c r="O130" s="32">
        <f t="shared" si="103"/>
        <v>30.208333333333336</v>
      </c>
      <c r="P130" s="32">
        <f t="shared" si="104"/>
        <v>50.347222222222221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2">
        <f t="shared" si="106"/>
        <v>0.27</v>
      </c>
      <c r="S130" s="32">
        <f t="shared" si="105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7"/>
        <v>2.5</v>
      </c>
      <c r="G131" s="32">
        <f t="shared" si="98"/>
        <v>2.5</v>
      </c>
      <c r="H131" s="32">
        <f t="shared" si="99"/>
        <v>0.44999999999999996</v>
      </c>
      <c r="I131" s="32">
        <f t="shared" si="99"/>
        <v>2.75</v>
      </c>
      <c r="J131" s="32">
        <f t="shared" si="99"/>
        <v>1.7999999999999998</v>
      </c>
      <c r="K131" s="10">
        <f t="shared" si="100"/>
        <v>3.5000000000000022</v>
      </c>
      <c r="L131" s="10">
        <f t="shared" si="101"/>
        <v>0.02</v>
      </c>
      <c r="M131" s="10">
        <v>0</v>
      </c>
      <c r="N131" s="32">
        <f t="shared" si="102"/>
        <v>5</v>
      </c>
      <c r="O131" s="32">
        <f t="shared" si="103"/>
        <v>65.25</v>
      </c>
      <c r="P131" s="32">
        <f t="shared" si="104"/>
        <v>108.75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2">
        <f t="shared" si="106"/>
        <v>0.25</v>
      </c>
      <c r="S131" s="32">
        <f t="shared" si="105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-6.6666666666666661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7"/>
        <v>2.5</v>
      </c>
      <c r="G132" s="32">
        <f t="shared" si="98"/>
        <v>2.5</v>
      </c>
      <c r="H132" s="32">
        <f t="shared" si="99"/>
        <v>0.4</v>
      </c>
      <c r="I132" s="32">
        <f t="shared" si="99"/>
        <v>3</v>
      </c>
      <c r="J132" s="32">
        <f t="shared" si="99"/>
        <v>1.6</v>
      </c>
      <c r="K132" s="10">
        <f t="shared" si="100"/>
        <v>5.9999999999999991</v>
      </c>
      <c r="L132" s="10">
        <f t="shared" si="101"/>
        <v>0.02</v>
      </c>
      <c r="M132" s="10">
        <v>0</v>
      </c>
      <c r="N132" s="32">
        <f t="shared" si="102"/>
        <v>10</v>
      </c>
      <c r="O132" s="32">
        <f t="shared" si="103"/>
        <v>141.8478260869565</v>
      </c>
      <c r="P132" s="32">
        <f t="shared" si="104"/>
        <v>236.41304347826087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2">
        <f t="shared" si="106"/>
        <v>0.23</v>
      </c>
      <c r="S132" s="32">
        <f t="shared" si="105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-13.333333333333332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7"/>
        <v>2.5</v>
      </c>
      <c r="G133" s="32">
        <f t="shared" si="98"/>
        <v>2.5</v>
      </c>
      <c r="H133" s="32">
        <f t="shared" si="99"/>
        <v>0.5</v>
      </c>
      <c r="I133" s="32">
        <f t="shared" si="99"/>
        <v>2.5</v>
      </c>
      <c r="J133" s="32">
        <f t="shared" si="99"/>
        <v>2</v>
      </c>
      <c r="K133" s="10">
        <f t="shared" si="100"/>
        <v>1</v>
      </c>
      <c r="L133" s="10">
        <f t="shared" si="101"/>
        <v>0.02</v>
      </c>
      <c r="M133" s="10">
        <v>0</v>
      </c>
      <c r="N133" s="32">
        <f t="shared" si="102"/>
        <v>2.5000000000000004</v>
      </c>
      <c r="O133" s="32">
        <f t="shared" si="103"/>
        <v>30.208333333333336</v>
      </c>
      <c r="P133" s="32">
        <f t="shared" si="104"/>
        <v>50.347222222222221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2">
        <f t="shared" si="106"/>
        <v>0.27</v>
      </c>
      <c r="S133" s="32">
        <f t="shared" si="105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7"/>
        <v>2.5</v>
      </c>
      <c r="G134" s="32">
        <f t="shared" si="98"/>
        <v>2.5</v>
      </c>
      <c r="H134" s="32">
        <f t="shared" si="99"/>
        <v>0.44999999999999996</v>
      </c>
      <c r="I134" s="32">
        <f t="shared" si="99"/>
        <v>2.75</v>
      </c>
      <c r="J134" s="32">
        <f t="shared" si="99"/>
        <v>1.7999999999999998</v>
      </c>
      <c r="K134" s="10">
        <f t="shared" si="100"/>
        <v>3.5000000000000022</v>
      </c>
      <c r="L134" s="10">
        <f t="shared" si="101"/>
        <v>0.02</v>
      </c>
      <c r="M134" s="10">
        <v>0</v>
      </c>
      <c r="N134" s="32">
        <f t="shared" si="102"/>
        <v>5</v>
      </c>
      <c r="O134" s="32">
        <f t="shared" si="103"/>
        <v>65.25</v>
      </c>
      <c r="P134" s="32">
        <f t="shared" si="104"/>
        <v>108.75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2">
        <f t="shared" si="106"/>
        <v>0.25</v>
      </c>
      <c r="S134" s="32">
        <f t="shared" si="105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-6.6666666666666661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7"/>
        <v>2.5</v>
      </c>
      <c r="G135" s="32">
        <f t="shared" si="98"/>
        <v>2.5</v>
      </c>
      <c r="H135" s="32">
        <f t="shared" si="99"/>
        <v>0.4</v>
      </c>
      <c r="I135" s="32">
        <f t="shared" si="99"/>
        <v>3</v>
      </c>
      <c r="J135" s="32">
        <f t="shared" si="99"/>
        <v>1.6</v>
      </c>
      <c r="K135" s="10">
        <f t="shared" si="100"/>
        <v>5.9999999999999991</v>
      </c>
      <c r="L135" s="10">
        <f t="shared" si="101"/>
        <v>0.02</v>
      </c>
      <c r="M135" s="10">
        <v>0</v>
      </c>
      <c r="N135" s="32">
        <f t="shared" si="102"/>
        <v>10</v>
      </c>
      <c r="O135" s="32">
        <f t="shared" si="103"/>
        <v>141.8478260869565</v>
      </c>
      <c r="P135" s="32">
        <f t="shared" si="104"/>
        <v>236.41304347826087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2">
        <f t="shared" si="106"/>
        <v>0.23</v>
      </c>
      <c r="S135" s="32">
        <f t="shared" si="105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-13.333333333333332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7"/>
        <v>5</v>
      </c>
      <c r="G136" s="32">
        <f t="shared" si="98"/>
        <v>5</v>
      </c>
      <c r="H136" s="32">
        <f t="shared" si="99"/>
        <v>0.89999999999999991</v>
      </c>
      <c r="I136" s="32">
        <f t="shared" si="99"/>
        <v>5.5</v>
      </c>
      <c r="J136" s="32">
        <f t="shared" si="99"/>
        <v>3.5999999999999996</v>
      </c>
      <c r="K136" s="10">
        <f t="shared" si="100"/>
        <v>1.555555555555556</v>
      </c>
      <c r="L136" s="10">
        <f t="shared" si="101"/>
        <v>0.09</v>
      </c>
      <c r="M136" s="10">
        <v>0</v>
      </c>
      <c r="N136" s="32">
        <f t="shared" si="102"/>
        <v>5</v>
      </c>
      <c r="O136" s="32">
        <f t="shared" si="103"/>
        <v>50.9765625</v>
      </c>
      <c r="P136" s="32">
        <f t="shared" si="104"/>
        <v>84.9609375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2">
        <f t="shared" si="106"/>
        <v>0.32</v>
      </c>
      <c r="S136" s="32">
        <f t="shared" si="105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-6.6666666666666661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7"/>
        <v>5</v>
      </c>
      <c r="G137" s="32">
        <f t="shared" si="98"/>
        <v>4.9999999999999991</v>
      </c>
      <c r="H137" s="32">
        <f t="shared" si="99"/>
        <v>0.8</v>
      </c>
      <c r="I137" s="32">
        <f t="shared" si="99"/>
        <v>6</v>
      </c>
      <c r="J137" s="32">
        <f t="shared" si="99"/>
        <v>3.2</v>
      </c>
      <c r="K137" s="10">
        <f t="shared" si="100"/>
        <v>2.111111111111112</v>
      </c>
      <c r="L137" s="10">
        <f t="shared" si="101"/>
        <v>0.09</v>
      </c>
      <c r="M137" s="10">
        <v>0</v>
      </c>
      <c r="N137" s="32">
        <f t="shared" si="102"/>
        <v>10</v>
      </c>
      <c r="O137" s="32">
        <f t="shared" si="103"/>
        <v>108.74999999999996</v>
      </c>
      <c r="P137" s="32">
        <f t="shared" si="104"/>
        <v>181.24999999999994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2">
        <f t="shared" si="106"/>
        <v>0.30000000000000004</v>
      </c>
      <c r="S137" s="32">
        <f t="shared" si="105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-13.333333333333332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7"/>
        <v>5</v>
      </c>
      <c r="G138" s="32">
        <f t="shared" si="98"/>
        <v>5</v>
      </c>
      <c r="H138" s="32">
        <f t="shared" si="99"/>
        <v>0.70000000000000007</v>
      </c>
      <c r="I138" s="32">
        <f t="shared" si="99"/>
        <v>6.5</v>
      </c>
      <c r="J138" s="32">
        <f t="shared" si="99"/>
        <v>2.8000000000000003</v>
      </c>
      <c r="K138" s="10">
        <f t="shared" si="100"/>
        <v>2.666666666666667</v>
      </c>
      <c r="L138" s="10">
        <f t="shared" si="101"/>
        <v>0.09</v>
      </c>
      <c r="M138" s="10">
        <v>0</v>
      </c>
      <c r="N138" s="32">
        <f t="shared" si="102"/>
        <v>20</v>
      </c>
      <c r="O138" s="32">
        <f t="shared" si="103"/>
        <v>233.03571428571425</v>
      </c>
      <c r="P138" s="32">
        <f t="shared" si="104"/>
        <v>388.39285714285711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2">
        <f t="shared" si="106"/>
        <v>0.28000000000000003</v>
      </c>
      <c r="S138" s="32">
        <f t="shared" si="105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-26.666666666666664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7"/>
        <v>5</v>
      </c>
      <c r="G139" s="32">
        <f t="shared" si="98"/>
        <v>5</v>
      </c>
      <c r="H139" s="32">
        <f t="shared" si="99"/>
        <v>0.89999999999999991</v>
      </c>
      <c r="I139" s="32">
        <f t="shared" si="99"/>
        <v>5.5</v>
      </c>
      <c r="J139" s="32">
        <f t="shared" si="99"/>
        <v>3.5999999999999996</v>
      </c>
      <c r="K139" s="10">
        <f t="shared" si="100"/>
        <v>1.555555555555556</v>
      </c>
      <c r="L139" s="10">
        <f t="shared" si="101"/>
        <v>0.09</v>
      </c>
      <c r="M139" s="10">
        <v>0</v>
      </c>
      <c r="N139" s="32">
        <f t="shared" si="102"/>
        <v>5</v>
      </c>
      <c r="O139" s="32">
        <f t="shared" si="103"/>
        <v>50.9765625</v>
      </c>
      <c r="P139" s="32">
        <f t="shared" si="104"/>
        <v>84.9609375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2">
        <f t="shared" si="106"/>
        <v>0.32</v>
      </c>
      <c r="S139" s="32">
        <f t="shared" si="105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-6.6666666666666661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7"/>
        <v>5</v>
      </c>
      <c r="G140" s="32">
        <f t="shared" si="98"/>
        <v>4.9999999999999991</v>
      </c>
      <c r="H140" s="32">
        <f t="shared" si="99"/>
        <v>0.8</v>
      </c>
      <c r="I140" s="32">
        <f t="shared" si="99"/>
        <v>6</v>
      </c>
      <c r="J140" s="32">
        <f t="shared" si="99"/>
        <v>3.2</v>
      </c>
      <c r="K140" s="10">
        <f t="shared" si="100"/>
        <v>2.111111111111112</v>
      </c>
      <c r="L140" s="10">
        <f t="shared" si="101"/>
        <v>0.09</v>
      </c>
      <c r="M140" s="10">
        <v>0</v>
      </c>
      <c r="N140" s="32">
        <f t="shared" si="102"/>
        <v>10</v>
      </c>
      <c r="O140" s="32">
        <f t="shared" si="103"/>
        <v>108.74999999999996</v>
      </c>
      <c r="P140" s="32">
        <f t="shared" si="104"/>
        <v>181.24999999999994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2">
        <f t="shared" si="106"/>
        <v>0.30000000000000004</v>
      </c>
      <c r="S140" s="32">
        <f t="shared" si="105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-13.333333333333332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7"/>
        <v>5</v>
      </c>
      <c r="G141" s="32">
        <f t="shared" si="98"/>
        <v>5</v>
      </c>
      <c r="H141" s="32">
        <f t="shared" si="99"/>
        <v>0.70000000000000007</v>
      </c>
      <c r="I141" s="32">
        <f t="shared" si="99"/>
        <v>6.5</v>
      </c>
      <c r="J141" s="32">
        <f t="shared" si="99"/>
        <v>2.8000000000000003</v>
      </c>
      <c r="K141" s="10">
        <f t="shared" si="100"/>
        <v>2.666666666666667</v>
      </c>
      <c r="L141" s="10">
        <f t="shared" si="101"/>
        <v>0.09</v>
      </c>
      <c r="M141" s="10">
        <v>0</v>
      </c>
      <c r="N141" s="32">
        <f t="shared" si="102"/>
        <v>20</v>
      </c>
      <c r="O141" s="32">
        <f t="shared" si="103"/>
        <v>233.03571428571425</v>
      </c>
      <c r="P141" s="32">
        <f t="shared" si="104"/>
        <v>388.39285714285711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2">
        <f t="shared" si="106"/>
        <v>0.28000000000000003</v>
      </c>
      <c r="S141" s="32">
        <f t="shared" si="105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-26.666666666666664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7"/>
        <v>5</v>
      </c>
      <c r="G142" s="32">
        <f t="shared" si="98"/>
        <v>5</v>
      </c>
      <c r="H142" s="32">
        <f t="shared" si="99"/>
        <v>0.89999999999999991</v>
      </c>
      <c r="I142" s="32">
        <f t="shared" si="99"/>
        <v>5.5</v>
      </c>
      <c r="J142" s="32">
        <f t="shared" si="99"/>
        <v>3.5999999999999996</v>
      </c>
      <c r="K142" s="10">
        <f t="shared" si="100"/>
        <v>1.555555555555556</v>
      </c>
      <c r="L142" s="10">
        <f t="shared" si="101"/>
        <v>0.09</v>
      </c>
      <c r="M142" s="10">
        <v>0</v>
      </c>
      <c r="N142" s="32">
        <f t="shared" si="102"/>
        <v>5</v>
      </c>
      <c r="O142" s="32">
        <f t="shared" si="103"/>
        <v>50.9765625</v>
      </c>
      <c r="P142" s="32">
        <f t="shared" si="104"/>
        <v>84.9609375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2">
        <f t="shared" si="106"/>
        <v>0.32</v>
      </c>
      <c r="S142" s="32">
        <f t="shared" si="105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-6.6666666666666661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7"/>
        <v>5</v>
      </c>
      <c r="G143" s="32">
        <f t="shared" si="98"/>
        <v>4.9999999999999991</v>
      </c>
      <c r="H143" s="32">
        <f t="shared" si="99"/>
        <v>0.8</v>
      </c>
      <c r="I143" s="32">
        <f t="shared" si="99"/>
        <v>6</v>
      </c>
      <c r="J143" s="32">
        <f t="shared" si="99"/>
        <v>3.2</v>
      </c>
      <c r="K143" s="10">
        <f t="shared" si="100"/>
        <v>2.111111111111112</v>
      </c>
      <c r="L143" s="10">
        <f t="shared" si="101"/>
        <v>0.09</v>
      </c>
      <c r="M143" s="10">
        <v>0</v>
      </c>
      <c r="N143" s="32">
        <f t="shared" si="102"/>
        <v>10</v>
      </c>
      <c r="O143" s="32">
        <f t="shared" si="103"/>
        <v>108.74999999999996</v>
      </c>
      <c r="P143" s="32">
        <f t="shared" si="104"/>
        <v>181.24999999999994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2">
        <f t="shared" si="106"/>
        <v>0.30000000000000004</v>
      </c>
      <c r="S143" s="32">
        <f t="shared" si="105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-13.333333333333332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7"/>
        <v>5</v>
      </c>
      <c r="G144" s="32">
        <f t="shared" si="98"/>
        <v>5</v>
      </c>
      <c r="H144" s="32">
        <f t="shared" si="99"/>
        <v>0.70000000000000007</v>
      </c>
      <c r="I144" s="32">
        <f t="shared" si="99"/>
        <v>6.5</v>
      </c>
      <c r="J144" s="32">
        <f t="shared" si="99"/>
        <v>2.8000000000000003</v>
      </c>
      <c r="K144" s="10">
        <f t="shared" si="100"/>
        <v>2.666666666666667</v>
      </c>
      <c r="L144" s="10">
        <f t="shared" si="101"/>
        <v>0.09</v>
      </c>
      <c r="M144" s="10">
        <v>0</v>
      </c>
      <c r="N144" s="32">
        <f t="shared" si="102"/>
        <v>20</v>
      </c>
      <c r="O144" s="32">
        <f t="shared" si="103"/>
        <v>233.03571428571425</v>
      </c>
      <c r="P144" s="32">
        <f t="shared" si="104"/>
        <v>388.39285714285711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2">
        <f t="shared" si="106"/>
        <v>0.28000000000000003</v>
      </c>
      <c r="S144" s="32">
        <f t="shared" si="105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-26.666666666666664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7"/>
        <v>5</v>
      </c>
      <c r="G145" s="32">
        <f t="shared" si="98"/>
        <v>5</v>
      </c>
      <c r="H145" s="32">
        <f t="shared" si="99"/>
        <v>0.89999999999999991</v>
      </c>
      <c r="I145" s="32">
        <f t="shared" si="99"/>
        <v>5.5</v>
      </c>
      <c r="J145" s="32">
        <f t="shared" si="99"/>
        <v>3.5999999999999996</v>
      </c>
      <c r="K145" s="10">
        <f t="shared" si="100"/>
        <v>1.555555555555556</v>
      </c>
      <c r="L145" s="10">
        <f t="shared" si="101"/>
        <v>0.09</v>
      </c>
      <c r="M145" s="10">
        <v>0</v>
      </c>
      <c r="N145" s="32">
        <f t="shared" si="102"/>
        <v>5</v>
      </c>
      <c r="O145" s="32">
        <f t="shared" si="103"/>
        <v>50.9765625</v>
      </c>
      <c r="P145" s="32">
        <f t="shared" si="104"/>
        <v>84.9609375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2">
        <f t="shared" si="106"/>
        <v>0.32</v>
      </c>
      <c r="S145" s="32">
        <f t="shared" si="105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-6.6666666666666661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7"/>
        <v>5</v>
      </c>
      <c r="G146" s="32">
        <f t="shared" si="98"/>
        <v>4.9999999999999991</v>
      </c>
      <c r="H146" s="32">
        <f t="shared" si="99"/>
        <v>0.8</v>
      </c>
      <c r="I146" s="32">
        <f t="shared" si="99"/>
        <v>6</v>
      </c>
      <c r="J146" s="32">
        <f t="shared" si="99"/>
        <v>3.2</v>
      </c>
      <c r="K146" s="10">
        <f t="shared" si="100"/>
        <v>2.111111111111112</v>
      </c>
      <c r="L146" s="10">
        <f t="shared" si="101"/>
        <v>0.09</v>
      </c>
      <c r="M146" s="10">
        <v>0</v>
      </c>
      <c r="N146" s="32">
        <f t="shared" si="102"/>
        <v>10</v>
      </c>
      <c r="O146" s="32">
        <f t="shared" si="103"/>
        <v>108.74999999999996</v>
      </c>
      <c r="P146" s="32">
        <f t="shared" si="104"/>
        <v>181.24999999999994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2">
        <f t="shared" si="106"/>
        <v>0.30000000000000004</v>
      </c>
      <c r="S146" s="32">
        <f t="shared" si="105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-13.333333333333332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5</v>
      </c>
      <c r="G147" s="32">
        <f t="shared" si="98"/>
        <v>5</v>
      </c>
      <c r="H147" s="32">
        <f t="shared" si="99"/>
        <v>0.70000000000000007</v>
      </c>
      <c r="I147" s="32">
        <f t="shared" si="99"/>
        <v>6.5</v>
      </c>
      <c r="J147" s="32">
        <f t="shared" si="99"/>
        <v>2.8000000000000003</v>
      </c>
      <c r="K147" s="10">
        <f t="shared" si="100"/>
        <v>2.666666666666667</v>
      </c>
      <c r="L147" s="10">
        <f t="shared" si="101"/>
        <v>0.09</v>
      </c>
      <c r="M147" s="10">
        <v>0</v>
      </c>
      <c r="N147" s="32">
        <f t="shared" si="102"/>
        <v>20</v>
      </c>
      <c r="O147" s="32">
        <f t="shared" si="103"/>
        <v>233.03571428571425</v>
      </c>
      <c r="P147" s="32">
        <f t="shared" si="104"/>
        <v>388.39285714285711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2">
        <f t="shared" si="106"/>
        <v>0.28000000000000003</v>
      </c>
      <c r="S147" s="32">
        <f t="shared" si="105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-26.666666666666664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0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12.5</v>
      </c>
      <c r="G149" s="32">
        <f>IF(G$148=1,H149,H149/(R149-INDEX($O$2:$O$6,C149)))</f>
        <v>12.5</v>
      </c>
      <c r="H149" s="32">
        <f>$F149*(INDEX($F$3:$F$5,H$148)+(($C149+($D149*$F$7))*INDEX($G$3:$G$5,H$148)))</f>
        <v>1.5</v>
      </c>
      <c r="I149" s="32">
        <f>$F149*(INDEX($F$3:$F$5,I$148)+(($C149+($D149*$F$7))*INDEX($G$3:$G$5,I$148)))</f>
        <v>6</v>
      </c>
      <c r="J149" s="32">
        <f>$F149*(INDEX($F$3:$F$5,J$148)+(($C149+($D149*$F$7))*INDEX($G$3:$G$5,J$148)))</f>
        <v>17.5</v>
      </c>
      <c r="K149" s="10">
        <f t="shared" ref="K148:K160" si="107">1-((1-(I149/G149))/INDEX($P$2:$P$6,C149))</f>
        <v>-0.38666666666666671</v>
      </c>
      <c r="L149" s="10">
        <f t="shared" ref="L148:L160" si="108">(INDEX($Q$2:$Q$6,C149)/((1/INDEX($F$4:$F$6,J$124))-1))</f>
        <v>0.1875</v>
      </c>
      <c r="M149" s="10">
        <v>0</v>
      </c>
      <c r="N149" s="32">
        <f>(AVERAGE(O149,P149)*R149)/Q149</f>
        <v>12.5</v>
      </c>
      <c r="O149" s="32">
        <f t="shared" ref="O148:O160" si="109">0.75*(((G149*INDEX($R$1:$R$3,$D149+2))*Q149)/R149)</f>
        <v>76.795212765957444</v>
      </c>
      <c r="P149" s="32">
        <f t="shared" ref="P148:P160" si="110">1.25*(((G149*INDEX($R$1:$R$3,$D149+2))*Q149)/R149)</f>
        <v>127.99202127659572</v>
      </c>
      <c r="Q149" s="32">
        <f>(AVERAGE(VLOOKUP(E149,weapon_components!$A$8:$M$178,9,0),VLOOKUP(E149,weapon_components!$A$8:$M$178,10,0))+VLOOKUP(E149,weapon_components!$A$8:$M$178,11,0))/10</f>
        <v>3.85</v>
      </c>
      <c r="R149" s="32">
        <f>IF((H149/F149)+INDEX($O$2:$O$6,$C149)&gt;1,1,(H149/F149)+INDEX($O$2:$O$6,$C149))</f>
        <v>0.47000000000000003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-53.333333333333329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60" si="111">($F$2+(C150*$F$1))*(B150+1)</f>
        <v>12.5</v>
      </c>
      <c r="G150" s="32">
        <f t="shared" ref="G150:G151" si="112">IF(G$148=1,H150,H150/(R150-INDEX($O$2:$O$6,C150)))</f>
        <v>12.499999999999996</v>
      </c>
      <c r="H150" s="32">
        <f t="shared" ref="H150:J151" si="113">$F150*(INDEX($F$3:$F$5,H$148)+(($C150+($D150*$F$7))*INDEX($G$3:$G$5,H$148)))</f>
        <v>1.25</v>
      </c>
      <c r="I150" s="32">
        <f t="shared" si="113"/>
        <v>5</v>
      </c>
      <c r="J150" s="32">
        <f t="shared" si="113"/>
        <v>18.75</v>
      </c>
      <c r="K150" s="10">
        <f t="shared" si="107"/>
        <v>-0.59999999999999964</v>
      </c>
      <c r="L150" s="10">
        <f t="shared" si="108"/>
        <v>0.1875</v>
      </c>
      <c r="M150" s="10">
        <v>0</v>
      </c>
      <c r="N150" s="32">
        <f t="shared" ref="N148:N160" si="114">(AVERAGE(O150,P150)*R150)/Q150</f>
        <v>24.999999999999993</v>
      </c>
      <c r="O150" s="32">
        <f t="shared" si="109"/>
        <v>160.4166666666666</v>
      </c>
      <c r="P150" s="32">
        <f t="shared" si="110"/>
        <v>267.36111111111097</v>
      </c>
      <c r="Q150" s="32">
        <f>(AVERAGE(VLOOKUP(E150,weapon_components!$A$8:$M$178,9,0),VLOOKUP(E150,weapon_components!$A$8:$M$178,10,0))+VLOOKUP(E150,weapon_components!$A$8:$M$178,11,0))/10</f>
        <v>3.85</v>
      </c>
      <c r="R150" s="32">
        <f t="shared" ref="R148:R160" si="115">IF((H150/F150)+INDEX($O$2:$O$6,$C150)&gt;1,1,(H150/F150)+INDEX($O$2:$O$6,$C150))</f>
        <v>0.45000000000000007</v>
      </c>
      <c r="S150" s="32">
        <f t="shared" ref="S150:S151" si="116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-106.66666666666666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12.5</v>
      </c>
      <c r="G151" s="32">
        <f>IF(G$148=1,H151,H151/(R151-INDEX($O$2:$O$6,C151)))</f>
        <v>12.499999999999996</v>
      </c>
      <c r="H151" s="32">
        <f>$F151*(INDEX($F$3:$F$5,H$148)+(($C151+($D151*$F$7))*INDEX($G$3:$G$5,H$148)))</f>
        <v>0.99999999999999989</v>
      </c>
      <c r="I151" s="32">
        <f>$F151*(INDEX($F$3:$F$5,I$148)+(($C151+($D151*$F$7))*INDEX($G$3:$G$5,I$148)))</f>
        <v>3.9999999999999996</v>
      </c>
      <c r="J151" s="32">
        <f>$F151*(INDEX($F$3:$F$5,J$148)+(($C151+($D151*$F$7))*INDEX($G$3:$G$5,J$148)))</f>
        <v>20</v>
      </c>
      <c r="K151" s="10">
        <f t="shared" si="107"/>
        <v>-0.81333333333333324</v>
      </c>
      <c r="L151" s="10">
        <f t="shared" si="108"/>
        <v>0.1875</v>
      </c>
      <c r="M151" s="10">
        <v>0</v>
      </c>
      <c r="N151" s="32">
        <f t="shared" si="114"/>
        <v>49.999999999999986</v>
      </c>
      <c r="O151" s="32">
        <f t="shared" si="109"/>
        <v>335.7558139534882</v>
      </c>
      <c r="P151" s="32">
        <f t="shared" si="110"/>
        <v>559.5930232558137</v>
      </c>
      <c r="Q151" s="32">
        <f>(AVERAGE(VLOOKUP(E151,weapon_components!$A$8:$M$178,9,0),VLOOKUP(E151,weapon_components!$A$8:$M$178,10,0))+VLOOKUP(E151,weapon_components!$A$8:$M$178,11,0))/10</f>
        <v>3.85</v>
      </c>
      <c r="R151" s="32">
        <f t="shared" si="115"/>
        <v>0.43000000000000005</v>
      </c>
      <c r="S151" s="32">
        <f t="shared" si="116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-213.33333333333331</v>
      </c>
      <c r="V151" s="32">
        <v>27.75</v>
      </c>
    </row>
    <row r="152" spans="3:22" x14ac:dyDescent="0.25">
      <c r="E152" s="36" t="s">
        <v>296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11"/>
        <v>12.5</v>
      </c>
      <c r="G153" s="32">
        <f>IF(G$152=1,H153,H153/(R153-INDEX($O$2:$O$6,C153)))</f>
        <v>17.5</v>
      </c>
      <c r="H153" s="32">
        <f>$F153*(INDEX($F$3:$F$5,H$152)+(($C153+($D153*$F$7))*INDEX($G$3:$G$5,H$152)))</f>
        <v>17.5</v>
      </c>
      <c r="I153" s="32">
        <f>$F153*(INDEX($F$3:$F$5,I$152)+(($C153+($D153*$F$7))*INDEX($G$3:$G$5,I$152)))</f>
        <v>6</v>
      </c>
      <c r="J153" s="32">
        <f>$F153*(INDEX($F$3:$F$5,J$152)+(($C153+($D153*$F$7))*INDEX($G$3:$G$5,J$152)))</f>
        <v>17.5</v>
      </c>
      <c r="K153" s="10">
        <f t="shared" si="107"/>
        <v>-0.75238095238095237</v>
      </c>
      <c r="L153" s="10">
        <v>0</v>
      </c>
      <c r="M153" s="10">
        <v>1</v>
      </c>
      <c r="N153" s="32">
        <f t="shared" si="114"/>
        <v>17.5</v>
      </c>
      <c r="O153" s="32">
        <f t="shared" si="109"/>
        <v>70.21875</v>
      </c>
      <c r="P153" s="32">
        <f t="shared" si="110"/>
        <v>117.03125</v>
      </c>
      <c r="Q153" s="32">
        <f>(AVERAGE(VLOOKUP(E153,weapon_components!$A$8:$M$178,9,0),VLOOKUP(E153,weapon_components!$A$8:$M$178,10,0))+VLOOKUP(E153,weapon_components!$A$8:$M$178,11,0))/10</f>
        <v>5.35</v>
      </c>
      <c r="R153" s="32">
        <f t="shared" si="115"/>
        <v>1</v>
      </c>
      <c r="S153" s="32">
        <f>($S$152)*(1+(D153*$F$8))*(1+((C153-1)*$J$3))</f>
        <v>35.519999999999996</v>
      </c>
      <c r="T153" s="32">
        <f>INDEX($T$2:$T$6,C153)</f>
        <v>10</v>
      </c>
      <c r="U153" s="14">
        <f>-INDEX('Ship Design Balancing'!$K$2:$K$6,'Weapon Formulas'!C153)*(INDEX('Weapon Formulas'!$R$1:$R$3,'Weapon Formulas'!D153+2)*(1+'Weapon Formulas'!B153))</f>
        <v>-53.333333333333329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11"/>
        <v>12.5</v>
      </c>
      <c r="G154" s="32">
        <f>IF(G$152=1,H154,H154/(R154-INDEX($O$2:$O$6,C154)))</f>
        <v>18.75</v>
      </c>
      <c r="H154" s="32">
        <f t="shared" ref="H154:J158" si="117">$F154*(INDEX($F$3:$F$5,H$152)+(($C154+($D154*$F$7))*INDEX($G$3:$G$5,H$152)))</f>
        <v>18.75</v>
      </c>
      <c r="I154" s="32">
        <f t="shared" si="117"/>
        <v>5</v>
      </c>
      <c r="J154" s="32">
        <f t="shared" si="117"/>
        <v>18.75</v>
      </c>
      <c r="K154" s="10">
        <f t="shared" si="107"/>
        <v>-0.95555555555555571</v>
      </c>
      <c r="L154" s="10">
        <v>0</v>
      </c>
      <c r="M154" s="10">
        <v>1</v>
      </c>
      <c r="N154" s="32">
        <f t="shared" si="114"/>
        <v>37.5</v>
      </c>
      <c r="O154" s="32">
        <f t="shared" si="109"/>
        <v>150.46875</v>
      </c>
      <c r="P154" s="32">
        <f t="shared" si="110"/>
        <v>250.78125</v>
      </c>
      <c r="Q154" s="32">
        <f>(AVERAGE(VLOOKUP(E154,weapon_components!$A$8:$M$178,9,0),VLOOKUP(E154,weapon_components!$A$8:$M$178,10,0))+VLOOKUP(E154,weapon_components!$A$8:$M$178,11,0))/10</f>
        <v>5.35</v>
      </c>
      <c r="R154" s="32">
        <f t="shared" si="115"/>
        <v>1</v>
      </c>
      <c r="S154" s="32">
        <f t="shared" ref="S154:S158" si="118">($S$152)*(1+(D154*$F$8))*(1+((C154-1)*$J$3))</f>
        <v>44.4</v>
      </c>
      <c r="T154" s="32">
        <f t="shared" ref="T154:T156" si="119">INDEX($T$2:$T$6,C154)</f>
        <v>10</v>
      </c>
      <c r="U154" s="14">
        <f>-INDEX('Ship Design Balancing'!$K$2:$K$6,'Weapon Formulas'!C154)*(INDEX('Weapon Formulas'!$R$1:$R$3,'Weapon Formulas'!D154+2)*(1+'Weapon Formulas'!B154))</f>
        <v>-106.66666666666666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11"/>
        <v>12.5</v>
      </c>
      <c r="G155" s="32">
        <f t="shared" ref="G154:G158" si="120">IF(G$152=1,H155,H155/(R155-INDEX($O$2:$O$6,C155)))</f>
        <v>20</v>
      </c>
      <c r="H155" s="32">
        <f t="shared" si="117"/>
        <v>20</v>
      </c>
      <c r="I155" s="32">
        <f t="shared" si="117"/>
        <v>3.9999999999999996</v>
      </c>
      <c r="J155" s="32">
        <f t="shared" si="117"/>
        <v>20</v>
      </c>
      <c r="K155" s="10">
        <f t="shared" si="107"/>
        <v>-1.1333333333333333</v>
      </c>
      <c r="L155" s="10">
        <v>0</v>
      </c>
      <c r="M155" s="10">
        <v>1</v>
      </c>
      <c r="N155" s="32">
        <f t="shared" si="114"/>
        <v>80</v>
      </c>
      <c r="O155" s="32">
        <f t="shared" si="109"/>
        <v>321</v>
      </c>
      <c r="P155" s="32">
        <f t="shared" si="110"/>
        <v>535</v>
      </c>
      <c r="Q155" s="32">
        <f>(AVERAGE(VLOOKUP(E155,weapon_components!$A$8:$M$178,9,0),VLOOKUP(E155,weapon_components!$A$8:$M$178,10,0))+VLOOKUP(E155,weapon_components!$A$8:$M$178,11,0))/10</f>
        <v>5.35</v>
      </c>
      <c r="R155" s="32">
        <f t="shared" si="115"/>
        <v>1</v>
      </c>
      <c r="S155" s="32">
        <f t="shared" si="118"/>
        <v>53.28</v>
      </c>
      <c r="T155" s="32">
        <f t="shared" si="119"/>
        <v>10</v>
      </c>
      <c r="U155" s="14">
        <f>-INDEX('Ship Design Balancing'!$K$2:$K$6,'Weapon Formulas'!C155)*(INDEX('Weapon Formulas'!$R$1:$R$3,'Weapon Formulas'!D155+2)*(1+'Weapon Formulas'!B155))</f>
        <v>-213.33333333333331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11"/>
        <v>12.5</v>
      </c>
      <c r="G156" s="32">
        <f t="shared" si="120"/>
        <v>20</v>
      </c>
      <c r="H156" s="32">
        <f t="shared" si="117"/>
        <v>20</v>
      </c>
      <c r="I156" s="32">
        <f t="shared" si="117"/>
        <v>3.9999999999999996</v>
      </c>
      <c r="J156" s="32">
        <f t="shared" si="117"/>
        <v>20</v>
      </c>
      <c r="K156" s="10">
        <f t="shared" si="107"/>
        <v>-1.1333333333333333</v>
      </c>
      <c r="L156" s="10">
        <v>0</v>
      </c>
      <c r="M156" s="10">
        <v>1</v>
      </c>
      <c r="N156" s="32">
        <f t="shared" si="114"/>
        <v>80</v>
      </c>
      <c r="O156" s="32">
        <f t="shared" si="109"/>
        <v>321</v>
      </c>
      <c r="P156" s="32">
        <f t="shared" si="110"/>
        <v>535</v>
      </c>
      <c r="Q156" s="32">
        <f>(AVERAGE(VLOOKUP(E156,weapon_components!$A$8:$M$178,9,0),VLOOKUP(E156,weapon_components!$A$8:$M$178,10,0))+VLOOKUP(E156,weapon_components!$A$8:$M$178,11,0))/10</f>
        <v>5.35</v>
      </c>
      <c r="R156" s="32">
        <f t="shared" si="115"/>
        <v>1</v>
      </c>
      <c r="S156" s="32">
        <f t="shared" si="118"/>
        <v>53.28</v>
      </c>
      <c r="T156" s="32">
        <f t="shared" si="119"/>
        <v>10</v>
      </c>
      <c r="U156" s="14">
        <f>-INDEX('Ship Design Balancing'!$K$2:$K$6,'Weapon Formulas'!C156)*(INDEX('Weapon Formulas'!$R$1:$R$3,'Weapon Formulas'!D156+2)*(1+'Weapon Formulas'!B156))</f>
        <v>-213.33333333333331</v>
      </c>
      <c r="V156" s="32">
        <v>32.75</v>
      </c>
    </row>
    <row r="157" spans="3:22" x14ac:dyDescent="0.25">
      <c r="E157" s="36" t="s">
        <v>297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12.5</v>
      </c>
      <c r="G158" s="32">
        <f>IF(G$152=1,H158,H158/(R158-INDEX($O$2:$O$6,C158)))</f>
        <v>6</v>
      </c>
      <c r="H158" s="32">
        <f>$F158*(INDEX($F$3:$F$5,H$157)+(($C158+($D158*$F$7))*INDEX($G$3:$G$5,H$157)))</f>
        <v>6</v>
      </c>
      <c r="I158" s="32">
        <f>$F158*(INDEX($F$3:$F$5,I$157)+(($C158+($D158*$F$7))*INDEX($G$3:$G$5,I$157)))</f>
        <v>17.5</v>
      </c>
      <c r="J158" s="32">
        <f>$F158*(INDEX($F$3:$F$5,J$157)+(($C158+($D158*$F$7))*INDEX($G$3:$G$5,J$157)))</f>
        <v>1.5</v>
      </c>
      <c r="K158" s="10">
        <f>1-((1-(I158/G158))/INDEX($P$2:$P$6,C158))</f>
        <v>6.1111111111111107</v>
      </c>
      <c r="L158" s="10">
        <f>(INDEX($Q$2:$Q$6,C158)/((1/INDEX($F$4:$F$6,J$124))-1))</f>
        <v>0.1875</v>
      </c>
      <c r="M158" s="10">
        <v>0</v>
      </c>
      <c r="N158" s="32">
        <f>(AVERAGE(O158,P158)*R158)/Q158</f>
        <v>6</v>
      </c>
      <c r="O158" s="32">
        <f>0.75*(((G158*INDEX($R$1:$R$3,$D158+2))*Q158)/R158)</f>
        <v>23.584337349397586</v>
      </c>
      <c r="P158" s="32">
        <f>1.25*(((G158*INDEX($R$1:$R$3,$D158+2))*Q158)/R158)</f>
        <v>39.307228915662641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2">
        <f>IF((H158/F158)+INDEX($O$2:$O$6,$C158)&gt;1,1,(H158/F158)+INDEX($O$2:$O$6,$C158))</f>
        <v>0.83000000000000007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-53.333333333333329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12.5</v>
      </c>
      <c r="G159" s="32">
        <f>IF(G$152=1,H159,H159/(R159-INDEX($O$2:$O$6,C159)))</f>
        <v>5</v>
      </c>
      <c r="H159" s="32">
        <f>$F159*(INDEX($F$3:$F$5,H$157)+(($C159+($D159*$F$7))*INDEX($G$3:$G$5,H$157)))</f>
        <v>5</v>
      </c>
      <c r="I159" s="32">
        <f>$F159*(INDEX($F$3:$F$5,I$157)+(($C159+($D159*$F$7))*INDEX($G$3:$G$5,I$157)))</f>
        <v>18.75</v>
      </c>
      <c r="J159" s="32">
        <f>$F159*(INDEX($F$3:$F$5,J$157)+(($C159+($D159*$F$7))*INDEX($G$3:$G$5,J$157)))</f>
        <v>1.25</v>
      </c>
      <c r="K159" s="10">
        <f>1-((1-(I159/G159))/INDEX($P$2:$P$6,C159))</f>
        <v>8.3333333333333321</v>
      </c>
      <c r="L159" s="10">
        <f>(INDEX($Q$2:$Q$6,C159)/((1/INDEX($F$4:$F$6,J$124))-1))</f>
        <v>0.1875</v>
      </c>
      <c r="M159" s="10">
        <v>0</v>
      </c>
      <c r="N159" s="32">
        <f>(AVERAGE(O159,P159)*R159)/Q159</f>
        <v>10</v>
      </c>
      <c r="O159" s="32">
        <f>0.75*(((G159*INDEX($R$1:$R$3,$D159+2))*Q159)/R159)</f>
        <v>43.5</v>
      </c>
      <c r="P159" s="32">
        <f>1.25*(((G159*INDEX($R$1:$R$3,$D159+2))*Q159)/R159)</f>
        <v>72.5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2">
        <f>IF((H159/F159)+INDEX($O$2:$O$6,$C159)&gt;1,1,(H159/F159)+INDEX($O$2:$O$6,$C159))</f>
        <v>0.75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-106.66666666666666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0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12.5</v>
      </c>
      <c r="G161" s="32">
        <f>IF(G$123=1,H161,H161/(R161-INDEX($O$2:$O$6,C161)))</f>
        <v>12.500000000000004</v>
      </c>
      <c r="H161" s="32">
        <f>$F161*(INDEX($F$3:$F$5,H$160)+(($C161+($D161*$F$7))*INDEX($G$3:$G$5,H$160)))</f>
        <v>3.9999999999999996</v>
      </c>
      <c r="I161" s="32">
        <f>$F161*(INDEX($F$3:$F$5,I$160)+(($C161+($D161*$F$7))*INDEX($G$3:$G$5,I$160)))</f>
        <v>20</v>
      </c>
      <c r="J161" s="32">
        <f>$F161*(INDEX($F$3:$F$5,J$160)+(($C161+($D161*$F$7))*INDEX($G$3:$G$5,J$160)))</f>
        <v>0.99999999999999989</v>
      </c>
      <c r="K161" s="10">
        <f>1-((1-(I161/G161))/INDEX($P$2:$P$6,C161))</f>
        <v>2.5999999999999988</v>
      </c>
      <c r="L161" s="10">
        <f>(INDEX($Q$2:$Q$6,C161)/((1/INDEX($F$4:$F$6,J$124))-1))</f>
        <v>0.1875</v>
      </c>
      <c r="M161" s="10">
        <v>0</v>
      </c>
      <c r="N161" s="32">
        <f>(AVERAGE(O161,P161)*R161)/Q161</f>
        <v>50.000000000000014</v>
      </c>
      <c r="O161" s="32">
        <f>0.75*(((G161*INDEX($R$1:$R$3,$D161+2))*Q161)/R161)</f>
        <v>635.26119402985091</v>
      </c>
      <c r="P161" s="32">
        <f>1.25*(((G161*INDEX($R$1:$R$3,$D161+2))*Q161)/R161)</f>
        <v>1058.7686567164183</v>
      </c>
      <c r="Q161" s="32">
        <f>(AVERAGE(VLOOKUP(E161,weapon_components!$A$8:$M$178,9,0),VLOOKUP(E161,weapon_components!$A$8:$M$178,10,0))+VLOOKUP(E161,weapon_components!$A$8:$M$178,11,0))/10</f>
        <v>11.35</v>
      </c>
      <c r="R161" s="32">
        <f>IF((H161/F161)+INDEX($O$2:$O$6,$C161)&gt;1,1,(H161/F161)+INDEX($O$2:$O$6,$C161))</f>
        <v>0.66999999999999993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-213.33333333333331</v>
      </c>
      <c r="V161" s="32">
        <v>36.75</v>
      </c>
    </row>
    <row r="162" spans="3:22" x14ac:dyDescent="0.25">
      <c r="E162" s="36" t="s">
        <v>295</v>
      </c>
      <c r="F162" s="32">
        <f t="shared" ref="F162:F173" si="121">($F$2+(C162*$F$1))*(B162+1)</f>
        <v>0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21"/>
        <v>12.5</v>
      </c>
      <c r="G163" s="32">
        <f>IF(G$162=1,H163,H163/(R163-INDEX($O$2:$O$6,C163)))</f>
        <v>28.84615384615385</v>
      </c>
      <c r="H163" s="32">
        <f>$F163*(INDEX($F$3:$F$5,H$162)+(($C163+($D163*$F$7))*INDEX($G$3:$G$5,H$162)))</f>
        <v>18.75</v>
      </c>
      <c r="I163" s="32">
        <f>$F163*(INDEX($F$3:$F$5,I$162)+(($C163+($D163*$F$7))*INDEX($G$3:$G$5,I$162)))</f>
        <v>5</v>
      </c>
      <c r="J163" s="32">
        <f>$F163*(INDEX($F$3:$F$5,J$162)+(($C163+($D163*$F$7))*INDEX($G$3:$G$5,J$162)))</f>
        <v>1.25</v>
      </c>
      <c r="K163" s="10">
        <f>1-((1-(I163/G163))/INDEX($P$2:$P$6,C163))</f>
        <v>-1.2044444444444444</v>
      </c>
      <c r="L163" s="10">
        <f>(INDEX($Q$2:$Q$6,C163)/((1/INDEX($F$4:$F$6,J$124))-1))</f>
        <v>0.1875</v>
      </c>
      <c r="M163" s="10">
        <v>0</v>
      </c>
      <c r="N163" s="32">
        <f t="shared" ref="N162:N173" si="122">(AVERAGE(O163,P163)*R163)/Q163</f>
        <v>57.692307692307701</v>
      </c>
      <c r="O163" s="32">
        <f>0.75*(((G163*INDEX($R$1:$R$3,$D163+2))*Q163)/R163)</f>
        <v>188.22115384615387</v>
      </c>
      <c r="P163" s="32">
        <f>1.25*(((G163*INDEX($R$1:$R$3,$D163+2))*Q163)/R163)</f>
        <v>313.70192307692309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2">
        <f>IF((H163/F163)+INDEX($O$2:$O$6,$C163)&gt;1,1,(H163/F163)+INDEX($O$2:$O$6,$C163))</f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-106.66666666666666</v>
      </c>
      <c r="V163" s="32">
        <v>38.75</v>
      </c>
    </row>
    <row r="164" spans="3:22" x14ac:dyDescent="0.25">
      <c r="G164">
        <v>0</v>
      </c>
      <c r="H164" s="13">
        <v>3</v>
      </c>
      <c r="I164" s="13">
        <v>2</v>
      </c>
      <c r="J164" s="13">
        <v>1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21"/>
        <v>2.5</v>
      </c>
      <c r="G165" s="32">
        <f>IF(G$123=1,H165,H165/(R165-INDEX($O$2:$O$6,C165)))</f>
        <v>2.5</v>
      </c>
      <c r="H165" s="32">
        <f>$F165*(INDEX($F$3:$F$5,H$164)+(($C165+($D165*$F$7))*INDEX($G$3:$G$5,H$164)))</f>
        <v>0.5</v>
      </c>
      <c r="I165" s="32">
        <f>$F165*(INDEX($F$3:$F$5,I$164)+(($C165+($D165*$F$7))*INDEX($G$3:$G$5,I$164)))</f>
        <v>2</v>
      </c>
      <c r="J165" s="32">
        <f>$F165*(INDEX($F$3:$F$5,J$164)+(($C165+($D165*$F$7))*INDEX($G$3:$G$5,J$164)))</f>
        <v>2.5</v>
      </c>
      <c r="K165" s="10">
        <f>1-((1-(I165/G165))/INDEX($P$2:$P$6,C165))</f>
        <v>-3.9999999999999991</v>
      </c>
      <c r="L165" s="10">
        <f>(INDEX($Q$2:$Q$6,C165)/((1/INDEX($F$4:$F$6,J$124))-1))</f>
        <v>0.02</v>
      </c>
      <c r="M165" s="10">
        <v>0</v>
      </c>
      <c r="N165" s="32">
        <f>(AVERAGE(O165,P165)*R165)/Q165</f>
        <v>2.5000000000000004</v>
      </c>
      <c r="O165" s="32">
        <f>0.75*(((G165*INDEX($R$1:$R$3,$D165+2))*Q165)/R165)</f>
        <v>30.208333333333336</v>
      </c>
      <c r="P165" s="32">
        <f>1.25*(((G165*INDEX($R$1:$R$3,$D165+2))*Q165)/R165)</f>
        <v>50.347222222222221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2">
        <f>IF((H165/F165)+INDEX($O$2:$O$6,$C165)&gt;1,1,(H165/F165)+INDEX($O$2:$O$6,$C165))</f>
        <v>0.27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21"/>
        <v>2.5</v>
      </c>
      <c r="G166" s="32">
        <f>IF(G$123=1,H166,H166/(R166-INDEX($O$2:$O$6,C166)))</f>
        <v>2.5</v>
      </c>
      <c r="H166" s="32">
        <f t="shared" ref="H166:H167" si="123">$F166*(INDEX($F$3:$F$5,H$164)+(($C166+($D166*$F$7))*INDEX($G$3:$G$5,H$164)))</f>
        <v>0.44999999999999996</v>
      </c>
      <c r="I166" s="32">
        <f>$F166*(INDEX($F$3:$F$5,I$164)+(($C166+($D166*$F$7))*INDEX($G$3:$G$5,I$164)))</f>
        <v>1.7999999999999998</v>
      </c>
      <c r="J166" s="32">
        <f>$F166*(INDEX($F$3:$F$5,J$164)+(($C166+($D166*$F$7))*INDEX($G$3:$G$5,J$164)))</f>
        <v>2.75</v>
      </c>
      <c r="K166" s="10">
        <f t="shared" ref="K166:K168" si="124">1-((1-(I166/G166))/INDEX($P$2:$P$6,C166))</f>
        <v>-6.0000000000000009</v>
      </c>
      <c r="L166" s="10">
        <f t="shared" ref="L166:L167" si="125">(INDEX($Q$2:$Q$6,C166)/((1/INDEX($F$4:$F$6,J$124))-1))</f>
        <v>0.02</v>
      </c>
      <c r="M166" s="10">
        <v>0</v>
      </c>
      <c r="N166" s="32">
        <f>(AVERAGE(O166,P166)*R166)/Q166</f>
        <v>5</v>
      </c>
      <c r="O166" s="32">
        <f>0.75*(((G166*INDEX($R$1:$R$3,$D166+2))*Q166)/R166)</f>
        <v>65.25</v>
      </c>
      <c r="P166" s="32">
        <f>1.25*(((G166*INDEX($R$1:$R$3,$D166+2))*Q166)/R166)</f>
        <v>108.75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2">
        <f>IF((H166/F166)+INDEX($O$2:$O$6,$C166)&gt;1,1,(H166/F166)+INDEX($O$2:$O$6,$C166))</f>
        <v>0.25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-6.6666666666666661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21"/>
        <v>2.5</v>
      </c>
      <c r="G167" s="32">
        <f>IF(G$123=1,H167,H167/(R167-INDEX($O$2:$O$6,C167)))</f>
        <v>2.5</v>
      </c>
      <c r="H167" s="32">
        <f t="shared" si="123"/>
        <v>0.4</v>
      </c>
      <c r="I167" s="32">
        <f>$F167*(INDEX($F$3:$F$5,I$164)+(($C167+($D167*$F$7))*INDEX($G$3:$G$5,I$164)))</f>
        <v>1.6</v>
      </c>
      <c r="J167" s="32">
        <f>$F167*(INDEX($F$3:$F$5,J$164)+(($C167+($D167*$F$7))*INDEX($G$3:$G$5,J$164)))</f>
        <v>3</v>
      </c>
      <c r="K167" s="10">
        <f t="shared" si="124"/>
        <v>-8</v>
      </c>
      <c r="L167" s="10">
        <f t="shared" si="125"/>
        <v>0.02</v>
      </c>
      <c r="M167" s="10">
        <v>0</v>
      </c>
      <c r="N167" s="32">
        <f>(AVERAGE(O167,P167)*R167)/Q167</f>
        <v>10</v>
      </c>
      <c r="O167" s="32">
        <f>0.75*(((G167*INDEX($R$1:$R$3,$D167+2))*Q167)/R167)</f>
        <v>141.8478260869565</v>
      </c>
      <c r="P167" s="32">
        <f>1.25*(((G167*INDEX($R$1:$R$3,$D167+2))*Q167)/R167)</f>
        <v>236.41304347826087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2">
        <f>IF((H167/F167)+INDEX($O$2:$O$6,$C167)&gt;1,1,(H167/F167)+INDEX($O$2:$O$6,$C167))</f>
        <v>0.23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-13.333333333333332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21"/>
        <v>10</v>
      </c>
      <c r="G169" s="32">
        <f>IF(G$123=1,H169,H169/(R169-INDEX($O$2:$O$6,C169)))</f>
        <v>18.055555555555557</v>
      </c>
      <c r="H169" s="32">
        <f>$F169*(INDEX($F$3:$F$5,H$168)+(($C169+($D169*$F$7))*INDEX($G$3:$G$5,H$168)))</f>
        <v>13</v>
      </c>
      <c r="I169" s="32">
        <f>$F169*(INDEX($F$3:$F$5,I$168)+(($C169+($D169*$F$7))*INDEX($G$3:$G$5,I$168)))</f>
        <v>13</v>
      </c>
      <c r="J169" s="32">
        <f>$F169*(INDEX($F$3:$F$5,J$168)+(($C169+($D169*$F$7))*INDEX($G$3:$G$5,J$168)))</f>
        <v>5.6000000000000005</v>
      </c>
      <c r="K169" s="10">
        <f>1-((1-(I169/G169))/INDEX($P$2:$P$6,C169))</f>
        <v>0.13846153846153841</v>
      </c>
      <c r="L169" s="10">
        <f>(INDEX($Q$2:$Q$6,C169)/((1/INDEX($F$4:$F$6,J$124))-1))</f>
        <v>0.16250000000000001</v>
      </c>
      <c r="M169" s="10">
        <v>0</v>
      </c>
      <c r="N169" s="32">
        <f>(AVERAGE(O169,P169)*R169)/Q169</f>
        <v>18.055555555555557</v>
      </c>
      <c r="O169" s="32">
        <f>0.75*(((G169*INDEX($R$1:$R$3,$D169+2))*Q169)/R169)</f>
        <v>58.90625</v>
      </c>
      <c r="P169" s="32">
        <f>1.25*(((G169*INDEX($R$1:$R$3,$D169+2))*Q169)/R169)</f>
        <v>98.177083333333343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2">
        <f>IF((H169/F169)+INDEX($O$2:$O$6,$C169)&gt;1,1,(H169/F169)+INDEX($O$2:$O$6,$C169))</f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-26.666666666666664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26">($F$2+(C170*$F$1))*(B170+1)</f>
        <v>10</v>
      </c>
      <c r="G170" s="32">
        <f>IF(G$123=1,H170,H170/(R170-INDEX($O$2:$O$6,C170)))</f>
        <v>20.833333333333336</v>
      </c>
      <c r="H170" s="32">
        <f>$F170*(INDEX($F$3:$F$5,H$168)+(($C170+($D170*$F$7))*INDEX($G$3:$G$5,H$168)))</f>
        <v>15</v>
      </c>
      <c r="I170" s="32">
        <f>$F170*(INDEX($F$3:$F$5,I$168)+(($C170+($D170*$F$7))*INDEX($G$3:$G$5,I$168)))</f>
        <v>15</v>
      </c>
      <c r="J170" s="32">
        <f>$F170*(INDEX($F$3:$F$5,J$168)+(($C170+($D170*$F$7))*INDEX($G$3:$G$5,J$168)))</f>
        <v>3.9999999999999996</v>
      </c>
      <c r="K170" s="10">
        <f>1-((1-(I170/G170))/INDEX($P$2:$P$6,C170))</f>
        <v>0.13846153846153841</v>
      </c>
      <c r="L170" s="10">
        <f>(INDEX($Q$2:$Q$6,C170)/((1/INDEX($F$4:$F$6,J$124))-1))</f>
        <v>0.16250000000000001</v>
      </c>
      <c r="M170" s="10">
        <v>0</v>
      </c>
      <c r="N170" s="32">
        <f>(AVERAGE(O170,P170)*R170)/Q170</f>
        <v>83.333333333333343</v>
      </c>
      <c r="O170" s="32">
        <f>0.75*(((G170*INDEX($R$1:$R$3,$D170+2))*Q170)/R170)</f>
        <v>271.875</v>
      </c>
      <c r="P170" s="32">
        <f>1.25*(((G170*INDEX($R$1:$R$3,$D170+2))*Q170)/R170)</f>
        <v>453.125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2">
        <f>IF((H170/F170)+INDEX($O$2:$O$6,$C170)&gt;1,1,(H170/F170)+INDEX($O$2:$O$6,$C170))</f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-106.66666666666666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5</v>
      </c>
      <c r="G172" s="32">
        <f>IF(G$123=1,H172,H172/(R172-INDEX($O$2:$O$6,C172)))</f>
        <v>5</v>
      </c>
      <c r="H172" s="32">
        <f>$F172*(INDEX($F$3:$F$5,H$171)+(($C172+($D172*$F$7))*INDEX($G$3:$G$5,H$171)))</f>
        <v>3.5999999999999996</v>
      </c>
      <c r="I172" s="32">
        <f>$F172*(INDEX($F$3:$F$5,I$171)+(($C172+($D172*$F$7))*INDEX($G$3:$G$5,I$171)))</f>
        <v>5.5</v>
      </c>
      <c r="J172" s="32">
        <f>$F172*(INDEX($F$3:$F$5,J$171)+(($C172+($D172*$F$7))*INDEX($G$3:$G$5,J$171)))</f>
        <v>0.89999999999999991</v>
      </c>
      <c r="K172" s="10">
        <f>1-((1-(I172/G172))/INDEX($P$2:$P$6,C172))</f>
        <v>1.555555555555556</v>
      </c>
      <c r="L172" s="10">
        <f>(INDEX($Q$2:$Q$6,C172)/((1/INDEX($F$4:$F$6,J$124))-1))</f>
        <v>0.09</v>
      </c>
      <c r="M172" s="10">
        <v>0</v>
      </c>
      <c r="N172" s="32">
        <f>(AVERAGE(O172,P172)*R172)/Q172</f>
        <v>5</v>
      </c>
      <c r="O172" s="32">
        <f>0.75*(((G172*INDEX($R$1:$R$3,$D172+2))*Q172)/R172)</f>
        <v>18.968023255813954</v>
      </c>
      <c r="P172" s="32">
        <f>1.25*(((G172*INDEX($R$1:$R$3,$D172+2))*Q172)/R172)</f>
        <v>31.613372093023258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2">
        <f>IF((H172/F172)+INDEX($O$2:$O$6,$C172)&gt;1,1,(H172/F172)+INDEX($O$2:$O$6,$C172))</f>
        <v>0.86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-6.6666666666666661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5</v>
      </c>
      <c r="G173" s="32">
        <f>IF(G$123=1,H173,H173/(R173-INDEX($O$2:$O$6,C172)))</f>
        <v>5</v>
      </c>
      <c r="H173" s="32">
        <f>$F173*(INDEX($F$3:$F$5,H$171)+(($C173+($D173*$F$7))*INDEX($G$3:$G$5,H$171)))</f>
        <v>3.2</v>
      </c>
      <c r="I173" s="32">
        <f>$F173*(INDEX($F$3:$F$5,I$171)+(($C173+($D173*$F$7))*INDEX($G$3:$G$5,I$171)))</f>
        <v>6</v>
      </c>
      <c r="J173" s="32">
        <f>$F173*(INDEX($F$3:$F$5,J$171)+(($C173+($D173*$F$7))*INDEX($G$3:$G$5,J$171)))</f>
        <v>0.8</v>
      </c>
      <c r="K173" s="10">
        <f>1-((1-(I173/G173))/INDEX($P$2:$P$6,C172))</f>
        <v>2.1111111111111107</v>
      </c>
      <c r="L173" s="10">
        <f>(INDEX($Q$2:$Q$6,C172)/((1/INDEX($F$4:$F$6,J$124))-1))</f>
        <v>0.09</v>
      </c>
      <c r="M173" s="10">
        <v>0</v>
      </c>
      <c r="N173" s="32">
        <f>(AVERAGE(O173,P173)*R173)/Q173</f>
        <v>10</v>
      </c>
      <c r="O173" s="32">
        <f>0.75*(((G173*INDEX($R$1:$R$3,$D173+2))*Q173)/R173)</f>
        <v>41.826923076923073</v>
      </c>
      <c r="P173" s="32">
        <f>1.25*(((G173*INDEX($R$1:$R$3,$D173+2))*Q173)/R173)</f>
        <v>69.711538461538453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2">
        <f>IF((H173/F173)+INDEX($O$2:$O$6,$C172)&gt;1,1,(H173/F173)+INDEX($O$2:$O$6,$C172))</f>
        <v>0.78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-13.333333333333332</v>
      </c>
      <c r="V173" s="32">
        <v>48.75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292</v>
      </c>
      <c r="D3" t="s">
        <v>133</v>
      </c>
      <c r="E3" t="s">
        <v>293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4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K22" sqref="K22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N3/$B5</f>
        <v>2.3333333333333334E-2</v>
      </c>
      <c r="O5" s="12">
        <v>40</v>
      </c>
      <c r="P5" s="12">
        <f>P6*5</f>
        <v>2.25</v>
      </c>
    </row>
    <row r="6" spans="1:19" x14ac:dyDescent="0.25">
      <c r="A6" s="14" t="s">
        <v>267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I6">
        <v>5</v>
      </c>
      <c r="J6" s="22">
        <f t="shared" si="2"/>
        <v>80</v>
      </c>
      <c r="K6" s="22">
        <f t="shared" si="0"/>
        <v>53.333333333333329</v>
      </c>
      <c r="N6">
        <f>N5*6</f>
        <v>0.14000000000000001</v>
      </c>
      <c r="P6">
        <v>0.45</v>
      </c>
    </row>
    <row r="7" spans="1:19" s="23" customFormat="1" x14ac:dyDescent="0.25">
      <c r="A7" s="14" t="s">
        <v>264</v>
      </c>
      <c r="B7" s="23">
        <v>1</v>
      </c>
      <c r="C7" s="23">
        <f>(C9/C8)-1</f>
        <v>-0.625</v>
      </c>
      <c r="D7" s="23">
        <f>(D9/D8)-1</f>
        <v>-0.875</v>
      </c>
      <c r="E7" s="23">
        <f>(E9/E8)-1</f>
        <v>-0.96875</v>
      </c>
    </row>
    <row r="8" spans="1:19" s="23" customFormat="1" x14ac:dyDescent="0.25">
      <c r="A8" s="14" t="s">
        <v>266</v>
      </c>
      <c r="B8" s="23">
        <f>B3*$N$5</f>
        <v>0.18666666666666668</v>
      </c>
      <c r="C8" s="23">
        <f>C3*$N$5</f>
        <v>0.37333333333333335</v>
      </c>
      <c r="D8" s="23">
        <f>D3*$N$5</f>
        <v>0.7466666666666667</v>
      </c>
      <c r="E8" s="23">
        <f>E3*$N$5</f>
        <v>1.4933333333333334</v>
      </c>
    </row>
    <row r="9" spans="1:19" x14ac:dyDescent="0.25">
      <c r="A9" s="14" t="s">
        <v>270</v>
      </c>
      <c r="B9" s="24">
        <f>B3*$N$5*B7</f>
        <v>0.18666666666666668</v>
      </c>
      <c r="C9" s="24">
        <f>B9*(3/4)</f>
        <v>0.14000000000000001</v>
      </c>
      <c r="D9" s="24">
        <f>B9*(2/4)</f>
        <v>9.3333333333333338E-2</v>
      </c>
      <c r="E9" s="24">
        <f>B9/4</f>
        <v>4.6666666666666669E-2</v>
      </c>
    </row>
    <row r="10" spans="1:19" x14ac:dyDescent="0.25">
      <c r="A10" s="14" t="s">
        <v>272</v>
      </c>
      <c r="B10" s="27">
        <f t="shared" ref="B10:D10" si="5">B14/B13</f>
        <v>0.9427609427609428</v>
      </c>
      <c r="C10" s="27">
        <f t="shared" si="5"/>
        <v>1.1965811965811965</v>
      </c>
      <c r="D10" s="27">
        <f t="shared" si="5"/>
        <v>1.2280701754385959</v>
      </c>
      <c r="E10">
        <f>E14/E13</f>
        <v>1.2962962962962961</v>
      </c>
      <c r="I10" t="s">
        <v>269</v>
      </c>
      <c r="J10" s="14" t="s">
        <v>250</v>
      </c>
      <c r="K10" s="27" t="s">
        <v>251</v>
      </c>
      <c r="L10" s="27" t="s">
        <v>252</v>
      </c>
      <c r="M10" s="27" t="s">
        <v>253</v>
      </c>
    </row>
    <row r="11" spans="1:19" x14ac:dyDescent="0.25">
      <c r="A11" t="s">
        <v>271</v>
      </c>
      <c r="B11">
        <f>E11*(0.25)</f>
        <v>0.17499999999999999</v>
      </c>
      <c r="C11">
        <f>E11*(0.5)</f>
        <v>0.35</v>
      </c>
      <c r="D11">
        <f>E11*(3/4)</f>
        <v>0.52499999999999991</v>
      </c>
      <c r="E11" s="29">
        <f>B9*5*3/4</f>
        <v>0.7</v>
      </c>
      <c r="G11">
        <f>18.7*0.75*5</f>
        <v>70.125</v>
      </c>
      <c r="I11">
        <v>1</v>
      </c>
      <c r="J11" s="10">
        <f>($P$6*$I11*B$5*B$10)/(($P$6*$I11*B$5*B$10)+60)</f>
        <v>4.0697674418604654E-2</v>
      </c>
      <c r="K11" s="10">
        <f t="shared" ref="K11:M15" si="6">($P$6*$I11*C$5*C$10)/(($P$6*$I11*C$5*C$10)+60)</f>
        <v>9.722222222222221E-2</v>
      </c>
      <c r="L11" s="10">
        <f t="shared" si="6"/>
        <v>0.18103448275862061</v>
      </c>
      <c r="M11" s="10">
        <f t="shared" si="6"/>
        <v>0.31818181818181812</v>
      </c>
    </row>
    <row r="12" spans="1:19" x14ac:dyDescent="0.25">
      <c r="A12" t="s">
        <v>273</v>
      </c>
      <c r="B12">
        <f>-(60*B11)/(B11-1)</f>
        <v>12.727272727272728</v>
      </c>
      <c r="C12" s="27">
        <f t="shared" ref="C12:D12" si="7">-(60*C11)/(C11-1)</f>
        <v>32.307692307692307</v>
      </c>
      <c r="D12" s="27">
        <f t="shared" si="7"/>
        <v>66.315789473684177</v>
      </c>
      <c r="E12" s="27">
        <f>-(60*E11)/(E11-1)</f>
        <v>139.99999999999997</v>
      </c>
      <c r="I12">
        <v>2</v>
      </c>
      <c r="J12" s="10">
        <f t="shared" ref="J12:J15" si="8">($P$6*$I12*B$5*B$10)/(($P$6*$I12*B$5*B$10)+60)</f>
        <v>7.8212290502793311E-2</v>
      </c>
      <c r="K12" s="10">
        <f>($P$6*$I12*C$5*C$10)/(($P$6*$I12*C$5*C$10)+60)</f>
        <v>0.17721518987341772</v>
      </c>
      <c r="L12" s="10">
        <f t="shared" si="6"/>
        <v>0.30656934306569333</v>
      </c>
      <c r="M12" s="10">
        <f t="shared" si="6"/>
        <v>0.48275862068965514</v>
      </c>
    </row>
    <row r="13" spans="1:19" x14ac:dyDescent="0.25">
      <c r="A13" s="14" t="s">
        <v>276</v>
      </c>
      <c r="B13" s="12">
        <f>$P$5*B5</f>
        <v>13.5</v>
      </c>
      <c r="C13" s="12">
        <f t="shared" ref="C13:D13" si="9">$P$5*C5</f>
        <v>27</v>
      </c>
      <c r="D13" s="12">
        <f t="shared" si="9"/>
        <v>54</v>
      </c>
      <c r="E13" s="12">
        <f>$P$5*E5</f>
        <v>108</v>
      </c>
      <c r="F13" s="23"/>
      <c r="I13">
        <v>3</v>
      </c>
      <c r="J13" s="10">
        <f t="shared" si="8"/>
        <v>0.11290322580645162</v>
      </c>
      <c r="K13" s="10">
        <f t="shared" si="6"/>
        <v>0.24418604651162792</v>
      </c>
      <c r="L13" s="10">
        <f t="shared" si="6"/>
        <v>0.39873417721518978</v>
      </c>
      <c r="M13" s="10">
        <f>($P$6*$I13*E$5*E$10)/(($P$6*$I13*E$5*E$10)+60)</f>
        <v>0.58333333333333337</v>
      </c>
    </row>
    <row r="14" spans="1:19" x14ac:dyDescent="0.25">
      <c r="A14" s="14" t="s">
        <v>274</v>
      </c>
      <c r="B14" s="23">
        <f>-(60*(B11))/((B11)-1)</f>
        <v>12.727272727272728</v>
      </c>
      <c r="C14" s="27">
        <f t="shared" ref="C14:E14" si="10">-(60*(C11))/((C11)-1)</f>
        <v>32.307692307692307</v>
      </c>
      <c r="D14" s="27">
        <f t="shared" si="10"/>
        <v>66.315789473684177</v>
      </c>
      <c r="E14" s="27">
        <f t="shared" si="10"/>
        <v>139.99999999999997</v>
      </c>
      <c r="I14">
        <v>4</v>
      </c>
      <c r="J14" s="10">
        <f t="shared" si="8"/>
        <v>0.1450777202072539</v>
      </c>
      <c r="K14" s="10">
        <f t="shared" si="6"/>
        <v>0.30107526881720431</v>
      </c>
      <c r="L14" s="10">
        <f t="shared" si="6"/>
        <v>0.46927374301675967</v>
      </c>
      <c r="M14" s="10">
        <f>($P$6*$I14*E$5*E$10)/(($P$6*$I14*E$5*E$10)+60)</f>
        <v>0.65116279069767435</v>
      </c>
    </row>
    <row r="15" spans="1:19" x14ac:dyDescent="0.25">
      <c r="A15" s="14"/>
      <c r="B15" s="10"/>
      <c r="C15" s="10"/>
      <c r="D15" s="10"/>
      <c r="E15" s="10"/>
      <c r="I15">
        <v>5</v>
      </c>
      <c r="J15" s="10">
        <f t="shared" si="8"/>
        <v>0.17499999999999999</v>
      </c>
      <c r="K15" s="10">
        <f t="shared" si="6"/>
        <v>0.35</v>
      </c>
      <c r="L15" s="10">
        <f t="shared" si="6"/>
        <v>0.52499999999999991</v>
      </c>
      <c r="M15" s="10">
        <f>($P$6*$I15*E$5*E$10)/(($P$6*$I15*E$5*E$10)+60)</f>
        <v>0.7</v>
      </c>
    </row>
    <row r="16" spans="1:19" x14ac:dyDescent="0.25">
      <c r="A16" s="14"/>
      <c r="C16" s="23"/>
      <c r="D16" s="23"/>
      <c r="E16" s="23"/>
      <c r="F16" s="23"/>
      <c r="H16" t="s">
        <v>275</v>
      </c>
      <c r="I16">
        <v>6</v>
      </c>
      <c r="J16" s="10">
        <f>($P$6*$I15*B$3*B$10)/(($P$6*$I15*B$3*B$10)+60)</f>
        <v>0.22047244094488189</v>
      </c>
      <c r="K16" s="10">
        <f t="shared" ref="K16:L16" si="11">($P$6*$I15*C$3*C$10)/(($P$6*$I15*C$3*C$10)+60)</f>
        <v>0.41791044776119401</v>
      </c>
      <c r="L16" s="10">
        <f t="shared" si="11"/>
        <v>0.59574468085106369</v>
      </c>
      <c r="M16" s="10">
        <f>($P$6*$I15*E$3*E$10)/(($P$6*$I15*E$3*E$10)+60)</f>
        <v>0.75675675675675669</v>
      </c>
    </row>
    <row r="19" spans="1:9" x14ac:dyDescent="0.25">
      <c r="I19" s="14"/>
    </row>
    <row r="20" spans="1:9" x14ac:dyDescent="0.25">
      <c r="A20" s="14" t="s">
        <v>298</v>
      </c>
      <c r="B20">
        <f>0.023*B6*0.9</f>
        <v>6.21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277</v>
      </c>
    </row>
    <row r="3" spans="1:10" x14ac:dyDescent="0.25">
      <c r="B3" t="s">
        <v>279</v>
      </c>
      <c r="C3" t="s">
        <v>278</v>
      </c>
    </row>
    <row r="4" spans="1:10" x14ac:dyDescent="0.25">
      <c r="B4">
        <v>300</v>
      </c>
      <c r="C4">
        <v>2400</v>
      </c>
      <c r="G4" t="s">
        <v>280</v>
      </c>
      <c r="H4" t="s">
        <v>281</v>
      </c>
      <c r="I4" t="s">
        <v>286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284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282</v>
      </c>
      <c r="B7">
        <v>0.23</v>
      </c>
      <c r="C7">
        <v>0.61</v>
      </c>
      <c r="F7" t="s">
        <v>285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283</v>
      </c>
      <c r="B8">
        <v>250</v>
      </c>
      <c r="C8">
        <v>1875</v>
      </c>
      <c r="D8" s="31">
        <v>0.28000000000000003</v>
      </c>
      <c r="E8" t="s">
        <v>287</v>
      </c>
      <c r="F8" t="s">
        <v>288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290</v>
      </c>
      <c r="B9" s="28">
        <f>(B4)*(1+B6)*(1+B7)*B5</f>
        <v>5166</v>
      </c>
      <c r="C9">
        <f>(C4)*(1+C6)*(1+C7)</f>
        <v>4250.3999999999996</v>
      </c>
      <c r="F9" t="s">
        <v>289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291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8" workbookViewId="0">
      <selection activeCell="T22" sqref="T22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4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5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5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5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Formulas'!$E$10:$Q$300,11,0),weapon_components!D8),2)</f>
        <v>7.75</v>
      </c>
      <c r="E8" s="5">
        <f>ROUND(_xlfn.IFNA(VLOOKUP(A8,'Weapon Formulas'!$E$10:$Q$300,12,0),weapon_components!E8),2)</f>
        <v>12.92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>ROUND(_xlfn.IFNA(VLOOKUP(A8,'Weapon Formulas'!$E$10:$L$300,7,0),weapon_components!H8),2)</f>
        <v>-5.4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Formulas'!$E$10:$Z$300,15,0),weapon_components!L8),1)</f>
        <v>24</v>
      </c>
      <c r="M8" s="2">
        <f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Formulas'!$E$10:$Q$300,11,0),weapon_components!D9),2)</f>
        <v>16.93</v>
      </c>
      <c r="E9" s="5">
        <f>ROUND(_xlfn.IFNA(VLOOKUP(A9,'Weapon Formulas'!$E$10:$Q$300,12,0),weapon_components!E9),2)</f>
        <v>28.22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>ROUND(_xlfn.IFNA(VLOOKUP(A9,'Weapon Formulas'!$E$10:$L$300,7,0),weapon_components!H9),2)</f>
        <v>-8.7799999999999994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Formulas'!$E$10:$Z$300,15,0),weapon_components!L9),1)</f>
        <v>30</v>
      </c>
      <c r="M9" s="32">
        <f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Formulas'!$E$10:$Q$300,11,0),weapon_components!D10),2)</f>
        <v>36.68</v>
      </c>
      <c r="E10" s="5">
        <f>ROUND(_xlfn.IFNA(VLOOKUP(A10,'Weapon Formulas'!$E$10:$Q$300,12,0),weapon_components!E10),2)</f>
        <v>61.14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>ROUND(_xlfn.IFNA(VLOOKUP(A10,'Weapon Formulas'!$E$10:$L$300,7,0),weapon_components!H10),2)</f>
        <v>-11.6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Formulas'!$E$10:$Z$300,15,0),weapon_components!L10),1)</f>
        <v>36</v>
      </c>
      <c r="M10" s="32">
        <f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Formulas'!$E$10:$Q$300,11,0),weapon_components!D11),2)</f>
        <v>18.18</v>
      </c>
      <c r="E11" s="5">
        <f>ROUND(_xlfn.IFNA(VLOOKUP(A11,'Weapon Formulas'!$E$10:$Q$300,12,0),weapon_components!E11),2)</f>
        <v>30.3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>ROUND(_xlfn.IFNA(VLOOKUP(A11,'Weapon Formulas'!$E$10:$L$300,7,0),weapon_components!H11),2)</f>
        <v>-1.43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Formulas'!$E$10:$Z$300,15,0),weapon_components!L11),1)</f>
        <v>26.9</v>
      </c>
      <c r="M11" s="32">
        <f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Formulas'!$E$10:$Q$300,11,0),weapon_components!D12),2)</f>
        <v>39.51</v>
      </c>
      <c r="E12" s="5">
        <f>ROUND(_xlfn.IFNA(VLOOKUP(A12,'Weapon Formulas'!$E$10:$Q$300,12,0),weapon_components!E12),2)</f>
        <v>65.849999999999994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>ROUND(_xlfn.IFNA(VLOOKUP(A12,'Weapon Formulas'!$E$10:$L$300,7,0),weapon_components!H12),2)</f>
        <v>-2.0099999999999998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Formulas'!$E$10:$Z$300,15,0),weapon_components!L12),1)</f>
        <v>33.6</v>
      </c>
      <c r="M12" s="32">
        <f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Formulas'!$E$10:$Q$300,11,0),weapon_components!D13),2)</f>
        <v>85.27</v>
      </c>
      <c r="E13" s="5">
        <f>ROUND(_xlfn.IFNA(VLOOKUP(A13,'Weapon Formulas'!$E$10:$Q$300,12,0),weapon_components!E13),2)</f>
        <v>142.11000000000001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>ROUND(_xlfn.IFNA(VLOOKUP(A13,'Weapon Formulas'!$E$10:$L$300,7,0),weapon_components!H13),2)</f>
        <v>-2.5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Formulas'!$E$10:$Z$300,15,0),weapon_components!L13),1)</f>
        <v>40.299999999999997</v>
      </c>
      <c r="M13" s="32">
        <f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Formulas'!$E$10:$Q$300,11,0),weapon_components!D14),2)</f>
        <v>32.24</v>
      </c>
      <c r="E14" s="5">
        <f>ROUND(_xlfn.IFNA(VLOOKUP(A14,'Weapon Formulas'!$E$10:$Q$300,12,0),weapon_components!E14),2)</f>
        <v>53.73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>ROUND(_xlfn.IFNA(VLOOKUP(A14,'Weapon Formulas'!$E$10:$L$300,7,0),weapon_components!H14),2)</f>
        <v>-0.93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Formulas'!$E$10:$Z$300,15,0),weapon_components!L14),1)</f>
        <v>29.8</v>
      </c>
      <c r="M14" s="32">
        <f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Formulas'!$E$10:$Q$300,11,0),weapon_components!D15),2)</f>
        <v>69.64</v>
      </c>
      <c r="E15" s="5">
        <f>ROUND(_xlfn.IFNA(VLOOKUP(A15,'Weapon Formulas'!$E$10:$Q$300,12,0),weapon_components!E15),2)</f>
        <v>116.07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>ROUND(_xlfn.IFNA(VLOOKUP(A15,'Weapon Formulas'!$E$10:$L$300,7,0),weapon_components!H15),2)</f>
        <v>-1.2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Formulas'!$E$10:$Z$300,15,0),weapon_components!L15),1)</f>
        <v>37.200000000000003</v>
      </c>
      <c r="M15" s="32">
        <f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Formulas'!$E$10:$Q$300,11,0),weapon_components!D16),2)</f>
        <v>149.55000000000001</v>
      </c>
      <c r="E16" s="5">
        <f>ROUND(_xlfn.IFNA(VLOOKUP(A16,'Weapon Formulas'!$E$10:$Q$300,12,0),weapon_components!E16),2)</f>
        <v>249.24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>ROUND(_xlfn.IFNA(VLOOKUP(A16,'Weapon Formulas'!$E$10:$L$300,7,0),weapon_components!H16),2)</f>
        <v>-1.43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Formulas'!$E$10:$Z$300,15,0),weapon_components!L16),1)</f>
        <v>44.6</v>
      </c>
      <c r="M16" s="32">
        <f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Formulas'!$E$10:$Q$300,11,0),weapon_components!D17),2)</f>
        <v>50.97</v>
      </c>
      <c r="E17" s="5">
        <f>ROUND(_xlfn.IFNA(VLOOKUP(A17,'Weapon Formulas'!$E$10:$Q$300,12,0),weapon_components!E17),2)</f>
        <v>84.95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>ROUND(_xlfn.IFNA(VLOOKUP(A17,'Weapon Formulas'!$E$10:$L$300,7,0),weapon_components!H17),2)</f>
        <v>-1.1200000000000001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Formulas'!$E$10:$Z$300,15,0),weapon_components!L17),1)</f>
        <v>32.6</v>
      </c>
      <c r="M17" s="32">
        <f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Formulas'!$E$10:$Q$300,11,0),weapon_components!D18),2)</f>
        <v>109.51</v>
      </c>
      <c r="E18" s="5">
        <f>ROUND(_xlfn.IFNA(VLOOKUP(A18,'Weapon Formulas'!$E$10:$Q$300,12,0),weapon_components!E18),2)</f>
        <v>182.52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>ROUND(_xlfn.IFNA(VLOOKUP(A18,'Weapon Formulas'!$E$10:$L$300,7,0),weapon_components!H18),2)</f>
        <v>-1.32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Formulas'!$E$10:$Z$300,15,0),weapon_components!L18),1)</f>
        <v>40.799999999999997</v>
      </c>
      <c r="M18" s="32">
        <f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Formulas'!$E$10:$Q$300,11,0),weapon_components!D19),2)</f>
        <v>234.1</v>
      </c>
      <c r="E19" s="5">
        <f>ROUND(_xlfn.IFNA(VLOOKUP(A19,'Weapon Formulas'!$E$10:$Q$300,12,0),weapon_components!E19),2)</f>
        <v>390.16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>ROUND(_xlfn.IFNA(VLOOKUP(A19,'Weapon Formulas'!$E$10:$L$300,7,0),weapon_components!H19),2)</f>
        <v>-1.49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Formulas'!$E$10:$Z$300,15,0),weapon_components!L19),1)</f>
        <v>49</v>
      </c>
      <c r="M19" s="32">
        <f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Formulas'!$E$10:$Q$300,11,0),weapon_components!D20),2)</f>
        <v>75.89</v>
      </c>
      <c r="E20" s="5">
        <f>ROUND(_xlfn.IFNA(VLOOKUP(A20,'Weapon Formulas'!$E$10:$Q$300,12,0),weapon_components!E20),2)</f>
        <v>126.49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>ROUND(_xlfn.IFNA(VLOOKUP(A20,'Weapon Formulas'!$E$10:$L$300,7,0),weapon_components!H20),2)</f>
        <v>-1.07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Formulas'!$E$10:$Z$300,15,0),weapon_components!L20),1)</f>
        <v>35.5</v>
      </c>
      <c r="M20" s="32">
        <f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Formulas'!$E$10:$Q$300,11,0),weapon_components!D21),2)</f>
        <v>162.28</v>
      </c>
      <c r="E21" s="5">
        <f>ROUND(_xlfn.IFNA(VLOOKUP(A21,'Weapon Formulas'!$E$10:$Q$300,12,0),weapon_components!E21),2)</f>
        <v>270.47000000000003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>ROUND(_xlfn.IFNA(VLOOKUP(A21,'Weapon Formulas'!$E$10:$L$300,7,0),weapon_components!H21),2)</f>
        <v>-1.2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Formulas'!$E$10:$Z$300,15,0),weapon_components!L21),1)</f>
        <v>44.4</v>
      </c>
      <c r="M21" s="32">
        <f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Formulas'!$E$10:$Q$300,11,0),weapon_components!D22),2)</f>
        <v>345.47</v>
      </c>
      <c r="E22" s="5">
        <f>ROUND(_xlfn.IFNA(VLOOKUP(A22,'Weapon Formulas'!$E$10:$Q$300,12,0),weapon_components!E22),2)</f>
        <v>575.78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>ROUND(_xlfn.IFNA(VLOOKUP(A22,'Weapon Formulas'!$E$10:$L$300,7,0),weapon_components!H22),2)</f>
        <v>-1.32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Formulas'!$E$10:$Z$300,15,0),weapon_components!L22),1)</f>
        <v>53.3</v>
      </c>
      <c r="M22" s="32">
        <f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ROUND(_xlfn.IFNA(VLOOKUP(A24,'Weapon Formulas'!$E$10:$L$300,7,0),weapon_components!H24),2)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Formulas'!$E$10:$Z$300,15,0),weapon_components!L24),1)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ROUND(_xlfn.IFNA(VLOOKUP(A25,'Weapon Formulas'!$E$10:$L$300,7,0),weapon_components!H25),2)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Formulas'!$E$10:$Z$300,15,0),weapon_components!L25),1)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ROUND(_xlfn.IFNA(VLOOKUP(A26,'Weapon Formulas'!$E$10:$L$300,7,0),weapon_components!H26),2)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Formulas'!$E$10:$Z$300,15,0),weapon_components!L26),1)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Formulas'!$E$10:$Q$300,11,0),weapon_components!D28),2)</f>
        <v>780.42</v>
      </c>
      <c r="E28" s="5">
        <f>ROUND(_xlfn.IFNA(VLOOKUP(A28,'Weapon Formulas'!$E$10:$Q$300,12,0),weapon_components!E28),2)</f>
        <v>1300.7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>ROUND(_xlfn.IFNA(VLOOKUP(A28,'Weapon Formulas'!$E$10:$L$300,7,0),weapon_components!H28),2)</f>
        <v>2.54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Formulas'!$E$10:$Z$300,15,0),weapon_components!L28),1)</f>
        <v>49</v>
      </c>
      <c r="M28" s="32">
        <f>ROUND(_xlfn.IFNA(VLOOKUP(A28,'Weapon Formulas'!$E$10:$Z$300,14,0),weapon_components!M28),2)</f>
        <v>0.68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Formulas'!$E$10:$Q$300,11,0),weapon_components!D29),2)</f>
        <v>989.69</v>
      </c>
      <c r="E29" s="5">
        <f>ROUND(_xlfn.IFNA(VLOOKUP(A29,'Weapon Formulas'!$E$10:$Q$300,12,0),weapon_components!E29),2)</f>
        <v>1649.48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>ROUND(_xlfn.IFNA(VLOOKUP(A29,'Weapon Formulas'!$E$10:$L$300,7,0),weapon_components!H29),2)</f>
        <v>2.6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Formulas'!$E$10:$Z$300,15,0),weapon_components!L29),1)</f>
        <v>53.3</v>
      </c>
      <c r="M29" s="32">
        <f>ROUND(_xlfn.IFNA(VLOOKUP(A29,'Weapon Formulas'!$E$10:$Z$300,14,0),weapon_components!M29),2)</f>
        <v>0.67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Formulas'!$E$10:$Q$300,11,0),weapon_components!D31),2)</f>
        <v>28.96</v>
      </c>
      <c r="E31" s="5">
        <f>ROUND(_xlfn.IFNA(VLOOKUP(A31,'Weapon Formulas'!$E$10:$Q$300,12,0),weapon_components!E31),2)</f>
        <v>48.27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>ROUND(_xlfn.IFNA(VLOOKUP(A31,'Weapon Formulas'!$E$10:$L$300,7,0),weapon_components!H31),2)</f>
        <v>1.67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Formulas'!$E$10:$Z$300,15,0),weapon_components!L31),1)</f>
        <v>29.8</v>
      </c>
      <c r="M31" s="32">
        <f>ROUND(_xlfn.IFNA(VLOOKUP(A31,'Weapon Formulas'!$E$10:$Z$300,14,0),weapon_components!M31),2)</f>
        <v>0.85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Formulas'!$E$10:$Q$300,11,0),weapon_components!D32),2)</f>
        <v>63.75</v>
      </c>
      <c r="E32" s="5">
        <f>ROUND(_xlfn.IFNA(VLOOKUP(A32,'Weapon Formulas'!$E$10:$Q$300,12,0),weapon_components!E32),2)</f>
        <v>106.26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>ROUND(_xlfn.IFNA(VLOOKUP(A32,'Weapon Formulas'!$E$10:$L$300,7,0),weapon_components!H32),2)</f>
        <v>2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Formulas'!$E$10:$Z$300,15,0),weapon_components!L32),1)</f>
        <v>37.200000000000003</v>
      </c>
      <c r="M32" s="32">
        <f>ROUND(_xlfn.IFNA(VLOOKUP(A32,'Weapon Formulas'!$E$10:$Z$300,14,0),weapon_components!M32),2)</f>
        <v>0.77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Formulas'!$E$10:$Q$300,11,0),weapon_components!D33),2)</f>
        <v>141.87</v>
      </c>
      <c r="E33" s="5">
        <f>ROUND(_xlfn.IFNA(VLOOKUP(A33,'Weapon Formulas'!$E$10:$Q$300,12,0),weapon_components!E33),2)</f>
        <v>236.45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>ROUND(_xlfn.IFNA(VLOOKUP(A33,'Weapon Formulas'!$E$10:$L$300,7,0),weapon_components!H33),2)</f>
        <v>2.33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Formulas'!$E$10:$Z$300,15,0),weapon_components!L33),1)</f>
        <v>44.6</v>
      </c>
      <c r="M33" s="32">
        <f>ROUND(_xlfn.IFNA(VLOOKUP(A33,'Weapon Formulas'!$E$10:$Z$300,14,0),weapon_components!M33),2)</f>
        <v>0.69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Formulas'!$E$10:$Q$300,11,0),weapon_components!D34),2)</f>
        <v>38.979999999999997</v>
      </c>
      <c r="E34" s="5">
        <f>ROUND(_xlfn.IFNA(VLOOKUP(A34,'Weapon Formulas'!$E$10:$Q$300,12,0),weapon_components!E34),2)</f>
        <v>64.97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>ROUND(_xlfn.IFNA(VLOOKUP(A34,'Weapon Formulas'!$E$10:$L$300,7,0),weapon_components!H34),2)</f>
        <v>1.92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Formulas'!$E$10:$Z$300,15,0),weapon_components!L34),1)</f>
        <v>32.6</v>
      </c>
      <c r="M34" s="32">
        <f>ROUND(_xlfn.IFNA(VLOOKUP(A34,'Weapon Formulas'!$E$10:$Z$300,14,0),weapon_components!M34),2)</f>
        <v>0.84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Formulas'!$E$10:$Q$300,11,0),weapon_components!D35),2)</f>
        <v>85.96</v>
      </c>
      <c r="E35" s="5">
        <f>ROUND(_xlfn.IFNA(VLOOKUP(A35,'Weapon Formulas'!$E$10:$Q$300,12,0),weapon_components!E35),2)</f>
        <v>143.27000000000001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>ROUND(_xlfn.IFNA(VLOOKUP(A35,'Weapon Formulas'!$E$10:$L$300,7,0),weapon_components!H35),2)</f>
        <v>2.23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Formulas'!$E$10:$Z$300,15,0),weapon_components!L35),1)</f>
        <v>40.799999999999997</v>
      </c>
      <c r="M35" s="32">
        <f>ROUND(_xlfn.IFNA(VLOOKUP(A35,'Weapon Formulas'!$E$10:$Z$300,14,0),weapon_components!M35),2)</f>
        <v>0.76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Formulas'!$E$10:$Q$300,11,0),weapon_components!D36),2)</f>
        <v>191.68</v>
      </c>
      <c r="E36" s="5">
        <f>ROUND(_xlfn.IFNA(VLOOKUP(A36,'Weapon Formulas'!$E$10:$Q$300,12,0),weapon_components!E36),2)</f>
        <v>319.47000000000003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>ROUND(_xlfn.IFNA(VLOOKUP(A36,'Weapon Formulas'!$E$10:$L$300,7,0),weapon_components!H36),2)</f>
        <v>2.54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Formulas'!$E$10:$Z$300,15,0),weapon_components!L36),1)</f>
        <v>49</v>
      </c>
      <c r="M36" s="32">
        <f>ROUND(_xlfn.IFNA(VLOOKUP(A36,'Weapon Formulas'!$E$10:$Z$300,14,0),weapon_components!M36),2)</f>
        <v>0.68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Formulas'!$E$10:$Q$300,11,0),weapon_components!D37),2)</f>
        <v>49.25</v>
      </c>
      <c r="E37" s="5">
        <f>ROUND(_xlfn.IFNA(VLOOKUP(A37,'Weapon Formulas'!$E$10:$Q$300,12,0),weapon_components!E37),2)</f>
        <v>82.08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>ROUND(_xlfn.IFNA(VLOOKUP(A37,'Weapon Formulas'!$E$10:$L$300,7,0),weapon_components!H37),2)</f>
        <v>2.0699999999999998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Formulas'!$E$10:$Z$300,15,0),weapon_components!L37),1)</f>
        <v>35.5</v>
      </c>
      <c r="M37" s="32">
        <f>ROUND(_xlfn.IFNA(VLOOKUP(A37,'Weapon Formulas'!$E$10:$Z$300,14,0),weapon_components!M37),2)</f>
        <v>0.83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Formulas'!$E$10:$Q$300,11,0),weapon_components!D38),2)</f>
        <v>108.77</v>
      </c>
      <c r="E38" s="5">
        <f>ROUND(_xlfn.IFNA(VLOOKUP(A38,'Weapon Formulas'!$E$10:$Q$300,12,0),weapon_components!E38),2)</f>
        <v>181.28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>ROUND(_xlfn.IFNA(VLOOKUP(A38,'Weapon Formulas'!$E$10:$L$300,7,0),weapon_components!H38),2)</f>
        <v>2.33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Formulas'!$E$10:$Z$300,15,0),weapon_components!L38),1)</f>
        <v>44.4</v>
      </c>
      <c r="M38" s="32">
        <f>ROUND(_xlfn.IFNA(VLOOKUP(A38,'Weapon Formulas'!$E$10:$Z$300,14,0),weapon_components!M38),2)</f>
        <v>0.75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Formulas'!$E$10:$Q$300,11,0),weapon_components!D39),2)</f>
        <v>242.99</v>
      </c>
      <c r="E39" s="5">
        <f>ROUND(_xlfn.IFNA(VLOOKUP(A39,'Weapon Formulas'!$E$10:$Q$300,12,0),weapon_components!E39),2)</f>
        <v>404.98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>ROUND(_xlfn.IFNA(VLOOKUP(A39,'Weapon Formulas'!$E$10:$L$300,7,0),weapon_components!H39),2)</f>
        <v>2.6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Formulas'!$E$10:$Z$300,15,0),weapon_components!L39),1)</f>
        <v>53.3</v>
      </c>
      <c r="M39" s="32">
        <f>ROUND(_xlfn.IFNA(VLOOKUP(A39,'Weapon Formulas'!$E$10:$Z$300,14,0),weapon_components!M39),2)</f>
        <v>0.67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Formulas'!$E$10:$Q$300,11,0),weapon_components!D41),2)</f>
        <v>824.51</v>
      </c>
      <c r="E41" s="5">
        <f>ROUND(_xlfn.IFNA(VLOOKUP(A41,'Weapon Formulas'!$E$10:$Q$300,12,0),weapon_components!E41),2)</f>
        <v>1374.18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>ROUND(_xlfn.IFNA(VLOOKUP(A41,'Weapon Formulas'!$E$10:$L$300,7,0),weapon_components!H41),2)</f>
        <v>-1.49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Formulas'!$E$10:$Z$300,15,0),weapon_components!L41),1)</f>
        <v>49</v>
      </c>
      <c r="M41" s="32">
        <f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Formulas'!$E$10:$Q$300,11,0),weapon_components!D42),2)</f>
        <v>1217.25</v>
      </c>
      <c r="E42" s="5">
        <f>ROUND(_xlfn.IFNA(VLOOKUP(A42,'Weapon Formulas'!$E$10:$Q$300,12,0),weapon_components!E42),2)</f>
        <v>2028.75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>ROUND(_xlfn.IFNA(VLOOKUP(A42,'Weapon Formulas'!$E$10:$L$300,7,0),weapon_components!H42),2)</f>
        <v>-1.32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Formulas'!$E$10:$Z$300,15,0),weapon_components!L42),1)</f>
        <v>53.3</v>
      </c>
      <c r="M42" s="32">
        <f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Formulas'!$E$10:$Q$300,11,0),weapon_components!D44),2)</f>
        <v>118.46</v>
      </c>
      <c r="E44" s="5">
        <f>ROUND(_xlfn.IFNA(VLOOKUP(A44,'Weapon Formulas'!$E$10:$Q$300,12,0),weapon_components!E44),2)</f>
        <v>197.43</v>
      </c>
      <c r="F44" s="5">
        <f>ROUND(_xlfn.IFNA(VLOOKUP(A44,'Weapon Formulas'!$E$10:$L$300,8,0),weapon_components!F44),2)</f>
        <v>2.4</v>
      </c>
      <c r="G44" s="5">
        <f>ROUND(_xlfn.IFNA(VLOOKUP(A44,'Weapon Formulas'!$E$10:$P$300,9,0),weapon_components!G44),2)</f>
        <v>0</v>
      </c>
      <c r="H44" s="5">
        <f>ROUND(_xlfn.IFNA(VLOOKUP(A44,'Weapon Formulas'!$E$10:$L$300,7,0),weapon_components!H44),2)</f>
        <v>-1.93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Formulas'!$E$10:$Z$300,15,0),weapon_components!L44),1)</f>
        <v>22.3</v>
      </c>
      <c r="M44" s="32">
        <f>ROUND(_xlfn.IFNA(VLOOKUP(A44,'Weapon Formulas'!$E$10:$Z$300,14,0),weapon_components!M44),2)</f>
        <v>0.69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Formulas'!$E$10:$Q$300,11,0),weapon_components!D45),2)</f>
        <v>66.900000000000006</v>
      </c>
      <c r="E45" s="5">
        <f>ROUND(_xlfn.IFNA(VLOOKUP(A45,'Weapon Formulas'!$E$10:$Q$300,12,0),weapon_components!E45),2)</f>
        <v>111.49</v>
      </c>
      <c r="F45" s="5">
        <f>ROUND(_xlfn.IFNA(VLOOKUP(A45,'Weapon Formulas'!$E$10:$L$300,8,0),weapon_components!F45),2)</f>
        <v>2.4</v>
      </c>
      <c r="G45" s="5">
        <f>ROUND(_xlfn.IFNA(VLOOKUP(A45,'Weapon Formulas'!$E$10:$P$300,9,0),weapon_components!G45),2)</f>
        <v>0</v>
      </c>
      <c r="H45" s="5">
        <f>ROUND(_xlfn.IFNA(VLOOKUP(A45,'Weapon Formulas'!$E$10:$L$300,7,0),weapon_components!H45),2)</f>
        <v>-2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Formulas'!$E$10:$Z$300,15,0),weapon_components!L45),1)</f>
        <v>26</v>
      </c>
      <c r="M45" s="32">
        <f>ROUND(_xlfn.IFNA(VLOOKUP(A45,'Weapon Formulas'!$E$10:$Z$300,14,0),weapon_components!M45),2)</f>
        <v>0.61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Formulas'!$E$10:$Q$300,11,0),weapon_components!D46),2)</f>
        <v>153.76</v>
      </c>
      <c r="E46" s="5">
        <f>ROUND(_xlfn.IFNA(VLOOKUP(A46,'Weapon Formulas'!$E$10:$Q$300,12,0),weapon_components!E46),2)</f>
        <v>256.27</v>
      </c>
      <c r="F46" s="5">
        <f>ROUND(_xlfn.IFNA(VLOOKUP(A46,'Weapon Formulas'!$E$10:$L$300,8,0),weapon_components!F46),2)</f>
        <v>2.4</v>
      </c>
      <c r="G46" s="5">
        <f>ROUND(_xlfn.IFNA(VLOOKUP(A46,'Weapon Formulas'!$E$10:$P$300,9,0),weapon_components!G46),2)</f>
        <v>0</v>
      </c>
      <c r="H46" s="5">
        <f>ROUND(_xlfn.IFNA(VLOOKUP(A46,'Weapon Formulas'!$E$10:$L$300,7,0),weapon_components!H46),2)</f>
        <v>-2.0699999999999998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Formulas'!$E$10:$Z$300,15,0),weapon_components!L46),1)</f>
        <v>29.8</v>
      </c>
      <c r="M46" s="32">
        <f>ROUND(_xlfn.IFNA(VLOOKUP(A46,'Weapon Formulas'!$E$10:$Z$300,14,0),weapon_components!M46),2)</f>
        <v>0.53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Formulas'!$E$10:$Q$300,11,0),weapon_components!D47),2)</f>
        <v>39.950000000000003</v>
      </c>
      <c r="E47" s="5">
        <f>ROUND(_xlfn.IFNA(VLOOKUP(A47,'Weapon Formulas'!$E$10:$Q$300,12,0),weapon_components!E47),2)</f>
        <v>66.58</v>
      </c>
      <c r="F47" s="5">
        <f>ROUND(_xlfn.IFNA(VLOOKUP(A47,'Weapon Formulas'!$E$10:$L$300,8,0),weapon_components!F47),2)</f>
        <v>2.6</v>
      </c>
      <c r="G47" s="5">
        <f>ROUND(_xlfn.IFNA(VLOOKUP(A47,'Weapon Formulas'!$E$10:$P$300,9,0),weapon_components!G47),2)</f>
        <v>0</v>
      </c>
      <c r="H47" s="5">
        <f>ROUND(_xlfn.IFNA(VLOOKUP(A47,'Weapon Formulas'!$E$10:$L$300,7,0),weapon_components!H47),2)</f>
        <v>-1.77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Formulas'!$E$10:$Z$300,15,0),weapon_components!L47),1)</f>
        <v>24.5</v>
      </c>
      <c r="M47" s="32">
        <f>ROUND(_xlfn.IFNA(VLOOKUP(A47,'Weapon Formulas'!$E$10:$Z$300,14,0),weapon_components!M47),2)</f>
        <v>0.68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Formulas'!$E$10:$Q$300,11,0),weapon_components!D48),2)</f>
        <v>90.44</v>
      </c>
      <c r="E48" s="5">
        <f>ROUND(_xlfn.IFNA(VLOOKUP(A48,'Weapon Formulas'!$E$10:$Q$300,12,0),weapon_components!E48),2)</f>
        <v>150.74</v>
      </c>
      <c r="F48" s="5">
        <f>ROUND(_xlfn.IFNA(VLOOKUP(A48,'Weapon Formulas'!$E$10:$L$300,8,0),weapon_components!F48),2)</f>
        <v>2.6</v>
      </c>
      <c r="G48" s="5">
        <f>ROUND(_xlfn.IFNA(VLOOKUP(A48,'Weapon Formulas'!$E$10:$P$300,9,0),weapon_components!G48),2)</f>
        <v>0</v>
      </c>
      <c r="H48" s="5">
        <f>ROUND(_xlfn.IFNA(VLOOKUP(A48,'Weapon Formulas'!$E$10:$L$300,7,0),weapon_components!H48),2)</f>
        <v>-1.83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Formulas'!$E$10:$Z$300,15,0),weapon_components!L48),1)</f>
        <v>28.6</v>
      </c>
      <c r="M48" s="32">
        <f>ROUND(_xlfn.IFNA(VLOOKUP(A48,'Weapon Formulas'!$E$10:$Z$300,14,0),weapon_components!M48),2)</f>
        <v>0.6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Formulas'!$E$10:$Q$300,11,0),weapon_components!D49),2)</f>
        <v>208.46</v>
      </c>
      <c r="E49" s="5">
        <f>ROUND(_xlfn.IFNA(VLOOKUP(A49,'Weapon Formulas'!$E$10:$Q$300,12,0),weapon_components!E49),2)</f>
        <v>347.44</v>
      </c>
      <c r="F49" s="5">
        <f>ROUND(_xlfn.IFNA(VLOOKUP(A49,'Weapon Formulas'!$E$10:$L$300,8,0),weapon_components!F49),2)</f>
        <v>2.6</v>
      </c>
      <c r="G49" s="5">
        <f>ROUND(_xlfn.IFNA(VLOOKUP(A49,'Weapon Formulas'!$E$10:$P$300,9,0),weapon_components!G49),2)</f>
        <v>0</v>
      </c>
      <c r="H49" s="5">
        <f>ROUND(_xlfn.IFNA(VLOOKUP(A49,'Weapon Formulas'!$E$10:$L$300,7,0),weapon_components!H49),2)</f>
        <v>-1.89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Formulas'!$E$10:$Z$300,15,0),weapon_components!L49),1)</f>
        <v>32.6</v>
      </c>
      <c r="M49" s="32">
        <f>ROUND(_xlfn.IFNA(VLOOKUP(A49,'Weapon Formulas'!$E$10:$Z$300,14,0),weapon_components!M49),2)</f>
        <v>0.52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Formulas'!$E$10:$Q$300,11,0),weapon_components!D50),2)</f>
        <v>50.6</v>
      </c>
      <c r="E50" s="5">
        <f>ROUND(_xlfn.IFNA(VLOOKUP(A50,'Weapon Formulas'!$E$10:$Q$300,12,0),weapon_components!E50),2)</f>
        <v>84.33</v>
      </c>
      <c r="F50" s="5">
        <f>ROUND(_xlfn.IFNA(VLOOKUP(A50,'Weapon Formulas'!$E$10:$L$300,8,0),weapon_components!F50),2)</f>
        <v>3</v>
      </c>
      <c r="G50" s="5">
        <f>ROUND(_xlfn.IFNA(VLOOKUP(A50,'Weapon Formulas'!$E$10:$P$300,9,0),weapon_components!G50),2)</f>
        <v>0</v>
      </c>
      <c r="H50" s="5">
        <f>ROUND(_xlfn.IFNA(VLOOKUP(A50,'Weapon Formulas'!$E$10:$L$300,7,0),weapon_components!H50),2)</f>
        <v>-1.45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Formulas'!$E$10:$Z$300,15,0),weapon_components!L50),1)</f>
        <v>26.6</v>
      </c>
      <c r="M50" s="32">
        <f>ROUND(_xlfn.IFNA(VLOOKUP(A50,'Weapon Formulas'!$E$10:$Z$300,14,0),weapon_components!M50),2)</f>
        <v>0.67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Formulas'!$E$10:$Q$300,11,0),weapon_components!D51),2)</f>
        <v>114.79</v>
      </c>
      <c r="E51" s="5">
        <f>ROUND(_xlfn.IFNA(VLOOKUP(A51,'Weapon Formulas'!$E$10:$Q$300,12,0),weapon_components!E51),2)</f>
        <v>191.31</v>
      </c>
      <c r="F51" s="5">
        <f>ROUND(_xlfn.IFNA(VLOOKUP(A51,'Weapon Formulas'!$E$10:$L$300,8,0),weapon_components!F51),2)</f>
        <v>3</v>
      </c>
      <c r="G51" s="5">
        <f>ROUND(_xlfn.IFNA(VLOOKUP(A51,'Weapon Formulas'!$E$10:$P$300,9,0),weapon_components!G51),2)</f>
        <v>0</v>
      </c>
      <c r="H51" s="5">
        <f>ROUND(_xlfn.IFNA(VLOOKUP(A51,'Weapon Formulas'!$E$10:$L$300,7,0),weapon_components!H51),2)</f>
        <v>-1.51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Formulas'!$E$10:$Z$300,15,0),weapon_components!L51),1)</f>
        <v>31.1</v>
      </c>
      <c r="M51" s="32">
        <f>ROUND(_xlfn.IFNA(VLOOKUP(A51,'Weapon Formulas'!$E$10:$Z$300,14,0),weapon_components!M51),2)</f>
        <v>0.59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Formulas'!$E$10:$Q$300,11,0),weapon_components!D52),2)</f>
        <v>265.31</v>
      </c>
      <c r="E52" s="5">
        <f>ROUND(_xlfn.IFNA(VLOOKUP(A52,'Weapon Formulas'!$E$10:$Q$300,12,0),weapon_components!E52),2)</f>
        <v>442.18</v>
      </c>
      <c r="F52" s="5">
        <f>ROUND(_xlfn.IFNA(VLOOKUP(A52,'Weapon Formulas'!$E$10:$L$300,8,0),weapon_components!F52),2)</f>
        <v>3</v>
      </c>
      <c r="G52" s="5">
        <f>ROUND(_xlfn.IFNA(VLOOKUP(A52,'Weapon Formulas'!$E$10:$P$300,9,0),weapon_components!G52),2)</f>
        <v>0</v>
      </c>
      <c r="H52" s="5">
        <f>ROUND(_xlfn.IFNA(VLOOKUP(A52,'Weapon Formulas'!$E$10:$L$300,7,0),weapon_components!H52),2)</f>
        <v>-1.56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Formulas'!$E$10:$Z$300,15,0),weapon_components!L52),1)</f>
        <v>35.5</v>
      </c>
      <c r="M52" s="32">
        <f>ROUND(_xlfn.IFNA(VLOOKUP(A52,'Weapon Formulas'!$E$10:$Z$300,14,0),weapon_components!M52),2)</f>
        <v>0.51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Formulas'!$E$10:$Q$300,11,0),weapon_components!D54),2)</f>
        <v>602.67999999999995</v>
      </c>
      <c r="E54" s="5">
        <f>ROUND(_xlfn.IFNA(VLOOKUP(A54,'Weapon Formulas'!$E$10:$Q$300,12,0),weapon_components!E54),2)</f>
        <v>1004.46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>ROUND(_xlfn.IFNA(VLOOKUP(A54,'Weapon Formulas'!$E$10:$L$300,7,0),weapon_components!H54),2)</f>
        <v>-1.26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Formulas'!$E$10:$Z$300,15,0),weapon_components!L54),1)</f>
        <v>97.9</v>
      </c>
      <c r="M54" s="32">
        <f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Formulas'!$E$10:$Q$300,11,0),weapon_components!D55),2)</f>
        <v>804.02</v>
      </c>
      <c r="E55" s="5">
        <f>ROUND(_xlfn.IFNA(VLOOKUP(A55,'Weapon Formulas'!$E$10:$Q$300,12,0),weapon_components!E55),2)</f>
        <v>1340.03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>ROUND(_xlfn.IFNA(VLOOKUP(A55,'Weapon Formulas'!$E$10:$L$300,7,0),weapon_components!H55),2)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Formulas'!$E$10:$Z$300,15,0),weapon_components!L55),1)</f>
        <v>106.6</v>
      </c>
      <c r="M55" s="32">
        <f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Formulas'!$E$10:$Q$300,11,0),weapon_components!D57),2)</f>
        <v>8.17</v>
      </c>
      <c r="E57" s="5">
        <f>ROUND(_xlfn.IFNA(VLOOKUP(A57,'Weapon Formulas'!$E$10:$Q$300,12,0),weapon_components!E57),2)</f>
        <v>13.62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>ROUND(_xlfn.IFNA(VLOOKUP(A57,'Weapon Formulas'!$E$10:$L$300,7,0),weapon_components!H57),2)</f>
        <v>-19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Formulas'!$E$10:$Z$300,15,0),weapon_components!L57),1)</f>
        <v>36</v>
      </c>
      <c r="M57" s="32">
        <f>ROUND(_xlfn.IFNA(VLOOKUP(A57,'Weapon Formulas'!$E$10:$Z$300,14,0),weapon_components!M57),2)</f>
        <v>0.87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Formulas'!$E$10:$Q$300,11,0),weapon_components!D58),2)</f>
        <v>18.75</v>
      </c>
      <c r="E58" s="5">
        <f>ROUND(_xlfn.IFNA(VLOOKUP(A58,'Weapon Formulas'!$E$10:$Q$300,12,0),weapon_components!E58),2)</f>
        <v>31.25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>ROUND(_xlfn.IFNA(VLOOKUP(A58,'Weapon Formulas'!$E$10:$L$300,7,0),weapon_components!H58),2)</f>
        <v>-16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Formulas'!$E$10:$Z$300,15,0),weapon_components!L58),1)</f>
        <v>45</v>
      </c>
      <c r="M58" s="32">
        <f>ROUND(_xlfn.IFNA(VLOOKUP(A58,'Weapon Formulas'!$E$10:$Z$300,14,0),weapon_components!M58),2)</f>
        <v>0.75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Formulas'!$E$10:$Q$300,11,0),weapon_components!D59),2)</f>
        <v>44.16</v>
      </c>
      <c r="E59" s="5">
        <f>ROUND(_xlfn.IFNA(VLOOKUP(A59,'Weapon Formulas'!$E$10:$Q$300,12,0),weapon_components!E59),2)</f>
        <v>73.599999999999994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>ROUND(_xlfn.IFNA(VLOOKUP(A59,'Weapon Formulas'!$E$10:$L$300,7,0),weapon_components!H59),2)</f>
        <v>-13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Formulas'!$E$10:$Z$300,15,0),weapon_components!L59),1)</f>
        <v>54</v>
      </c>
      <c r="M59" s="32">
        <f>ROUND(_xlfn.IFNA(VLOOKUP(A59,'Weapon Formulas'!$E$10:$Z$300,14,0),weapon_components!M59),2)</f>
        <v>0.63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Formulas'!$E$10:$Q$300,11,0),weapon_components!D60),2)</f>
        <v>15</v>
      </c>
      <c r="E60" s="5">
        <f>ROUND(_xlfn.IFNA(VLOOKUP(A60,'Weapon Formulas'!$E$10:$Q$300,12,0),weapon_components!E60),2)</f>
        <v>25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>ROUND(_xlfn.IFNA(VLOOKUP(A60,'Weapon Formulas'!$E$10:$L$300,7,0),weapon_components!H60),2)</f>
        <v>-3.44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Formulas'!$E$10:$Z$300,15,0),weapon_components!L60),1)</f>
        <v>40.299999999999997</v>
      </c>
      <c r="M60" s="32">
        <f>ROUND(_xlfn.IFNA(VLOOKUP(A60,'Weapon Formulas'!$E$10:$Z$300,14,0),weapon_components!M60),2)</f>
        <v>0.94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Formulas'!$E$10:$Q$300,11,0),weapon_components!D61),2)</f>
        <v>34.19</v>
      </c>
      <c r="E61" s="5">
        <f>ROUND(_xlfn.IFNA(VLOOKUP(A61,'Weapon Formulas'!$E$10:$Q$300,12,0),weapon_components!E61),2)</f>
        <v>56.98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>ROUND(_xlfn.IFNA(VLOOKUP(A61,'Weapon Formulas'!$E$10:$L$300,7,0),weapon_components!H61),2)</f>
        <v>-2.78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Formulas'!$E$10:$Z$300,15,0),weapon_components!L61),1)</f>
        <v>50.4</v>
      </c>
      <c r="M61" s="32">
        <f>ROUND(_xlfn.IFNA(VLOOKUP(A61,'Weapon Formulas'!$E$10:$Z$300,14,0),weapon_components!M61),2)</f>
        <v>0.82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Formulas'!$E$10:$Q$300,11,0),weapon_components!D62),2)</f>
        <v>79.61</v>
      </c>
      <c r="E62" s="5">
        <f>ROUND(_xlfn.IFNA(VLOOKUP(A62,'Weapon Formulas'!$E$10:$Q$300,12,0),weapon_components!E62),2)</f>
        <v>132.68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>ROUND(_xlfn.IFNA(VLOOKUP(A62,'Weapon Formulas'!$E$10:$L$300,7,0),weapon_components!H62),2)</f>
        <v>-2.11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Formulas'!$E$10:$Z$300,15,0),weapon_components!L62),1)</f>
        <v>60.5</v>
      </c>
      <c r="M62" s="32">
        <f>ROUND(_xlfn.IFNA(VLOOKUP(A62,'Weapon Formulas'!$E$10:$Z$300,14,0),weapon_components!M62),2)</f>
        <v>0.7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Formulas'!$E$10:$Q$300,11,0),weapon_components!D63),2)</f>
        <v>21.36</v>
      </c>
      <c r="E63" s="5">
        <f>ROUND(_xlfn.IFNA(VLOOKUP(A63,'Weapon Formulas'!$E$10:$Q$300,12,0),weapon_components!E63),2)</f>
        <v>35.61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>ROUND(_xlfn.IFNA(VLOOKUP(A63,'Weapon Formulas'!$E$10:$L$300,7,0),weapon_components!H63),2)</f>
        <v>-1.68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Formulas'!$E$10:$Z$300,15,0),weapon_components!L63),1)</f>
        <v>44.6</v>
      </c>
      <c r="M63" s="32">
        <f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Formulas'!$E$10:$Q$300,11,0),weapon_components!D64),2)</f>
        <v>47.2</v>
      </c>
      <c r="E64" s="5">
        <f>ROUND(_xlfn.IFNA(VLOOKUP(A64,'Weapon Formulas'!$E$10:$Q$300,12,0),weapon_components!E64),2)</f>
        <v>78.66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>ROUND(_xlfn.IFNA(VLOOKUP(A64,'Weapon Formulas'!$E$10:$L$300,7,0),weapon_components!H64),2)</f>
        <v>-1.27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Formulas'!$E$10:$Z$300,15,0),weapon_components!L64),1)</f>
        <v>55.8</v>
      </c>
      <c r="M64" s="32">
        <f>ROUND(_xlfn.IFNA(VLOOKUP(A64,'Weapon Formulas'!$E$10:$Z$300,14,0),weapon_components!M64),2)</f>
        <v>0.89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Formulas'!$E$10:$Q$300,11,0),weapon_components!D65),2)</f>
        <v>108.62</v>
      </c>
      <c r="E65" s="5">
        <f>ROUND(_xlfn.IFNA(VLOOKUP(A65,'Weapon Formulas'!$E$10:$Q$300,12,0),weapon_components!E65),2)</f>
        <v>181.03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>ROUND(_xlfn.IFNA(VLOOKUP(A65,'Weapon Formulas'!$E$10:$L$300,7,0),weapon_components!H65),2)</f>
        <v>-0.87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Formulas'!$E$10:$Z$300,15,0),weapon_components!L65),1)</f>
        <v>67</v>
      </c>
      <c r="M65" s="32">
        <f>ROUND(_xlfn.IFNA(VLOOKUP(A65,'Weapon Formulas'!$E$10:$Z$300,14,0),weapon_components!M65),2)</f>
        <v>0.77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Formulas'!$E$10:$Q$300,11,0),weapon_components!D66),2)</f>
        <v>31.21</v>
      </c>
      <c r="E66" s="5">
        <f>ROUND(_xlfn.IFNA(VLOOKUP(A66,'Weapon Formulas'!$E$10:$Q$300,12,0),weapon_components!E66),2)</f>
        <v>52.02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>ROUND(_xlfn.IFNA(VLOOKUP(A66,'Weapon Formulas'!$E$10:$L$300,7,0),weapon_components!H66),2)</f>
        <v>-1.52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Formulas'!$E$10:$Z$300,15,0),weapon_components!L66),1)</f>
        <v>49</v>
      </c>
      <c r="M66" s="32">
        <f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Formulas'!$E$10:$Q$300,11,0),weapon_components!D67),2)</f>
        <v>58.31</v>
      </c>
      <c r="E67" s="5">
        <f>ROUND(_xlfn.IFNA(VLOOKUP(A67,'Weapon Formulas'!$E$10:$Q$300,12,0),weapon_components!E67),2)</f>
        <v>97.18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>ROUND(_xlfn.IFNA(VLOOKUP(A67,'Weapon Formulas'!$E$10:$L$300,7,0),weapon_components!H67),2)</f>
        <v>-1.0900000000000001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Formulas'!$E$10:$Z$300,15,0),weapon_components!L67),1)</f>
        <v>61.2</v>
      </c>
      <c r="M67" s="32">
        <f>ROUND(_xlfn.IFNA(VLOOKUP(A67,'Weapon Formulas'!$E$10:$Z$300,14,0),weapon_components!M67),2)</f>
        <v>0.96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Formulas'!$E$10:$Q$300,11,0),weapon_components!D68),2)</f>
        <v>132.79</v>
      </c>
      <c r="E68" s="5">
        <f>ROUND(_xlfn.IFNA(VLOOKUP(A68,'Weapon Formulas'!$E$10:$Q$300,12,0),weapon_components!E68),2)</f>
        <v>221.31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>ROUND(_xlfn.IFNA(VLOOKUP(A68,'Weapon Formulas'!$E$10:$L$300,7,0),weapon_components!H68),2)</f>
        <v>-0.72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Formulas'!$E$10:$Z$300,15,0),weapon_components!L68),1)</f>
        <v>73.400000000000006</v>
      </c>
      <c r="M68" s="32">
        <f>ROUND(_xlfn.IFNA(VLOOKUP(A68,'Weapon Formulas'!$E$10:$Z$300,14,0),weapon_components!M68),2)</f>
        <v>0.84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Formulas'!$E$10:$Q$300,11,0),weapon_components!D69),2)</f>
        <v>43.18</v>
      </c>
      <c r="E69" s="5">
        <f>ROUND(_xlfn.IFNA(VLOOKUP(A69,'Weapon Formulas'!$E$10:$Q$300,12,0),weapon_components!E69),2)</f>
        <v>71.97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>ROUND(_xlfn.IFNA(VLOOKUP(A69,'Weapon Formulas'!$E$10:$L$300,7,0),weapon_components!H69),2)</f>
        <v>-1.23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Formulas'!$E$10:$Z$300,15,0),weapon_components!L69),1)</f>
        <v>53.3</v>
      </c>
      <c r="M69" s="32">
        <f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Formulas'!$E$10:$Q$300,11,0),weapon_components!D70),2)</f>
        <v>73.180000000000007</v>
      </c>
      <c r="E70" s="5">
        <f>ROUND(_xlfn.IFNA(VLOOKUP(A70,'Weapon Formulas'!$E$10:$Q$300,12,0),weapon_components!E70),2)</f>
        <v>121.96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>ROUND(_xlfn.IFNA(VLOOKUP(A70,'Weapon Formulas'!$E$10:$L$300,7,0),weapon_components!H70),2)</f>
        <v>-0.85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Formulas'!$E$10:$Z$300,15,0),weapon_components!L70),1)</f>
        <v>66.599999999999994</v>
      </c>
      <c r="M70" s="32">
        <f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Formulas'!$E$10:$Q$300,11,0),weapon_components!D71),2)</f>
        <v>153.24</v>
      </c>
      <c r="E71" s="5">
        <f>ROUND(_xlfn.IFNA(VLOOKUP(A71,'Weapon Formulas'!$E$10:$Q$300,12,0),weapon_components!E71),2)</f>
        <v>255.4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>ROUND(_xlfn.IFNA(VLOOKUP(A71,'Weapon Formulas'!$E$10:$L$300,7,0),weapon_components!H71),2)</f>
        <v>-0.49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Formulas'!$E$10:$Z$300,15,0),weapon_components!L71),1)</f>
        <v>79.900000000000006</v>
      </c>
      <c r="M71" s="32">
        <f>ROUND(_xlfn.IFNA(VLOOKUP(A71,'Weapon Formulas'!$E$10:$Z$300,14,0),weapon_components!M71),2)</f>
        <v>0.91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ROUND(_xlfn.IFNA(VLOOKUP(A73,'Weapon Formulas'!$E$10:$L$300,7,0),weapon_components!H73),2)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Formulas'!$E$10:$Z$300,15,0),weapon_components!L73),1)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ROUND(_xlfn.IFNA(VLOOKUP(A74,'Weapon Formulas'!$E$10:$L$300,7,0),weapon_components!H74),2)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Formulas'!$E$10:$Z$300,15,0),weapon_components!L74),1)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ROUND(_xlfn.IFNA(VLOOKUP(A75,'Weapon Formulas'!$E$10:$L$300,7,0),weapon_components!H75),2)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Formulas'!$E$10:$Z$300,15,0),weapon_components!L75),1)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Formulas'!$E$10:$Q$300,11,0),weapon_components!D77),2)</f>
        <v>1250</v>
      </c>
      <c r="E77" s="5">
        <f>ROUND(_xlfn.IFNA(VLOOKUP(A77,'Weapon Formulas'!$E$10:$Q$300,12,0),weapon_components!E77),2)</f>
        <v>2083.33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>ROUND(_xlfn.IFNA(VLOOKUP(A77,'Weapon Formulas'!$E$10:$L$300,7,0),weapon_components!H77),2)</f>
        <v>-1.93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Formulas'!$E$10:$Z$300,15,0),weapon_components!L77),1)</f>
        <v>114.2</v>
      </c>
      <c r="M77" s="32">
        <f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Formulas'!$E$10:$Q$300,11,0),weapon_components!D78),2)</f>
        <v>1846.15</v>
      </c>
      <c r="E78" s="5">
        <f>ROUND(_xlfn.IFNA(VLOOKUP(A78,'Weapon Formulas'!$E$10:$Q$300,12,0),weapon_components!E78),2)</f>
        <v>3076.92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>ROUND(_xlfn.IFNA(VLOOKUP(A78,'Weapon Formulas'!$E$10:$L$300,7,0),weapon_components!H78),2)</f>
        <v>-1.58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Formulas'!$E$10:$Z$300,15,0),weapon_components!L78),1)</f>
        <v>124.3</v>
      </c>
      <c r="M78" s="32">
        <f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Formulas'!$E$10:$Q$300,11,0),weapon_components!D80),2)</f>
        <v>27.26</v>
      </c>
      <c r="E80" s="5">
        <f>ROUND(_xlfn.IFNA(VLOOKUP(A80,'Weapon Formulas'!$E$10:$Q$300,12,0),weapon_components!E80),2)</f>
        <v>45.43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>ROUND(_xlfn.IFNA(VLOOKUP(A80,'Weapon Formulas'!$E$10:$L$300,7,0),weapon_components!H80),2)</f>
        <v>-0.47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Formulas'!$E$10:$Z$300,15,0),weapon_components!L80),1)</f>
        <v>44.6</v>
      </c>
      <c r="M80" s="32">
        <f>ROUND(_xlfn.IFNA(VLOOKUP(A80,'Weapon Formulas'!$E$10:$Z$300,14,0),weapon_components!M80),2)</f>
        <v>0.65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Formulas'!$E$10:$Q$300,11,0),weapon_components!D81),2)</f>
        <v>66.86</v>
      </c>
      <c r="E81" s="5">
        <f>ROUND(_xlfn.IFNA(VLOOKUP(A81,'Weapon Formulas'!$E$10:$Q$300,12,0),weapon_components!E81),2)</f>
        <v>111.44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>ROUND(_xlfn.IFNA(VLOOKUP(A81,'Weapon Formulas'!$E$10:$L$300,7,0),weapon_components!H81),2)</f>
        <v>-7.0000000000000007E-2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Formulas'!$E$10:$Z$300,15,0),weapon_components!L81),1)</f>
        <v>55.8</v>
      </c>
      <c r="M81" s="32">
        <f>ROUND(_xlfn.IFNA(VLOOKUP(A81,'Weapon Formulas'!$E$10:$Z$300,14,0),weapon_components!M81),2)</f>
        <v>0.53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Formulas'!$E$10:$Q$300,11,0),weapon_components!D82),2)</f>
        <v>172.87</v>
      </c>
      <c r="E82" s="5">
        <f>ROUND(_xlfn.IFNA(VLOOKUP(A82,'Weapon Formulas'!$E$10:$Q$300,12,0),weapon_components!E82),2)</f>
        <v>288.11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>ROUND(_xlfn.IFNA(VLOOKUP(A82,'Weapon Formulas'!$E$10:$L$300,7,0),weapon_components!H82),2)</f>
        <v>0.33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Formulas'!$E$10:$Z$300,15,0),weapon_components!L82),1)</f>
        <v>67</v>
      </c>
      <c r="M82" s="32">
        <f>ROUND(_xlfn.IFNA(VLOOKUP(A82,'Weapon Formulas'!$E$10:$Z$300,14,0),weapon_components!M82),2)</f>
        <v>0.41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Formulas'!$E$10:$Q$300,11,0),weapon_components!D83),2)</f>
        <v>32.81</v>
      </c>
      <c r="E83" s="5">
        <f>ROUND(_xlfn.IFNA(VLOOKUP(A83,'Weapon Formulas'!$E$10:$Q$300,12,0),weapon_components!E83),2)</f>
        <v>54.69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>ROUND(_xlfn.IFNA(VLOOKUP(A83,'Weapon Formulas'!$E$10:$L$300,7,0),weapon_components!H83),2)</f>
        <v>-0.35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Formulas'!$E$10:$Z$300,15,0),weapon_components!L83),1)</f>
        <v>49</v>
      </c>
      <c r="M83" s="32">
        <f>ROUND(_xlfn.IFNA(VLOOKUP(A83,'Weapon Formulas'!$E$10:$Z$300,14,0),weapon_components!M83),2)</f>
        <v>0.72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Formulas'!$E$10:$Q$300,11,0),weapon_components!D84),2)</f>
        <v>78.75</v>
      </c>
      <c r="E84" s="5">
        <f>ROUND(_xlfn.IFNA(VLOOKUP(A84,'Weapon Formulas'!$E$10:$Q$300,12,0),weapon_components!E84),2)</f>
        <v>131.25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>ROUND(_xlfn.IFNA(VLOOKUP(A84,'Weapon Formulas'!$E$10:$L$300,7,0),weapon_components!H84),2)</f>
        <v>0.02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Formulas'!$E$10:$Z$300,15,0),weapon_components!L84),1)</f>
        <v>61.2</v>
      </c>
      <c r="M84" s="32">
        <f>ROUND(_xlfn.IFNA(VLOOKUP(A84,'Weapon Formulas'!$E$10:$Z$300,14,0),weapon_components!M84),2)</f>
        <v>0.6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Formulas'!$E$10:$Q$300,11,0),weapon_components!D85),2)</f>
        <v>196.88</v>
      </c>
      <c r="E85" s="5">
        <f>ROUND(_xlfn.IFNA(VLOOKUP(A85,'Weapon Formulas'!$E$10:$Q$300,12,0),weapon_components!E85),2)</f>
        <v>328.13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>ROUND(_xlfn.IFNA(VLOOKUP(A85,'Weapon Formulas'!$E$10:$L$300,7,0),weapon_components!H85),2)</f>
        <v>0.38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Formulas'!$E$10:$Z$300,15,0),weapon_components!L85),1)</f>
        <v>73.400000000000006</v>
      </c>
      <c r="M85" s="32">
        <f>ROUND(_xlfn.IFNA(VLOOKUP(A85,'Weapon Formulas'!$E$10:$Z$300,14,0),weapon_components!M85),2)</f>
        <v>0.48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Formulas'!$E$10:$Q$300,11,0),weapon_components!D86),2)</f>
        <v>37.380000000000003</v>
      </c>
      <c r="E86" s="5">
        <f>ROUND(_xlfn.IFNA(VLOOKUP(A86,'Weapon Formulas'!$E$10:$Q$300,12,0),weapon_components!E86),2)</f>
        <v>62.3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>ROUND(_xlfn.IFNA(VLOOKUP(A86,'Weapon Formulas'!$E$10:$L$300,7,0),weapon_components!H86),2)</f>
        <v>-0.17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Formulas'!$E$10:$Z$300,15,0),weapon_components!L86),1)</f>
        <v>53.3</v>
      </c>
      <c r="M86" s="32">
        <f>ROUND(_xlfn.IFNA(VLOOKUP(A86,'Weapon Formulas'!$E$10:$Z$300,14,0),weapon_components!M86),2)</f>
        <v>0.79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Formulas'!$E$10:$Q$300,11,0),weapon_components!D87),2)</f>
        <v>88.15</v>
      </c>
      <c r="E87" s="5">
        <f>ROUND(_xlfn.IFNA(VLOOKUP(A87,'Weapon Formulas'!$E$10:$Q$300,12,0),weapon_components!E87),2)</f>
        <v>146.91999999999999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>ROUND(_xlfn.IFNA(VLOOKUP(A87,'Weapon Formulas'!$E$10:$L$300,7,0),weapon_components!H87),2)</f>
        <v>0.15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Formulas'!$E$10:$Z$300,15,0),weapon_components!L87),1)</f>
        <v>66.599999999999994</v>
      </c>
      <c r="M87" s="32">
        <f>ROUND(_xlfn.IFNA(VLOOKUP(A87,'Weapon Formulas'!$E$10:$Z$300,14,0),weapon_components!M87),2)</f>
        <v>0.67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Formulas'!$E$10:$Q$300,11,0),weapon_components!D88),2)</f>
        <v>214.77</v>
      </c>
      <c r="E88" s="5">
        <f>ROUND(_xlfn.IFNA(VLOOKUP(A88,'Weapon Formulas'!$E$10:$Q$300,12,0),weapon_components!E88),2)</f>
        <v>357.95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>ROUND(_xlfn.IFNA(VLOOKUP(A88,'Weapon Formulas'!$E$10:$L$300,7,0),weapon_components!H88),2)</f>
        <v>0.47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Formulas'!$E$10:$Z$300,15,0),weapon_components!L88),1)</f>
        <v>79.900000000000006</v>
      </c>
      <c r="M88" s="32">
        <f>ROUND(_xlfn.IFNA(VLOOKUP(A88,'Weapon Formulas'!$E$10:$Z$300,14,0),weapon_components!M88),2)</f>
        <v>0.55000000000000004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Formulas'!$E$10:$L$300,8,0),weapon_components!F90),2)</f>
        <v>0.1</v>
      </c>
      <c r="G90" s="5">
        <f>ROUND(_xlfn.IFNA(VLOOKUP(A90,'Weapon Formulas'!$E$10:$P$300,9,0),weapon_components!G90),2)</f>
        <v>0</v>
      </c>
      <c r="H90" s="5">
        <f>ROUND(_xlfn.IFNA(VLOOKUP(A90,'Weapon Formulas'!$E$10:$L$300,7,0),weapon_components!H90),2)</f>
        <v>-1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Formulas'!$E$10:$Z$300,15,0),weapon_components!L90),1)</f>
        <v>15</v>
      </c>
      <c r="M90" s="32">
        <f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>ROUND(_xlfn.IFNA(VLOOKUP(A91,'Weapon Formulas'!$E$10:$L$300,7,0),weapon_components!H91),2)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Formulas'!$E$10:$Z$300,15,0),weapon_components!L91),1)</f>
        <v>20</v>
      </c>
      <c r="M91" s="32">
        <f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Formulas'!$E$10:$Q$300,11,0),weapon_components!D93),2)</f>
        <v>10.31</v>
      </c>
      <c r="E93" s="5">
        <f>ROUND(_xlfn.IFNA(VLOOKUP(A93,'Weapon Formulas'!$E$10:$Q$300,12,0),weapon_components!E93),2)</f>
        <v>17.190000000000001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>ROUND(_xlfn.IFNA(VLOOKUP(A93,'Weapon Formulas'!$E$10:$L$300,7,0),weapon_components!H93),2)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Formulas'!$E$10:$Z$300,15,0),weapon_components!L93),1)</f>
        <v>48</v>
      </c>
      <c r="M93" s="32">
        <f>ROUND(_xlfn.IFNA(VLOOKUP(A93,'Weapon Formulas'!$E$10:$Z$300,14,0),weapon_components!M93),2)</f>
        <v>1</v>
      </c>
      <c r="N93" s="5">
        <f>ROUND(_xlfn.IFNA(VLOOKUP(A93,'Weapon Formulas'!$E$10:$W$300,16,0),weapon_components!N93),2)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Formulas'!$E$10:$Q$300,11,0),weapon_components!D94),2)</f>
        <v>22.69</v>
      </c>
      <c r="E94" s="5">
        <f>ROUND(_xlfn.IFNA(VLOOKUP(A94,'Weapon Formulas'!$E$10:$Q$300,12,0),weapon_components!E94),2)</f>
        <v>37.81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>ROUND(_xlfn.IFNA(VLOOKUP(A94,'Weapon Formulas'!$E$10:$L$300,7,0),weapon_components!H94),2)</f>
        <v>-7.64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Formulas'!$E$10:$Z$300,15,0),weapon_components!L94),1)</f>
        <v>60</v>
      </c>
      <c r="M94" s="32">
        <f>ROUND(_xlfn.IFNA(VLOOKUP(A94,'Weapon Formulas'!$E$10:$Z$300,14,0),weapon_components!M94),2)</f>
        <v>1</v>
      </c>
      <c r="N94" s="5">
        <f>ROUND(_xlfn.IFNA(VLOOKUP(A94,'Weapon Formulas'!$E$10:$W$300,16,0),weapon_components!N94),2)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Formulas'!$E$10:$Q$300,11,0),weapon_components!D95),2)</f>
        <v>49.5</v>
      </c>
      <c r="E95" s="5">
        <f>ROUND(_xlfn.IFNA(VLOOKUP(A95,'Weapon Formulas'!$E$10:$Q$300,12,0),weapon_components!E95),2)</f>
        <v>82.5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>ROUND(_xlfn.IFNA(VLOOKUP(A95,'Weapon Formulas'!$E$10:$L$300,7,0),weapon_components!H95),2)</f>
        <v>-10.67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Formulas'!$E$10:$Z$300,15,0),weapon_components!L95),1)</f>
        <v>72</v>
      </c>
      <c r="M95" s="32">
        <f>ROUND(_xlfn.IFNA(VLOOKUP(A95,'Weapon Formulas'!$E$10:$Z$300,14,0),weapon_components!M95),2)</f>
        <v>1</v>
      </c>
      <c r="N95" s="5">
        <f>ROUND(_xlfn.IFNA(VLOOKUP(A95,'Weapon Formulas'!$E$10:$W$300,16,0),weapon_components!N95),2)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Formulas'!$E$10:$Q$300,11,0),weapon_components!D96),2)</f>
        <v>22.69</v>
      </c>
      <c r="E96" s="5">
        <f>ROUND(_xlfn.IFNA(VLOOKUP(A96,'Weapon Formulas'!$E$10:$Q$300,12,0),weapon_components!E96),2)</f>
        <v>37.81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>ROUND(_xlfn.IFNA(VLOOKUP(A96,'Weapon Formulas'!$E$10:$L$300,7,0),weapon_components!H96),2)</f>
        <v>-0.92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Formulas'!$E$10:$Z$300,15,0),weapon_components!L96),1)</f>
        <v>53.8</v>
      </c>
      <c r="M96" s="32">
        <f>ROUND(_xlfn.IFNA(VLOOKUP(A96,'Weapon Formulas'!$E$10:$Z$300,14,0),weapon_components!M96),2)</f>
        <v>1</v>
      </c>
      <c r="N96" s="5">
        <f>ROUND(_xlfn.IFNA(VLOOKUP(A96,'Weapon Formulas'!$E$10:$W$300,16,0),weapon_components!N96),2)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Formulas'!$E$10:$Q$300,11,0),weapon_components!D97),2)</f>
        <v>49.5</v>
      </c>
      <c r="E97" s="5">
        <f>ROUND(_xlfn.IFNA(VLOOKUP(A97,'Weapon Formulas'!$E$10:$Q$300,12,0),weapon_components!E97),2)</f>
        <v>82.5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>ROUND(_xlfn.IFNA(VLOOKUP(A97,'Weapon Formulas'!$E$10:$L$300,7,0),weapon_components!H97),2)</f>
        <v>-1.59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Formulas'!$E$10:$Z$300,15,0),weapon_components!L97),1)</f>
        <v>67.2</v>
      </c>
      <c r="M97" s="32">
        <f>ROUND(_xlfn.IFNA(VLOOKUP(A97,'Weapon Formulas'!$E$10:$Z$300,14,0),weapon_components!M97),2)</f>
        <v>1</v>
      </c>
      <c r="N97" s="5">
        <f>ROUND(_xlfn.IFNA(VLOOKUP(A97,'Weapon Formulas'!$E$10:$W$300,16,0),weapon_components!N97),2)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Formulas'!$E$10:$Q$300,11,0),weapon_components!D98),2)</f>
        <v>107.25</v>
      </c>
      <c r="E98" s="5">
        <f>ROUND(_xlfn.IFNA(VLOOKUP(A98,'Weapon Formulas'!$E$10:$Q$300,12,0),weapon_components!E98),2)</f>
        <v>178.75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>ROUND(_xlfn.IFNA(VLOOKUP(A98,'Weapon Formulas'!$E$10:$L$300,7,0),weapon_components!H98),2)</f>
        <v>-2.16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Formulas'!$E$10:$Z$300,15,0),weapon_components!L98),1)</f>
        <v>80.599999999999994</v>
      </c>
      <c r="M98" s="32">
        <f>ROUND(_xlfn.IFNA(VLOOKUP(A98,'Weapon Formulas'!$E$10:$Z$300,14,0),weapon_components!M98),2)</f>
        <v>1</v>
      </c>
      <c r="N98" s="5">
        <f>ROUND(_xlfn.IFNA(VLOOKUP(A98,'Weapon Formulas'!$E$10:$W$300,16,0),weapon_components!N98),2)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Formulas'!$E$10:$Q$300,11,0),weapon_components!D99),2)</f>
        <v>37.130000000000003</v>
      </c>
      <c r="E99" s="5">
        <f>ROUND(_xlfn.IFNA(VLOOKUP(A99,'Weapon Formulas'!$E$10:$Q$300,12,0),weapon_components!E99),2)</f>
        <v>61.88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>ROUND(_xlfn.IFNA(VLOOKUP(A99,'Weapon Formulas'!$E$10:$L$300,7,0),weapon_components!H99),2)</f>
        <v>-0.56000000000000005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Formulas'!$E$10:$Z$300,15,0),weapon_components!L99),1)</f>
        <v>59.5</v>
      </c>
      <c r="M99" s="32">
        <f>ROUND(_xlfn.IFNA(VLOOKUP(A99,'Weapon Formulas'!$E$10:$Z$300,14,0),weapon_components!M99),2)</f>
        <v>1</v>
      </c>
      <c r="N99" s="5">
        <f>ROUND(_xlfn.IFNA(VLOOKUP(A99,'Weapon Formulas'!$E$10:$W$300,16,0),weapon_components!N99),2)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Formulas'!$E$10:$Q$300,11,0),weapon_components!D100),2)</f>
        <v>80.44</v>
      </c>
      <c r="E100" s="5">
        <f>ROUND(_xlfn.IFNA(VLOOKUP(A100,'Weapon Formulas'!$E$10:$Q$300,12,0),weapon_components!E100),2)</f>
        <v>134.06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>ROUND(_xlfn.IFNA(VLOOKUP(A100,'Weapon Formulas'!$E$10:$L$300,7,0),weapon_components!H100),2)</f>
        <v>-0.9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Formulas'!$E$10:$Z$300,15,0),weapon_components!L100),1)</f>
        <v>74.400000000000006</v>
      </c>
      <c r="M100" s="32">
        <f>ROUND(_xlfn.IFNA(VLOOKUP(A100,'Weapon Formulas'!$E$10:$Z$300,14,0),weapon_components!M100),2)</f>
        <v>1</v>
      </c>
      <c r="N100" s="5">
        <f>ROUND(_xlfn.IFNA(VLOOKUP(A100,'Weapon Formulas'!$E$10:$W$300,16,0),weapon_components!N100),2)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Formulas'!$E$10:$Q$300,11,0),weapon_components!D101),2)</f>
        <v>173.25</v>
      </c>
      <c r="E101" s="5">
        <f>ROUND(_xlfn.IFNA(VLOOKUP(A101,'Weapon Formulas'!$E$10:$Q$300,12,0),weapon_components!E101),2)</f>
        <v>288.75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>ROUND(_xlfn.IFNA(VLOOKUP(A101,'Weapon Formulas'!$E$10:$L$300,7,0),weapon_components!H101),2)</f>
        <v>-1.19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Formulas'!$E$10:$Z$300,15,0),weapon_components!L101),1)</f>
        <v>89.3</v>
      </c>
      <c r="M101" s="32">
        <f>ROUND(_xlfn.IFNA(VLOOKUP(A101,'Weapon Formulas'!$E$10:$Z$300,14,0),weapon_components!M101),2)</f>
        <v>1</v>
      </c>
      <c r="N101" s="5">
        <f>ROUND(_xlfn.IFNA(VLOOKUP(A101,'Weapon Formulas'!$E$10:$W$300,16,0),weapon_components!N101),2)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Formulas'!$E$10:$Q$300,11,0),weapon_components!D102),2)</f>
        <v>53.63</v>
      </c>
      <c r="E102" s="5">
        <f>ROUND(_xlfn.IFNA(VLOOKUP(A102,'Weapon Formulas'!$E$10:$Q$300,12,0),weapon_components!E102),2)</f>
        <v>89.38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>ROUND(_xlfn.IFNA(VLOOKUP(A102,'Weapon Formulas'!$E$10:$L$300,7,0),weapon_components!H102),2)</f>
        <v>-0.75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Formulas'!$E$10:$Z$300,15,0),weapon_components!L102),1)</f>
        <v>65.3</v>
      </c>
      <c r="M102" s="32">
        <f>ROUND(_xlfn.IFNA(VLOOKUP(A102,'Weapon Formulas'!$E$10:$Z$300,14,0),weapon_components!M102),2)</f>
        <v>1</v>
      </c>
      <c r="N102" s="5">
        <f>ROUND(_xlfn.IFNA(VLOOKUP(A102,'Weapon Formulas'!$E$10:$W$300,16,0),weapon_components!N102),2)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Formulas'!$E$10:$Q$300,11,0),weapon_components!D103),2)</f>
        <v>115.5</v>
      </c>
      <c r="E103" s="5">
        <f>ROUND(_xlfn.IFNA(VLOOKUP(A103,'Weapon Formulas'!$E$10:$Q$300,12,0),weapon_components!E103),2)</f>
        <v>192.5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>ROUND(_xlfn.IFNA(VLOOKUP(A103,'Weapon Formulas'!$E$10:$L$300,7,0),weapon_components!H103),2)</f>
        <v>-1.02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Formulas'!$E$10:$Z$300,15,0),weapon_components!L103),1)</f>
        <v>81.599999999999994</v>
      </c>
      <c r="M103" s="32">
        <f>ROUND(_xlfn.IFNA(VLOOKUP(A103,'Weapon Formulas'!$E$10:$Z$300,14,0),weapon_components!M103),2)</f>
        <v>1</v>
      </c>
      <c r="N103" s="5">
        <f>ROUND(_xlfn.IFNA(VLOOKUP(A103,'Weapon Formulas'!$E$10:$W$300,16,0),weapon_components!N103),2)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Formulas'!$E$10:$Q$300,11,0),weapon_components!D104),2)</f>
        <v>247.5</v>
      </c>
      <c r="E104" s="5">
        <f>ROUND(_xlfn.IFNA(VLOOKUP(A104,'Weapon Formulas'!$E$10:$Q$300,12,0),weapon_components!E104),2)</f>
        <v>412.5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>ROUND(_xlfn.IFNA(VLOOKUP(A104,'Weapon Formulas'!$E$10:$L$300,7,0),weapon_components!H104),2)</f>
        <v>-1.26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Formulas'!$E$10:$Z$300,15,0),weapon_components!L104),1)</f>
        <v>97.9</v>
      </c>
      <c r="M104" s="32">
        <f>ROUND(_xlfn.IFNA(VLOOKUP(A104,'Weapon Formulas'!$E$10:$Z$300,14,0),weapon_components!M104),2)</f>
        <v>1</v>
      </c>
      <c r="N104" s="5">
        <f>ROUND(_xlfn.IFNA(VLOOKUP(A104,'Weapon Formulas'!$E$10:$W$300,16,0),weapon_components!N104),2)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Formulas'!$E$10:$Q$300,11,0),weapon_components!D105),2)</f>
        <v>72.19</v>
      </c>
      <c r="E105" s="5">
        <f>ROUND(_xlfn.IFNA(VLOOKUP(A105,'Weapon Formulas'!$E$10:$Q$300,12,0),weapon_components!E105),2)</f>
        <v>120.31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>ROUND(_xlfn.IFNA(VLOOKUP(A105,'Weapon Formulas'!$E$10:$L$300,7,0),weapon_components!H105),2)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Formulas'!$E$10:$Z$300,15,0),weapon_components!L105),1)</f>
        <v>71</v>
      </c>
      <c r="M105" s="32">
        <f>ROUND(_xlfn.IFNA(VLOOKUP(A105,'Weapon Formulas'!$E$10:$Z$300,14,0),weapon_components!M105),2)</f>
        <v>1</v>
      </c>
      <c r="N105" s="5">
        <f>ROUND(_xlfn.IFNA(VLOOKUP(A105,'Weapon Formulas'!$E$10:$W$300,16,0),weapon_components!N105),2)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Formulas'!$E$10:$Q$300,11,0),weapon_components!D106),2)</f>
        <v>154.69</v>
      </c>
      <c r="E106" s="5">
        <f>ROUND(_xlfn.IFNA(VLOOKUP(A106,'Weapon Formulas'!$E$10:$Q$300,12,0),weapon_components!E106),2)</f>
        <v>257.81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>ROUND(_xlfn.IFNA(VLOOKUP(A106,'Weapon Formulas'!$E$10:$L$300,7,0),weapon_components!H106),2)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Formulas'!$E$10:$Z$300,15,0),weapon_components!L106),1)</f>
        <v>88.8</v>
      </c>
      <c r="M106" s="32">
        <f>ROUND(_xlfn.IFNA(VLOOKUP(A106,'Weapon Formulas'!$E$10:$Z$300,14,0),weapon_components!M106),2)</f>
        <v>1</v>
      </c>
      <c r="N106" s="5">
        <f>ROUND(_xlfn.IFNA(VLOOKUP(A106,'Weapon Formulas'!$E$10:$W$300,16,0),weapon_components!N106),2)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Formulas'!$E$10:$Q$300,11,0),weapon_components!D107),2)</f>
        <v>330</v>
      </c>
      <c r="E107" s="5">
        <f>ROUND(_xlfn.IFNA(VLOOKUP(A107,'Weapon Formulas'!$E$10:$Q$300,12,0),weapon_components!E107),2)</f>
        <v>550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>ROUND(_xlfn.IFNA(VLOOKUP(A107,'Weapon Formulas'!$E$10:$L$300,7,0),weapon_components!H107),2)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Formulas'!$E$10:$Z$300,15,0),weapon_components!L107),1)</f>
        <v>106.6</v>
      </c>
      <c r="M107" s="32">
        <f>ROUND(_xlfn.IFNA(VLOOKUP(A107,'Weapon Formulas'!$E$10:$Z$300,14,0),weapon_components!M107),2)</f>
        <v>1</v>
      </c>
      <c r="N107" s="5">
        <f>ROUND(_xlfn.IFNA(VLOOKUP(A107,'Weapon Formulas'!$E$10:$W$300,16,0),weapon_components!N107),2)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ROUND(_xlfn.IFNA(VLOOKUP(A109,'Weapon Formulas'!$E$10:$L$300,7,0),weapon_components!H109),2)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ROUND(_xlfn.IFNA(VLOOKUP(A110,'Weapon Formulas'!$E$10:$L$300,7,0),weapon_components!H110),2)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ROUND(_xlfn.IFNA(VLOOKUP(A111,'Weapon Formulas'!$E$10:$L$300,7,0),weapon_components!H111),2)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Formulas'!$E$10:$Q$300,11,0),weapon_components!D113),2)</f>
        <v>56.36</v>
      </c>
      <c r="E113" s="5">
        <f>ROUND(_xlfn.IFNA(VLOOKUP(A113,'Weapon Formulas'!$E$10:$Q$300,12,0),weapon_components!E113),2)</f>
        <v>93.94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0.76</v>
      </c>
      <c r="H113" s="5">
        <f>ROUND(_xlfn.IFNA(VLOOKUP(A113,'Weapon Formulas'!$E$10:$L$300,7,0),weapon_components!H113),2)</f>
        <v>0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Formulas'!$E$10:$Z$300,15,0),weapon_components!L113),1)</f>
        <v>59.5</v>
      </c>
      <c r="M113" s="32">
        <f>ROUND(_xlfn.IFNA(VLOOKUP(A113,'Weapon Formulas'!$E$10:$Z$300,14,0),weapon_components!M113),2)</f>
        <v>1</v>
      </c>
      <c r="N113" s="5">
        <f>ROUND(_xlfn.IFNA(VLOOKUP(A113,'Weapon Formulas'!$E$10:$W$300,16,0),weapon_components!N113),2)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Formulas'!$E$10:$Q$300,11,0),weapon_components!D114),2)</f>
        <v>122.12</v>
      </c>
      <c r="E114" s="5">
        <f>ROUND(_xlfn.IFNA(VLOOKUP(A114,'Weapon Formulas'!$E$10:$Q$300,12,0),weapon_components!E114),2)</f>
        <v>203.53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0.74</v>
      </c>
      <c r="H114" s="5">
        <f>ROUND(_xlfn.IFNA(VLOOKUP(A114,'Weapon Formulas'!$E$10:$L$300,7,0),weapon_components!H114),2)</f>
        <v>-0.38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Formulas'!$E$10:$Z$300,15,0),weapon_components!L114),1)</f>
        <v>74.400000000000006</v>
      </c>
      <c r="M114" s="32">
        <f>ROUND(_xlfn.IFNA(VLOOKUP(A114,'Weapon Formulas'!$E$10:$Z$300,14,0),weapon_components!M114),2)</f>
        <v>1</v>
      </c>
      <c r="N114" s="5">
        <f>ROUND(_xlfn.IFNA(VLOOKUP(A114,'Weapon Formulas'!$E$10:$W$300,16,0),weapon_components!N114),2)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Formulas'!$E$10:$Q$300,11,0),weapon_components!D115),2)</f>
        <v>263.02999999999997</v>
      </c>
      <c r="E115" s="5">
        <f>ROUND(_xlfn.IFNA(VLOOKUP(A115,'Weapon Formulas'!$E$10:$Q$300,12,0),weapon_components!E115),2)</f>
        <v>438.38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0.72</v>
      </c>
      <c r="H115" s="5">
        <f>ROUND(_xlfn.IFNA(VLOOKUP(A115,'Weapon Formulas'!$E$10:$L$300,7,0),weapon_components!H115),2)</f>
        <v>-0.71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Formulas'!$E$10:$Z$300,15,0),weapon_components!L115),1)</f>
        <v>89.3</v>
      </c>
      <c r="M115" s="32">
        <f>ROUND(_xlfn.IFNA(VLOOKUP(A115,'Weapon Formulas'!$E$10:$Z$300,14,0),weapon_components!M115),2)</f>
        <v>1</v>
      </c>
      <c r="N115" s="5">
        <f>ROUND(_xlfn.IFNA(VLOOKUP(A115,'Weapon Formulas'!$E$10:$W$300,16,0),weapon_components!N115),2)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Formulas'!$E$10:$Q$300,11,0),weapon_components!D116),2)</f>
        <v>81.41</v>
      </c>
      <c r="E116" s="5">
        <f>ROUND(_xlfn.IFNA(VLOOKUP(A116,'Weapon Formulas'!$E$10:$Q$300,12,0),weapon_components!E116),2)</f>
        <v>135.69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0.74</v>
      </c>
      <c r="H116" s="5">
        <f>ROUND(_xlfn.IFNA(VLOOKUP(A116,'Weapon Formulas'!$E$10:$L$300,7,0),weapon_components!H116),2)</f>
        <v>-0.28000000000000003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Formulas'!$E$10:$Z$300,15,0),weapon_components!L116),1)</f>
        <v>65.3</v>
      </c>
      <c r="M116" s="32">
        <f>ROUND(_xlfn.IFNA(VLOOKUP(A116,'Weapon Formulas'!$E$10:$Z$300,14,0),weapon_components!M116),2)</f>
        <v>1</v>
      </c>
      <c r="N116" s="5">
        <f>ROUND(_xlfn.IFNA(VLOOKUP(A116,'Weapon Formulas'!$E$10:$W$300,16,0),weapon_components!N116),2)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Formulas'!$E$10:$Q$300,11,0),weapon_components!D117),2)</f>
        <v>175.35</v>
      </c>
      <c r="E117" s="5">
        <f>ROUND(_xlfn.IFNA(VLOOKUP(A117,'Weapon Formulas'!$E$10:$Q$300,12,0),weapon_components!E117),2)</f>
        <v>292.25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0.72</v>
      </c>
      <c r="H117" s="5">
        <f>ROUND(_xlfn.IFNA(VLOOKUP(A117,'Weapon Formulas'!$E$10:$L$300,7,0),weapon_components!H117),2)</f>
        <v>-0.57999999999999996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Formulas'!$E$10:$Z$300,15,0),weapon_components!L117),1)</f>
        <v>81.599999999999994</v>
      </c>
      <c r="M117" s="32">
        <f>ROUND(_xlfn.IFNA(VLOOKUP(A117,'Weapon Formulas'!$E$10:$Z$300,14,0),weapon_components!M117),2)</f>
        <v>1</v>
      </c>
      <c r="N117" s="5">
        <f>ROUND(_xlfn.IFNA(VLOOKUP(A117,'Weapon Formulas'!$E$10:$W$300,16,0),weapon_components!N117),2)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Formulas'!$E$10:$Q$300,11,0),weapon_components!D118),2)</f>
        <v>375.75</v>
      </c>
      <c r="E118" s="5">
        <f>ROUND(_xlfn.IFNA(VLOOKUP(A118,'Weapon Formulas'!$E$10:$Q$300,12,0),weapon_components!E118),2)</f>
        <v>626.25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0.7</v>
      </c>
      <c r="H118" s="5">
        <f>ROUND(_xlfn.IFNA(VLOOKUP(A118,'Weapon Formulas'!$E$10:$L$300,7,0),weapon_components!H118),2)</f>
        <v>-0.85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Formulas'!$E$10:$Z$300,15,0),weapon_components!L118),1)</f>
        <v>97.9</v>
      </c>
      <c r="M118" s="32">
        <f>ROUND(_xlfn.IFNA(VLOOKUP(A118,'Weapon Formulas'!$E$10:$Z$300,14,0),weapon_components!M118),2)</f>
        <v>1</v>
      </c>
      <c r="N118" s="5">
        <f>ROUND(_xlfn.IFNA(VLOOKUP(A118,'Weapon Formulas'!$E$10:$W$300,16,0),weapon_components!N118),2)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Formulas'!$E$10:$Q$300,11,0),weapon_components!D119),2)</f>
        <v>109.59</v>
      </c>
      <c r="E119" s="5">
        <f>ROUND(_xlfn.IFNA(VLOOKUP(A119,'Weapon Formulas'!$E$10:$Q$300,12,0),weapon_components!E119),2)</f>
        <v>182.66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0.72</v>
      </c>
      <c r="H119" s="5">
        <f>ROUND(_xlfn.IFNA(VLOOKUP(A119,'Weapon Formulas'!$E$10:$L$300,7,0),weapon_components!H119),2)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Formulas'!$E$10:$Z$300,15,0),weapon_components!L119),1)</f>
        <v>71</v>
      </c>
      <c r="M119" s="32">
        <f>ROUND(_xlfn.IFNA(VLOOKUP(A119,'Weapon Formulas'!$E$10:$Z$300,14,0),weapon_components!M119),2)</f>
        <v>1</v>
      </c>
      <c r="N119" s="5">
        <f>ROUND(_xlfn.IFNA(VLOOKUP(A119,'Weapon Formulas'!$E$10:$W$300,16,0),weapon_components!N119),2)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Formulas'!$E$10:$Q$300,11,0),weapon_components!D120),2)</f>
        <v>234.84</v>
      </c>
      <c r="E120" s="5">
        <f>ROUND(_xlfn.IFNA(VLOOKUP(A120,'Weapon Formulas'!$E$10:$Q$300,12,0),weapon_components!E120),2)</f>
        <v>391.41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0.7</v>
      </c>
      <c r="H120" s="5">
        <f>ROUND(_xlfn.IFNA(VLOOKUP(A120,'Weapon Formulas'!$E$10:$L$300,7,0),weapon_components!H120),2)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Formulas'!$E$10:$Z$300,15,0),weapon_components!L120),1)</f>
        <v>88.8</v>
      </c>
      <c r="M120" s="32">
        <f>ROUND(_xlfn.IFNA(VLOOKUP(A120,'Weapon Formulas'!$E$10:$Z$300,14,0),weapon_components!M120),2)</f>
        <v>1</v>
      </c>
      <c r="N120" s="5">
        <f>ROUND(_xlfn.IFNA(VLOOKUP(A120,'Weapon Formulas'!$E$10:$W$300,16,0),weapon_components!N120),2)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Formulas'!$E$10:$Q$300,11,0),weapon_components!D121),2)</f>
        <v>501</v>
      </c>
      <c r="E121" s="5">
        <f>ROUND(_xlfn.IFNA(VLOOKUP(A121,'Weapon Formulas'!$E$10:$Q$300,12,0),weapon_components!E121),2)</f>
        <v>835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0.68</v>
      </c>
      <c r="H121" s="5">
        <f>ROUND(_xlfn.IFNA(VLOOKUP(A121,'Weapon Formulas'!$E$10:$L$300,7,0),weapon_components!H121),2)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Formulas'!$E$10:$Z$300,15,0),weapon_components!L121),1)</f>
        <v>106.6</v>
      </c>
      <c r="M121" s="32">
        <f>ROUND(_xlfn.IFNA(VLOOKUP(A121,'Weapon Formulas'!$E$10:$Z$300,14,0),weapon_components!M121),2)</f>
        <v>1</v>
      </c>
      <c r="N121" s="5">
        <f>ROUND(_xlfn.IFNA(VLOOKUP(A121,'Weapon Formulas'!$E$10:$W$300,16,0),weapon_components!N121),2)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Formulas'!$E$10:$Q$300,11,0),weapon_components!D123),2)</f>
        <v>105</v>
      </c>
      <c r="E123" s="5">
        <f>ROUND(_xlfn.IFNA(VLOOKUP(A123,'Weapon Formulas'!$E$10:$Q$300,12,0),weapon_components!E123),2)</f>
        <v>175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>ROUND(_xlfn.IFNA(VLOOKUP(A123,'Weapon Formulas'!$E$10:$L$300,7,0),weapon_components!H123),2)</f>
        <v>-1.02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Formulas'!$E$10:$Z$300,15,0),weapon_components!L123),1)</f>
        <v>81.599999999999994</v>
      </c>
      <c r="M123" s="32">
        <f>ROUND(_xlfn.IFNA(VLOOKUP(A123,'Weapon Formulas'!$E$10:$Z$300,14,0),weapon_components!M123),2)</f>
        <v>1</v>
      </c>
      <c r="N123" s="5">
        <f>ROUND(_xlfn.IFNA(VLOOKUP(A123,'Weapon Formulas'!$E$10:$W$300,16,0),weapon_components!N123),2)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Formulas'!$E$10:$Q$300,11,0),weapon_components!D124),2)</f>
        <v>140.63</v>
      </c>
      <c r="E124" s="5">
        <f>ROUND(_xlfn.IFNA(VLOOKUP(A124,'Weapon Formulas'!$E$10:$Q$300,12,0),weapon_components!E124),2)</f>
        <v>234.38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>ROUND(_xlfn.IFNA(VLOOKUP(A124,'Weapon Formulas'!$E$10:$L$300,7,0),weapon_components!H124),2)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Formulas'!$E$10:$Z$300,15,0),weapon_components!L124),1)</f>
        <v>88.8</v>
      </c>
      <c r="M124" s="32">
        <f>ROUND(_xlfn.IFNA(VLOOKUP(A124,'Weapon Formulas'!$E$10:$Z$300,14,0),weapon_components!M124),2)</f>
        <v>1</v>
      </c>
      <c r="N124" s="5">
        <f>ROUND(_xlfn.IFNA(VLOOKUP(A124,'Weapon Formulas'!$E$10:$W$300,16,0),weapon_components!N124),2)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Formulas'!$E$10:$Q$300,11,0),weapon_components!D126),2)</f>
        <v>8.77</v>
      </c>
      <c r="E126" s="5">
        <f>ROUND(_xlfn.IFNA(VLOOKUP(A126,'Weapon Formulas'!$E$10:$Q$300,12,0),weapon_components!E126),2)</f>
        <v>14.62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0.2</v>
      </c>
      <c r="H126" s="5">
        <f>ROUND(_xlfn.IFNA(VLOOKUP(A126,'Weapon Formulas'!$E$10:$L$300,7,0),weapon_components!H126),2)</f>
        <v>-5.4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Formulas'!$E$10:$Z$300,15,0),weapon_components!L126),1)</f>
        <v>36</v>
      </c>
      <c r="M126" s="32">
        <f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Formulas'!$E$10:$Q$300,11,0),weapon_components!D127),2)</f>
        <v>19.29</v>
      </c>
      <c r="E127" s="5">
        <f>ROUND(_xlfn.IFNA(VLOOKUP(A127,'Weapon Formulas'!$E$10:$Q$300,12,0),weapon_components!E127),2)</f>
        <v>32.159999999999997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0.18</v>
      </c>
      <c r="H127" s="5">
        <f>ROUND(_xlfn.IFNA(VLOOKUP(A127,'Weapon Formulas'!$E$10:$L$300,7,0),weapon_components!H127),2)</f>
        <v>-8.7799999999999994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Formulas'!$E$10:$Z$300,15,0),weapon_components!L127),1)</f>
        <v>45</v>
      </c>
      <c r="M127" s="32">
        <f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Formulas'!$E$10:$Q$300,11,0),weapon_components!D129),2)</f>
        <v>30.21</v>
      </c>
      <c r="E129" s="5">
        <f>ROUND(_xlfn.IFNA(VLOOKUP(A129,'Weapon Formulas'!$E$10:$Q$300,12,0),weapon_components!E129),2)</f>
        <v>50.35</v>
      </c>
      <c r="F129" s="5">
        <f>ROUND(_xlfn.IFNA(VLOOKUP(A129,'Weapon Formulas'!$E$10:$L$300,8,0),weapon_components!F129),2)</f>
        <v>0.02</v>
      </c>
      <c r="G129" s="5">
        <f>ROUND(_xlfn.IFNA(VLOOKUP(A129,'Weapon Formulas'!$E$10:$P$300,9,0),weapon_components!G129),2)</f>
        <v>0</v>
      </c>
      <c r="H129" s="5">
        <f>ROUND(_xlfn.IFNA(VLOOKUP(A129,'Weapon Formulas'!$E$10:$L$300,7,0),weapon_components!H129),2)</f>
        <v>1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Formulas'!$E$10:$Z$300,15,0),weapon_components!L129),1)</f>
        <v>36</v>
      </c>
      <c r="M129" s="32">
        <f>ROUND(_xlfn.IFNA(VLOOKUP(A129,'Weapon Formulas'!$E$10:$Z$300,14,0),weapon_components!M129),2)</f>
        <v>0.27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Formulas'!$E$10:$Q$300,11,0),weapon_components!D130),2)</f>
        <v>65.25</v>
      </c>
      <c r="E130" s="5">
        <f>ROUND(_xlfn.IFNA(VLOOKUP(A130,'Weapon Formulas'!$E$10:$Q$300,12,0),weapon_components!E130),2)</f>
        <v>108.75</v>
      </c>
      <c r="F130" s="5">
        <f>ROUND(_xlfn.IFNA(VLOOKUP(A130,'Weapon Formulas'!$E$10:$L$300,8,0),weapon_components!F130),2)</f>
        <v>0.02</v>
      </c>
      <c r="G130" s="5">
        <f>ROUND(_xlfn.IFNA(VLOOKUP(A130,'Weapon Formulas'!$E$10:$P$300,9,0),weapon_components!G130),2)</f>
        <v>0</v>
      </c>
      <c r="H130" s="5">
        <f>ROUND(_xlfn.IFNA(VLOOKUP(A130,'Weapon Formulas'!$E$10:$L$300,7,0),weapon_components!H130),2)</f>
        <v>3.5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Formulas'!$E$10:$Z$300,15,0),weapon_components!L130),1)</f>
        <v>45</v>
      </c>
      <c r="M130" s="32">
        <f>ROUND(_xlfn.IFNA(VLOOKUP(A130,'Weapon Formulas'!$E$10:$Z$300,14,0),weapon_components!M130),2)</f>
        <v>0.25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Formulas'!$E$10:$Q$300,11,0),weapon_components!D131),2)</f>
        <v>141.85</v>
      </c>
      <c r="E131" s="5">
        <f>ROUND(_xlfn.IFNA(VLOOKUP(A131,'Weapon Formulas'!$E$10:$Q$300,12,0),weapon_components!E131),2)</f>
        <v>236.41</v>
      </c>
      <c r="F131" s="5">
        <f>ROUND(_xlfn.IFNA(VLOOKUP(A131,'Weapon Formulas'!$E$10:$L$300,8,0),weapon_components!F131),2)</f>
        <v>0.02</v>
      </c>
      <c r="G131" s="5">
        <f>ROUND(_xlfn.IFNA(VLOOKUP(A131,'Weapon Formulas'!$E$10:$P$300,9,0),weapon_components!G131),2)</f>
        <v>0</v>
      </c>
      <c r="H131" s="5">
        <f>ROUND(_xlfn.IFNA(VLOOKUP(A131,'Weapon Formulas'!$E$10:$L$300,7,0),weapon_components!H131),2)</f>
        <v>6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Formulas'!$E$10:$Z$300,15,0),weapon_components!L131),1)</f>
        <v>54</v>
      </c>
      <c r="M131" s="32">
        <f>ROUND(_xlfn.IFNA(VLOOKUP(A131,'Weapon Formulas'!$E$10:$Z$300,14,0),weapon_components!M131),2)</f>
        <v>0.23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Formulas'!$E$10:$Q$300,11,0),weapon_components!D132),2)</f>
        <v>30.21</v>
      </c>
      <c r="E132" s="5">
        <f>ROUND(_xlfn.IFNA(VLOOKUP(A132,'Weapon Formulas'!$E$10:$Q$300,12,0),weapon_components!E132),2)</f>
        <v>50.35</v>
      </c>
      <c r="F132" s="5">
        <f>ROUND(_xlfn.IFNA(VLOOKUP(A132,'Weapon Formulas'!$E$10:$L$300,8,0),weapon_components!F132),2)</f>
        <v>0.02</v>
      </c>
      <c r="G132" s="5">
        <f>ROUND(_xlfn.IFNA(VLOOKUP(A132,'Weapon Formulas'!$E$10:$P$300,9,0),weapon_components!G132),2)</f>
        <v>0</v>
      </c>
      <c r="H132" s="5">
        <f>ROUND(_xlfn.IFNA(VLOOKUP(A132,'Weapon Formulas'!$E$10:$L$300,7,0),weapon_components!H132),2)</f>
        <v>1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Formulas'!$E$10:$Z$300,15,0),weapon_components!L132),1)</f>
        <v>36</v>
      </c>
      <c r="M132" s="32">
        <f>ROUND(_xlfn.IFNA(VLOOKUP(A132,'Weapon Formulas'!$E$10:$Z$300,14,0),weapon_components!M132),2)</f>
        <v>0.27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Formulas'!$E$10:$Q$300,11,0),weapon_components!D133),2)</f>
        <v>65.25</v>
      </c>
      <c r="E133" s="5">
        <f>ROUND(_xlfn.IFNA(VLOOKUP(A133,'Weapon Formulas'!$E$10:$Q$300,12,0),weapon_components!E133),2)</f>
        <v>108.75</v>
      </c>
      <c r="F133" s="5">
        <f>ROUND(_xlfn.IFNA(VLOOKUP(A133,'Weapon Formulas'!$E$10:$L$300,8,0),weapon_components!F133),2)</f>
        <v>0.02</v>
      </c>
      <c r="G133" s="5">
        <f>ROUND(_xlfn.IFNA(VLOOKUP(A133,'Weapon Formulas'!$E$10:$P$300,9,0),weapon_components!G133),2)</f>
        <v>0</v>
      </c>
      <c r="H133" s="5">
        <f>ROUND(_xlfn.IFNA(VLOOKUP(A133,'Weapon Formulas'!$E$10:$L$300,7,0),weapon_components!H133),2)</f>
        <v>3.5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Formulas'!$E$10:$Z$300,15,0),weapon_components!L133),1)</f>
        <v>45</v>
      </c>
      <c r="M133" s="32">
        <f>ROUND(_xlfn.IFNA(VLOOKUP(A133,'Weapon Formulas'!$E$10:$Z$300,14,0),weapon_components!M133),2)</f>
        <v>0.25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Formulas'!$E$10:$Q$300,11,0),weapon_components!D134),2)</f>
        <v>141.85</v>
      </c>
      <c r="E134" s="5">
        <f>ROUND(_xlfn.IFNA(VLOOKUP(A134,'Weapon Formulas'!$E$10:$Q$300,12,0),weapon_components!E134),2)</f>
        <v>236.41</v>
      </c>
      <c r="F134" s="5">
        <f>ROUND(_xlfn.IFNA(VLOOKUP(A134,'Weapon Formulas'!$E$10:$L$300,8,0),weapon_components!F134),2)</f>
        <v>0.02</v>
      </c>
      <c r="G134" s="5">
        <f>ROUND(_xlfn.IFNA(VLOOKUP(A134,'Weapon Formulas'!$E$10:$P$300,9,0),weapon_components!G134),2)</f>
        <v>0</v>
      </c>
      <c r="H134" s="5">
        <f>ROUND(_xlfn.IFNA(VLOOKUP(A134,'Weapon Formulas'!$E$10:$L$300,7,0),weapon_components!H134),2)</f>
        <v>6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Formulas'!$E$10:$Z$300,15,0),weapon_components!L134),1)</f>
        <v>54</v>
      </c>
      <c r="M134" s="32">
        <f>ROUND(_xlfn.IFNA(VLOOKUP(A134,'Weapon Formulas'!$E$10:$Z$300,14,0),weapon_components!M134),2)</f>
        <v>0.23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Formulas'!$E$10:$Q$300,11,0),weapon_components!D135),2)</f>
        <v>30.21</v>
      </c>
      <c r="E135" s="5">
        <f>ROUND(_xlfn.IFNA(VLOOKUP(A135,'Weapon Formulas'!$E$10:$Q$300,12,0),weapon_components!E135),2)</f>
        <v>50.35</v>
      </c>
      <c r="F135" s="5">
        <f>ROUND(_xlfn.IFNA(VLOOKUP(A135,'Weapon Formulas'!$E$10:$L$300,8,0),weapon_components!F135),2)</f>
        <v>0.02</v>
      </c>
      <c r="G135" s="5">
        <f>ROUND(_xlfn.IFNA(VLOOKUP(A135,'Weapon Formulas'!$E$10:$P$300,9,0),weapon_components!G135),2)</f>
        <v>0</v>
      </c>
      <c r="H135" s="5">
        <f>ROUND(_xlfn.IFNA(VLOOKUP(A135,'Weapon Formulas'!$E$10:$L$300,7,0),weapon_components!H135),2)</f>
        <v>1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Formulas'!$E$10:$Z$300,15,0),weapon_components!L135),1)</f>
        <v>36</v>
      </c>
      <c r="M135" s="32">
        <f>ROUND(_xlfn.IFNA(VLOOKUP(A135,'Weapon Formulas'!$E$10:$Z$300,14,0),weapon_components!M135),2)</f>
        <v>0.27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Formulas'!$E$10:$Q$300,11,0),weapon_components!D136),2)</f>
        <v>65.25</v>
      </c>
      <c r="E136" s="5">
        <f>ROUND(_xlfn.IFNA(VLOOKUP(A136,'Weapon Formulas'!$E$10:$Q$300,12,0),weapon_components!E136),2)</f>
        <v>108.75</v>
      </c>
      <c r="F136" s="5">
        <f>ROUND(_xlfn.IFNA(VLOOKUP(A136,'Weapon Formulas'!$E$10:$L$300,8,0),weapon_components!F136),2)</f>
        <v>0.02</v>
      </c>
      <c r="G136" s="5">
        <f>ROUND(_xlfn.IFNA(VLOOKUP(A136,'Weapon Formulas'!$E$10:$P$300,9,0),weapon_components!G136),2)</f>
        <v>0</v>
      </c>
      <c r="H136" s="5">
        <f>ROUND(_xlfn.IFNA(VLOOKUP(A136,'Weapon Formulas'!$E$10:$L$300,7,0),weapon_components!H136),2)</f>
        <v>3.5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Formulas'!$E$10:$Z$300,15,0),weapon_components!L136),1)</f>
        <v>45</v>
      </c>
      <c r="M136" s="32">
        <f>ROUND(_xlfn.IFNA(VLOOKUP(A136,'Weapon Formulas'!$E$10:$Z$300,14,0),weapon_components!M136),2)</f>
        <v>0.25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Formulas'!$E$10:$Q$300,11,0),weapon_components!D137),2)</f>
        <v>141.85</v>
      </c>
      <c r="E137" s="5">
        <f>ROUND(_xlfn.IFNA(VLOOKUP(A137,'Weapon Formulas'!$E$10:$Q$300,12,0),weapon_components!E137),2)</f>
        <v>236.41</v>
      </c>
      <c r="F137" s="5">
        <f>ROUND(_xlfn.IFNA(VLOOKUP(A137,'Weapon Formulas'!$E$10:$L$300,8,0),weapon_components!F137),2)</f>
        <v>0.02</v>
      </c>
      <c r="G137" s="5">
        <f>ROUND(_xlfn.IFNA(VLOOKUP(A137,'Weapon Formulas'!$E$10:$P$300,9,0),weapon_components!G137),2)</f>
        <v>0</v>
      </c>
      <c r="H137" s="5">
        <f>ROUND(_xlfn.IFNA(VLOOKUP(A137,'Weapon Formulas'!$E$10:$L$300,7,0),weapon_components!H137),2)</f>
        <v>6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Formulas'!$E$10:$Z$300,15,0),weapon_components!L137),1)</f>
        <v>54</v>
      </c>
      <c r="M137" s="32">
        <f>ROUND(_xlfn.IFNA(VLOOKUP(A137,'Weapon Formulas'!$E$10:$Z$300,14,0),weapon_components!M137),2)</f>
        <v>0.23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Formulas'!$E$10:$Q$300,11,0),weapon_components!D138),2)</f>
        <v>30.21</v>
      </c>
      <c r="E138" s="5">
        <f>ROUND(_xlfn.IFNA(VLOOKUP(A138,'Weapon Formulas'!$E$10:$Q$300,12,0),weapon_components!E138),2)</f>
        <v>50.35</v>
      </c>
      <c r="F138" s="5">
        <f>ROUND(_xlfn.IFNA(VLOOKUP(A138,'Weapon Formulas'!$E$10:$L$300,8,0),weapon_components!F138),2)</f>
        <v>0.02</v>
      </c>
      <c r="G138" s="5">
        <f>ROUND(_xlfn.IFNA(VLOOKUP(A138,'Weapon Formulas'!$E$10:$P$300,9,0),weapon_components!G138),2)</f>
        <v>0</v>
      </c>
      <c r="H138" s="5">
        <f>ROUND(_xlfn.IFNA(VLOOKUP(A138,'Weapon Formulas'!$E$10:$L$300,7,0),weapon_components!H138),2)</f>
        <v>1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Formulas'!$E$10:$Z$300,15,0),weapon_components!L138),1)</f>
        <v>36</v>
      </c>
      <c r="M138" s="32">
        <f>ROUND(_xlfn.IFNA(VLOOKUP(A138,'Weapon Formulas'!$E$10:$Z$300,14,0),weapon_components!M138),2)</f>
        <v>0.27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Formulas'!$E$10:$Q$300,11,0),weapon_components!D139),2)</f>
        <v>65.25</v>
      </c>
      <c r="E139" s="5">
        <f>ROUND(_xlfn.IFNA(VLOOKUP(A139,'Weapon Formulas'!$E$10:$Q$300,12,0),weapon_components!E139),2)</f>
        <v>108.75</v>
      </c>
      <c r="F139" s="5">
        <f>ROUND(_xlfn.IFNA(VLOOKUP(A139,'Weapon Formulas'!$E$10:$L$300,8,0),weapon_components!F139),2)</f>
        <v>0.02</v>
      </c>
      <c r="G139" s="5">
        <f>ROUND(_xlfn.IFNA(VLOOKUP(A139,'Weapon Formulas'!$E$10:$P$300,9,0),weapon_components!G139),2)</f>
        <v>0</v>
      </c>
      <c r="H139" s="5">
        <f>ROUND(_xlfn.IFNA(VLOOKUP(A139,'Weapon Formulas'!$E$10:$L$300,7,0),weapon_components!H139),2)</f>
        <v>3.5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Formulas'!$E$10:$Z$300,15,0),weapon_components!L139),1)</f>
        <v>45</v>
      </c>
      <c r="M139" s="32">
        <f>ROUND(_xlfn.IFNA(VLOOKUP(A139,'Weapon Formulas'!$E$10:$Z$300,14,0),weapon_components!M139),2)</f>
        <v>0.25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Formulas'!$E$10:$Q$300,11,0),weapon_components!D140),2)</f>
        <v>141.85</v>
      </c>
      <c r="E140" s="5">
        <f>ROUND(_xlfn.IFNA(VLOOKUP(A140,'Weapon Formulas'!$E$10:$Q$300,12,0),weapon_components!E140),2)</f>
        <v>236.41</v>
      </c>
      <c r="F140" s="5">
        <f>ROUND(_xlfn.IFNA(VLOOKUP(A140,'Weapon Formulas'!$E$10:$L$300,8,0),weapon_components!F140),2)</f>
        <v>0.02</v>
      </c>
      <c r="G140" s="5">
        <f>ROUND(_xlfn.IFNA(VLOOKUP(A140,'Weapon Formulas'!$E$10:$P$300,9,0),weapon_components!G140),2)</f>
        <v>0</v>
      </c>
      <c r="H140" s="5">
        <f>ROUND(_xlfn.IFNA(VLOOKUP(A140,'Weapon Formulas'!$E$10:$L$300,7,0),weapon_components!H140),2)</f>
        <v>6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Formulas'!$E$10:$Z$300,15,0),weapon_components!L140),1)</f>
        <v>54</v>
      </c>
      <c r="M140" s="32">
        <f>ROUND(_xlfn.IFNA(VLOOKUP(A140,'Weapon Formulas'!$E$10:$Z$300,14,0),weapon_components!M140),2)</f>
        <v>0.23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Formulas'!$E$10:$Q$300,11,0),weapon_components!D141),2)</f>
        <v>50.98</v>
      </c>
      <c r="E141" s="5">
        <f>ROUND(_xlfn.IFNA(VLOOKUP(A141,'Weapon Formulas'!$E$10:$Q$300,12,0),weapon_components!E141),2)</f>
        <v>84.96</v>
      </c>
      <c r="F141" s="5">
        <f>ROUND(_xlfn.IFNA(VLOOKUP(A141,'Weapon Formulas'!$E$10:$L$300,8,0),weapon_components!F141),2)</f>
        <v>0.09</v>
      </c>
      <c r="G141" s="5">
        <f>ROUND(_xlfn.IFNA(VLOOKUP(A141,'Weapon Formulas'!$E$10:$P$300,9,0),weapon_components!G141),2)</f>
        <v>0</v>
      </c>
      <c r="H141" s="5">
        <f>ROUND(_xlfn.IFNA(VLOOKUP(A141,'Weapon Formulas'!$E$10:$L$300,7,0),weapon_components!H141),2)</f>
        <v>1.56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Formulas'!$E$10:$Z$300,15,0),weapon_components!L141),1)</f>
        <v>40.299999999999997</v>
      </c>
      <c r="M141" s="32">
        <f>ROUND(_xlfn.IFNA(VLOOKUP(A141,'Weapon Formulas'!$E$10:$Z$300,14,0),weapon_components!M141),2)</f>
        <v>0.32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Formulas'!$E$10:$Q$300,11,0),weapon_components!D142),2)</f>
        <v>108.75</v>
      </c>
      <c r="E142" s="5">
        <f>ROUND(_xlfn.IFNA(VLOOKUP(A142,'Weapon Formulas'!$E$10:$Q$300,12,0),weapon_components!E142),2)</f>
        <v>181.25</v>
      </c>
      <c r="F142" s="5">
        <f>ROUND(_xlfn.IFNA(VLOOKUP(A142,'Weapon Formulas'!$E$10:$L$300,8,0),weapon_components!F142),2)</f>
        <v>0.09</v>
      </c>
      <c r="G142" s="5">
        <f>ROUND(_xlfn.IFNA(VLOOKUP(A142,'Weapon Formulas'!$E$10:$P$300,9,0),weapon_components!G142),2)</f>
        <v>0</v>
      </c>
      <c r="H142" s="5">
        <f>ROUND(_xlfn.IFNA(VLOOKUP(A142,'Weapon Formulas'!$E$10:$L$300,7,0),weapon_components!H142),2)</f>
        <v>2.11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Formulas'!$E$10:$Z$300,15,0),weapon_components!L142),1)</f>
        <v>50.4</v>
      </c>
      <c r="M142" s="32">
        <f>ROUND(_xlfn.IFNA(VLOOKUP(A142,'Weapon Formulas'!$E$10:$Z$300,14,0),weapon_components!M142),2)</f>
        <v>0.3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Formulas'!$E$10:$Q$300,11,0),weapon_components!D143),2)</f>
        <v>233.04</v>
      </c>
      <c r="E143" s="5">
        <f>ROUND(_xlfn.IFNA(VLOOKUP(A143,'Weapon Formulas'!$E$10:$Q$300,12,0),weapon_components!E143),2)</f>
        <v>388.39</v>
      </c>
      <c r="F143" s="5">
        <f>ROUND(_xlfn.IFNA(VLOOKUP(A143,'Weapon Formulas'!$E$10:$L$300,8,0),weapon_components!F143),2)</f>
        <v>0.09</v>
      </c>
      <c r="G143" s="5">
        <f>ROUND(_xlfn.IFNA(VLOOKUP(A143,'Weapon Formulas'!$E$10:$P$300,9,0),weapon_components!G143),2)</f>
        <v>0</v>
      </c>
      <c r="H143" s="5">
        <f>ROUND(_xlfn.IFNA(VLOOKUP(A143,'Weapon Formulas'!$E$10:$L$300,7,0),weapon_components!H143),2)</f>
        <v>2.67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Formulas'!$E$10:$Z$300,15,0),weapon_components!L143),1)</f>
        <v>60.5</v>
      </c>
      <c r="M143" s="32">
        <f>ROUND(_xlfn.IFNA(VLOOKUP(A143,'Weapon Formulas'!$E$10:$Z$300,14,0),weapon_components!M143),2)</f>
        <v>0.28000000000000003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Formulas'!$E$10:$Q$300,11,0),weapon_components!D144),2)</f>
        <v>50.98</v>
      </c>
      <c r="E144" s="5">
        <f>ROUND(_xlfn.IFNA(VLOOKUP(A144,'Weapon Formulas'!$E$10:$Q$300,12,0),weapon_components!E144),2)</f>
        <v>84.96</v>
      </c>
      <c r="F144" s="5">
        <f>ROUND(_xlfn.IFNA(VLOOKUP(A144,'Weapon Formulas'!$E$10:$L$300,8,0),weapon_components!F144),2)</f>
        <v>0.09</v>
      </c>
      <c r="G144" s="5">
        <f>ROUND(_xlfn.IFNA(VLOOKUP(A144,'Weapon Formulas'!$E$10:$P$300,9,0),weapon_components!G144),2)</f>
        <v>0</v>
      </c>
      <c r="H144" s="5">
        <f>ROUND(_xlfn.IFNA(VLOOKUP(A144,'Weapon Formulas'!$E$10:$L$300,7,0),weapon_components!H144),2)</f>
        <v>1.56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Formulas'!$E$10:$Z$300,15,0),weapon_components!L144),1)</f>
        <v>40.299999999999997</v>
      </c>
      <c r="M144" s="32">
        <f>ROUND(_xlfn.IFNA(VLOOKUP(A144,'Weapon Formulas'!$E$10:$Z$300,14,0),weapon_components!M144),2)</f>
        <v>0.32</v>
      </c>
      <c r="N144" s="5">
        <f>ROUND(_xlfn.IFNA(VLOOKUP(A144,'Weapon Formulas'!$E$10:$W$300,16,0),weapon_components!N144),2)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Formulas'!$E$10:$Q$300,11,0),weapon_components!D145),2)</f>
        <v>108.75</v>
      </c>
      <c r="E145" s="5">
        <f>ROUND(_xlfn.IFNA(VLOOKUP(A145,'Weapon Formulas'!$E$10:$Q$300,12,0),weapon_components!E145),2)</f>
        <v>181.25</v>
      </c>
      <c r="F145" s="5">
        <f>ROUND(_xlfn.IFNA(VLOOKUP(A145,'Weapon Formulas'!$E$10:$L$300,8,0),weapon_components!F145),2)</f>
        <v>0.09</v>
      </c>
      <c r="G145" s="5">
        <f>ROUND(_xlfn.IFNA(VLOOKUP(A145,'Weapon Formulas'!$E$10:$P$300,9,0),weapon_components!G145),2)</f>
        <v>0</v>
      </c>
      <c r="H145" s="5">
        <f>ROUND(_xlfn.IFNA(VLOOKUP(A145,'Weapon Formulas'!$E$10:$L$300,7,0),weapon_components!H145),2)</f>
        <v>2.11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Formulas'!$E$10:$Z$300,15,0),weapon_components!L145),1)</f>
        <v>50.4</v>
      </c>
      <c r="M145" s="32">
        <f>ROUND(_xlfn.IFNA(VLOOKUP(A145,'Weapon Formulas'!$E$10:$Z$300,14,0),weapon_components!M145),2)</f>
        <v>0.3</v>
      </c>
      <c r="N145" s="5">
        <f>ROUND(_xlfn.IFNA(VLOOKUP(A145,'Weapon Formulas'!$E$10:$W$300,16,0),weapon_components!N145),2)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Formulas'!$E$10:$Q$300,11,0),weapon_components!D146),2)</f>
        <v>233.04</v>
      </c>
      <c r="E146" s="5">
        <f>ROUND(_xlfn.IFNA(VLOOKUP(A146,'Weapon Formulas'!$E$10:$Q$300,12,0),weapon_components!E146),2)</f>
        <v>388.39</v>
      </c>
      <c r="F146" s="5">
        <f>ROUND(_xlfn.IFNA(VLOOKUP(A146,'Weapon Formulas'!$E$10:$L$300,8,0),weapon_components!F146),2)</f>
        <v>0.09</v>
      </c>
      <c r="G146" s="5">
        <f>ROUND(_xlfn.IFNA(VLOOKUP(A146,'Weapon Formulas'!$E$10:$P$300,9,0),weapon_components!G146),2)</f>
        <v>0</v>
      </c>
      <c r="H146" s="5">
        <f>ROUND(_xlfn.IFNA(VLOOKUP(A146,'Weapon Formulas'!$E$10:$L$300,7,0),weapon_components!H146),2)</f>
        <v>2.67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Formulas'!$E$10:$Z$300,15,0),weapon_components!L146),1)</f>
        <v>60.5</v>
      </c>
      <c r="M146" s="32">
        <f>ROUND(_xlfn.IFNA(VLOOKUP(A146,'Weapon Formulas'!$E$10:$Z$300,14,0),weapon_components!M146),2)</f>
        <v>0.28000000000000003</v>
      </c>
      <c r="N146" s="5">
        <f>ROUND(_xlfn.IFNA(VLOOKUP(A146,'Weapon Formulas'!$E$10:$W$300,16,0),weapon_components!N146),2)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Formulas'!$E$10:$Q$300,11,0),weapon_components!D147),2)</f>
        <v>50.98</v>
      </c>
      <c r="E147" s="5">
        <f>ROUND(_xlfn.IFNA(VLOOKUP(A147,'Weapon Formulas'!$E$10:$Q$300,12,0),weapon_components!E147),2)</f>
        <v>84.96</v>
      </c>
      <c r="F147" s="5">
        <f>ROUND(_xlfn.IFNA(VLOOKUP(A147,'Weapon Formulas'!$E$10:$L$300,8,0),weapon_components!F147),2)</f>
        <v>0.09</v>
      </c>
      <c r="G147" s="5">
        <f>ROUND(_xlfn.IFNA(VLOOKUP(A147,'Weapon Formulas'!$E$10:$P$300,9,0),weapon_components!G147),2)</f>
        <v>0</v>
      </c>
      <c r="H147" s="5">
        <f>ROUND(_xlfn.IFNA(VLOOKUP(A147,'Weapon Formulas'!$E$10:$L$300,7,0),weapon_components!H147),2)</f>
        <v>1.56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Formulas'!$E$10:$Z$300,15,0),weapon_components!L147),1)</f>
        <v>40.299999999999997</v>
      </c>
      <c r="M147" s="32">
        <f>ROUND(_xlfn.IFNA(VLOOKUP(A147,'Weapon Formulas'!$E$10:$Z$300,14,0),weapon_components!M147),2)</f>
        <v>0.32</v>
      </c>
      <c r="N147" s="5">
        <f>ROUND(_xlfn.IFNA(VLOOKUP(A147,'Weapon Formulas'!$E$10:$W$300,16,0),weapon_components!N147),2)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Formulas'!$E$10:$Q$300,11,0),weapon_components!D148),2)</f>
        <v>108.75</v>
      </c>
      <c r="E148" s="5">
        <f>ROUND(_xlfn.IFNA(VLOOKUP(A148,'Weapon Formulas'!$E$10:$Q$300,12,0),weapon_components!E148),2)</f>
        <v>181.25</v>
      </c>
      <c r="F148" s="5">
        <f>ROUND(_xlfn.IFNA(VLOOKUP(A148,'Weapon Formulas'!$E$10:$L$300,8,0),weapon_components!F148),2)</f>
        <v>0.09</v>
      </c>
      <c r="G148" s="5">
        <f>ROUND(_xlfn.IFNA(VLOOKUP(A148,'Weapon Formulas'!$E$10:$P$300,9,0),weapon_components!G148),2)</f>
        <v>0</v>
      </c>
      <c r="H148" s="5">
        <f>ROUND(_xlfn.IFNA(VLOOKUP(A148,'Weapon Formulas'!$E$10:$L$300,7,0),weapon_components!H148),2)</f>
        <v>2.11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Formulas'!$E$10:$Z$300,15,0),weapon_components!L148),1)</f>
        <v>50.4</v>
      </c>
      <c r="M148" s="32">
        <f>ROUND(_xlfn.IFNA(VLOOKUP(A148,'Weapon Formulas'!$E$10:$Z$300,14,0),weapon_components!M148),2)</f>
        <v>0.3</v>
      </c>
      <c r="N148" s="5">
        <f>ROUND(_xlfn.IFNA(VLOOKUP(A148,'Weapon Formulas'!$E$10:$W$300,16,0),weapon_components!N148),2)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Formulas'!$E$10:$Q$300,11,0),weapon_components!D149),2)</f>
        <v>233.04</v>
      </c>
      <c r="E149" s="5">
        <f>ROUND(_xlfn.IFNA(VLOOKUP(A149,'Weapon Formulas'!$E$10:$Q$300,12,0),weapon_components!E149),2)</f>
        <v>388.39</v>
      </c>
      <c r="F149" s="5">
        <f>ROUND(_xlfn.IFNA(VLOOKUP(A149,'Weapon Formulas'!$E$10:$L$300,8,0),weapon_components!F149),2)</f>
        <v>0.09</v>
      </c>
      <c r="G149" s="5">
        <f>ROUND(_xlfn.IFNA(VLOOKUP(A149,'Weapon Formulas'!$E$10:$P$300,9,0),weapon_components!G149),2)</f>
        <v>0</v>
      </c>
      <c r="H149" s="5">
        <f>ROUND(_xlfn.IFNA(VLOOKUP(A149,'Weapon Formulas'!$E$10:$L$300,7,0),weapon_components!H149),2)</f>
        <v>2.67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Formulas'!$E$10:$Z$300,15,0),weapon_components!L149),1)</f>
        <v>60.5</v>
      </c>
      <c r="M149" s="32">
        <f>ROUND(_xlfn.IFNA(VLOOKUP(A149,'Weapon Formulas'!$E$10:$Z$300,14,0),weapon_components!M149),2)</f>
        <v>0.28000000000000003</v>
      </c>
      <c r="N149" s="5">
        <f>ROUND(_xlfn.IFNA(VLOOKUP(A149,'Weapon Formulas'!$E$10:$W$300,16,0),weapon_components!N149),2)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Formulas'!$E$10:$Q$300,11,0),weapon_components!D150),2)</f>
        <v>50.98</v>
      </c>
      <c r="E150" s="5">
        <f>ROUND(_xlfn.IFNA(VLOOKUP(A150,'Weapon Formulas'!$E$10:$Q$300,12,0),weapon_components!E150),2)</f>
        <v>84.96</v>
      </c>
      <c r="F150" s="5">
        <f>ROUND(_xlfn.IFNA(VLOOKUP(A150,'Weapon Formulas'!$E$10:$L$300,8,0),weapon_components!F150),2)</f>
        <v>0.09</v>
      </c>
      <c r="G150" s="5">
        <f>ROUND(_xlfn.IFNA(VLOOKUP(A150,'Weapon Formulas'!$E$10:$P$300,9,0),weapon_components!G150),2)</f>
        <v>0</v>
      </c>
      <c r="H150" s="5">
        <f>ROUND(_xlfn.IFNA(VLOOKUP(A150,'Weapon Formulas'!$E$10:$L$300,7,0),weapon_components!H150),2)</f>
        <v>1.56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Formulas'!$E$10:$Z$300,15,0),weapon_components!L150),1)</f>
        <v>40.299999999999997</v>
      </c>
      <c r="M150" s="32">
        <f>ROUND(_xlfn.IFNA(VLOOKUP(A150,'Weapon Formulas'!$E$10:$Z$300,14,0),weapon_components!M150),2)</f>
        <v>0.32</v>
      </c>
      <c r="N150" s="5">
        <f>ROUND(_xlfn.IFNA(VLOOKUP(A150,'Weapon Formulas'!$E$10:$W$300,16,0),weapon_components!N150),2)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Formulas'!$E$10:$Q$300,11,0),weapon_components!D151),2)</f>
        <v>108.75</v>
      </c>
      <c r="E151" s="5">
        <f>ROUND(_xlfn.IFNA(VLOOKUP(A151,'Weapon Formulas'!$E$10:$Q$300,12,0),weapon_components!E151),2)</f>
        <v>181.25</v>
      </c>
      <c r="F151" s="5">
        <f>ROUND(_xlfn.IFNA(VLOOKUP(A151,'Weapon Formulas'!$E$10:$L$300,8,0),weapon_components!F151),2)</f>
        <v>0.09</v>
      </c>
      <c r="G151" s="5">
        <f>ROUND(_xlfn.IFNA(VLOOKUP(A151,'Weapon Formulas'!$E$10:$P$300,9,0),weapon_components!G151),2)</f>
        <v>0</v>
      </c>
      <c r="H151" s="5">
        <f>ROUND(_xlfn.IFNA(VLOOKUP(A151,'Weapon Formulas'!$E$10:$L$300,7,0),weapon_components!H151),2)</f>
        <v>2.11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Formulas'!$E$10:$Z$300,15,0),weapon_components!L151),1)</f>
        <v>50.4</v>
      </c>
      <c r="M151" s="32">
        <f>ROUND(_xlfn.IFNA(VLOOKUP(A151,'Weapon Formulas'!$E$10:$Z$300,14,0),weapon_components!M151),2)</f>
        <v>0.3</v>
      </c>
      <c r="N151" s="5">
        <f>ROUND(_xlfn.IFNA(VLOOKUP(A151,'Weapon Formulas'!$E$10:$W$300,16,0),weapon_components!N151),2)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Formulas'!$E$10:$Q$300,11,0),weapon_components!D152),2)</f>
        <v>233.04</v>
      </c>
      <c r="E152" s="5">
        <f>ROUND(_xlfn.IFNA(VLOOKUP(A152,'Weapon Formulas'!$E$10:$Q$300,12,0),weapon_components!E152),2)</f>
        <v>388.39</v>
      </c>
      <c r="F152" s="5">
        <f>ROUND(_xlfn.IFNA(VLOOKUP(A152,'Weapon Formulas'!$E$10:$L$300,8,0),weapon_components!F152),2)</f>
        <v>0.09</v>
      </c>
      <c r="G152" s="5">
        <f>ROUND(_xlfn.IFNA(VLOOKUP(A152,'Weapon Formulas'!$E$10:$P$300,9,0),weapon_components!G152),2)</f>
        <v>0</v>
      </c>
      <c r="H152" s="5">
        <f>ROUND(_xlfn.IFNA(VLOOKUP(A152,'Weapon Formulas'!$E$10:$L$300,7,0),weapon_components!H152),2)</f>
        <v>2.67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Formulas'!$E$10:$Z$300,15,0),weapon_components!L152),1)</f>
        <v>60.5</v>
      </c>
      <c r="M152" s="32">
        <f>ROUND(_xlfn.IFNA(VLOOKUP(A152,'Weapon Formulas'!$E$10:$Z$300,14,0),weapon_components!M152),2)</f>
        <v>0.28000000000000003</v>
      </c>
      <c r="N152" s="5">
        <f>ROUND(_xlfn.IFNA(VLOOKUP(A152,'Weapon Formulas'!$E$10:$W$300,16,0),weapon_components!N152),2)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Formulas'!$E$10:$Q$300,11,0),weapon_components!D154),2)</f>
        <v>188.22</v>
      </c>
      <c r="E154" s="5">
        <f>ROUND(_xlfn.IFNA(VLOOKUP(A154,'Weapon Formulas'!$E$10:$Q$300,12,0),weapon_components!E154),2)</f>
        <v>313.7</v>
      </c>
      <c r="F154" s="5">
        <f>ROUND(_xlfn.IFNA(VLOOKUP(A154,'Weapon Formulas'!$E$10:$L$300,8,0),weapon_components!F154),2)</f>
        <v>0.19</v>
      </c>
      <c r="G154" s="5">
        <f>ROUND(_xlfn.IFNA(VLOOKUP(A154,'Weapon Formulas'!$E$10:$P$300,9,0),weapon_components!G154),2)</f>
        <v>0</v>
      </c>
      <c r="H154" s="5">
        <f>ROUND(_xlfn.IFNA(VLOOKUP(A154,'Weapon Formulas'!$E$10:$L$300,7,0),weapon_components!H154),2)</f>
        <v>-1.2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Formulas'!$E$10:$Z$300,15,0),weapon_components!L154),1)</f>
        <v>66.599999999999994</v>
      </c>
      <c r="M154" s="32">
        <f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Formulas'!$E$10:$Q$300,11,0),weapon_components!D155),2)</f>
        <v>30.21</v>
      </c>
      <c r="E155" s="5">
        <f>ROUND(_xlfn.IFNA(VLOOKUP(A155,'Weapon Formulas'!$E$10:$Q$300,12,0),weapon_components!E155),2)</f>
        <v>50.35</v>
      </c>
      <c r="F155" s="5">
        <f>ROUND(_xlfn.IFNA(VLOOKUP(A155,'Weapon Formulas'!$E$10:$L$300,8,0),weapon_components!F155),2)</f>
        <v>0.02</v>
      </c>
      <c r="G155" s="5">
        <f>ROUND(_xlfn.IFNA(VLOOKUP(A155,'Weapon Formulas'!$E$10:$P$300,9,0),weapon_components!G155),2)</f>
        <v>0</v>
      </c>
      <c r="H155" s="5">
        <f>ROUND(_xlfn.IFNA(VLOOKUP(A155,'Weapon Formulas'!$E$10:$L$300,7,0),weapon_components!H155),2)</f>
        <v>-4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Formulas'!$E$10:$Z$300,15,0),weapon_components!L155),1)</f>
        <v>31.7</v>
      </c>
      <c r="M155" s="32">
        <f>ROUND(_xlfn.IFNA(VLOOKUP(A155,'Weapon Formulas'!$E$10:$Z$300,14,0),weapon_components!M155),2)</f>
        <v>0.27</v>
      </c>
      <c r="N155" s="5">
        <f>ROUND(_xlfn.IFNA(VLOOKUP(A155,'Weapon Formulas'!$E$10:$W$300,16,0),weapon_components!N155),2)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Formulas'!$E$10:$Q$300,11,0),weapon_components!D156),2)</f>
        <v>65.25</v>
      </c>
      <c r="E156" s="5">
        <f>ROUND(_xlfn.IFNA(VLOOKUP(A156,'Weapon Formulas'!$E$10:$Q$300,12,0),weapon_components!E156),2)</f>
        <v>108.75</v>
      </c>
      <c r="F156" s="5">
        <f>ROUND(_xlfn.IFNA(VLOOKUP(A156,'Weapon Formulas'!$E$10:$L$300,8,0),weapon_components!F156),2)</f>
        <v>0.02</v>
      </c>
      <c r="G156" s="5">
        <f>ROUND(_xlfn.IFNA(VLOOKUP(A156,'Weapon Formulas'!$E$10:$P$300,9,0),weapon_components!G156),2)</f>
        <v>0</v>
      </c>
      <c r="H156" s="5">
        <f>ROUND(_xlfn.IFNA(VLOOKUP(A156,'Weapon Formulas'!$E$10:$L$300,7,0),weapon_components!H156),2)</f>
        <v>-6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Formulas'!$E$10:$Z$300,15,0),weapon_components!L156),1)</f>
        <v>45</v>
      </c>
      <c r="M156" s="32">
        <f>ROUND(_xlfn.IFNA(VLOOKUP(A156,'Weapon Formulas'!$E$10:$Z$300,14,0),weapon_components!M156),2)</f>
        <v>0.25</v>
      </c>
      <c r="N156" s="5">
        <f>ROUND(_xlfn.IFNA(VLOOKUP(A156,'Weapon Formulas'!$E$10:$W$300,16,0),weapon_components!N156),2)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Formulas'!$E$10:$Q$300,11,0),weapon_components!D157),2)</f>
        <v>141.85</v>
      </c>
      <c r="E157" s="5">
        <f>ROUND(_xlfn.IFNA(VLOOKUP(A157,'Weapon Formulas'!$E$10:$Q$300,12,0),weapon_components!E157),2)</f>
        <v>236.41</v>
      </c>
      <c r="F157" s="5">
        <f>ROUND(_xlfn.IFNA(VLOOKUP(A157,'Weapon Formulas'!$E$10:$L$300,8,0),weapon_components!F157),2)</f>
        <v>0.02</v>
      </c>
      <c r="G157" s="5">
        <f>ROUND(_xlfn.IFNA(VLOOKUP(A157,'Weapon Formulas'!$E$10:$P$300,9,0),weapon_components!G157),2)</f>
        <v>0</v>
      </c>
      <c r="H157" s="5">
        <f>ROUND(_xlfn.IFNA(VLOOKUP(A157,'Weapon Formulas'!$E$10:$L$300,7,0),weapon_components!H157),2)</f>
        <v>-8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Formulas'!$E$10:$Z$300,15,0),weapon_components!L157),1)</f>
        <v>54</v>
      </c>
      <c r="M157" s="32">
        <f>ROUND(_xlfn.IFNA(VLOOKUP(A157,'Weapon Formulas'!$E$10:$Z$300,14,0),weapon_components!M157),2)</f>
        <v>0.23</v>
      </c>
      <c r="N157" s="5">
        <f>ROUND(_xlfn.IFNA(VLOOKUP(A157,'Weapon Formulas'!$E$10:$W$300,16,0),weapon_components!N157),2)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Formulas'!$E$10:$Q$300,11,0),weapon_components!D158),2)</f>
        <v>58.91</v>
      </c>
      <c r="E158" s="5">
        <f>ROUND(_xlfn.IFNA(VLOOKUP(A158,'Weapon Formulas'!$E$10:$Q$300,12,0),weapon_components!E158),2)</f>
        <v>98.18</v>
      </c>
      <c r="F158" s="5">
        <f>ROUND(_xlfn.IFNA(VLOOKUP(A158,'Weapon Formulas'!$E$10:$L$300,8,0),weapon_components!F158),2)</f>
        <v>0.16</v>
      </c>
      <c r="G158" s="5">
        <f>ROUND(_xlfn.IFNA(VLOOKUP(A158,'Weapon Formulas'!$E$10:$P$300,9,0),weapon_components!G158),2)</f>
        <v>0</v>
      </c>
      <c r="H158" s="5">
        <f>ROUND(_xlfn.IFNA(VLOOKUP(A158,'Weapon Formulas'!$E$10:$L$300,7,0),weapon_components!H158),2)</f>
        <v>0.14000000000000001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Formulas'!$E$10:$Z$300,15,0),weapon_components!L158),1)</f>
        <v>31.7</v>
      </c>
      <c r="M158" s="32">
        <f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Formulas'!$E$10:$Q$300,11,0),weapon_components!D159),2)</f>
        <v>271.88</v>
      </c>
      <c r="E159" s="5">
        <f>ROUND(_xlfn.IFNA(VLOOKUP(A159,'Weapon Formulas'!$E$10:$Q$300,12,0),weapon_components!E159),2)</f>
        <v>453.13</v>
      </c>
      <c r="F159" s="5">
        <f>ROUND(_xlfn.IFNA(VLOOKUP(A159,'Weapon Formulas'!$E$10:$L$300,8,0),weapon_components!F159),2)</f>
        <v>0.16</v>
      </c>
      <c r="G159" s="5">
        <f>ROUND(_xlfn.IFNA(VLOOKUP(A159,'Weapon Formulas'!$E$10:$P$300,9,0),weapon_components!G159),2)</f>
        <v>0</v>
      </c>
      <c r="H159" s="5">
        <f>ROUND(_xlfn.IFNA(VLOOKUP(A159,'Weapon Formulas'!$E$10:$L$300,7,0),weapon_components!H159),2)</f>
        <v>0.14000000000000001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Formulas'!$E$10:$Z$300,15,0),weapon_components!L159),1)</f>
        <v>73.400000000000006</v>
      </c>
      <c r="M159" s="32">
        <f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Formulas'!$E$10:$Q$300,11,0),weapon_components!D160),2)</f>
        <v>18.97</v>
      </c>
      <c r="E160" s="5">
        <f>ROUND(_xlfn.IFNA(VLOOKUP(A160,'Weapon Formulas'!$E$10:$Q$300,12,0),weapon_components!E160),2)</f>
        <v>31.61</v>
      </c>
      <c r="F160" s="5">
        <f>ROUND(_xlfn.IFNA(VLOOKUP(A160,'Weapon Formulas'!$E$10:$L$300,8,0),weapon_components!F160),2)</f>
        <v>0.09</v>
      </c>
      <c r="G160" s="5">
        <f>ROUND(_xlfn.IFNA(VLOOKUP(A160,'Weapon Formulas'!$E$10:$P$300,9,0),weapon_components!G160),2)</f>
        <v>0</v>
      </c>
      <c r="H160" s="5">
        <f>ROUND(_xlfn.IFNA(VLOOKUP(A160,'Weapon Formulas'!$E$10:$L$300,7,0),weapon_components!H160),2)</f>
        <v>1.56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Formulas'!$E$10:$Z$300,15,0),weapon_components!L160),1)</f>
        <v>31.7</v>
      </c>
      <c r="M160" s="32">
        <f>ROUND(_xlfn.IFNA(VLOOKUP(A160,'Weapon Formulas'!$E$10:$Z$300,14,0),weapon_components!M160),2)</f>
        <v>0.86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Formulas'!$E$10:$Q$300,11,0),weapon_components!D161),2)</f>
        <v>41.83</v>
      </c>
      <c r="E161" s="5">
        <f>ROUND(_xlfn.IFNA(VLOOKUP(A161,'Weapon Formulas'!$E$10:$Q$300,12,0),weapon_components!E161),2)</f>
        <v>69.709999999999994</v>
      </c>
      <c r="F161" s="5">
        <f>ROUND(_xlfn.IFNA(VLOOKUP(A161,'Weapon Formulas'!$E$10:$L$300,8,0),weapon_components!F161),2)</f>
        <v>0.09</v>
      </c>
      <c r="G161" s="5">
        <f>ROUND(_xlfn.IFNA(VLOOKUP(A161,'Weapon Formulas'!$E$10:$P$300,9,0),weapon_components!G161),2)</f>
        <v>0</v>
      </c>
      <c r="H161" s="5">
        <f>ROUND(_xlfn.IFNA(VLOOKUP(A161,'Weapon Formulas'!$E$10:$L$300,7,0),weapon_components!H161),2)</f>
        <v>2.11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Formulas'!$E$10:$Z$300,15,0),weapon_components!L161),1)</f>
        <v>50.4</v>
      </c>
      <c r="M161" s="32">
        <f>ROUND(_xlfn.IFNA(VLOOKUP(A161,'Weapon Formulas'!$E$10:$Z$300,14,0),weapon_components!M161),2)</f>
        <v>0.78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Formulas'!$E$10:$Q$300,11,0),weapon_components!D163),2)</f>
        <v>76.8</v>
      </c>
      <c r="E163" s="5">
        <f>ROUND(_xlfn.IFNA(VLOOKUP(A163,'Weapon Formulas'!$E$10:$Q$300,12,0),weapon_components!E163),2)</f>
        <v>127.99</v>
      </c>
      <c r="F163" s="5">
        <f>ROUND(_xlfn.IFNA(VLOOKUP(A163,'Weapon Formulas'!$E$10:$L$300,8,0),weapon_components!F163),2)</f>
        <v>0.19</v>
      </c>
      <c r="G163" s="5">
        <f>ROUND(_xlfn.IFNA(VLOOKUP(A163,'Weapon Formulas'!$E$10:$P$300,9,0),weapon_components!G163),2)</f>
        <v>0</v>
      </c>
      <c r="H163" s="5">
        <f>ROUND(_xlfn.IFNA(VLOOKUP(A163,'Weapon Formulas'!$E$10:$L$300,7,0),weapon_components!H163),2)</f>
        <v>-0.39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Formulas'!$E$10:$Z$300,15,0),weapon_components!L163),1)</f>
        <v>71</v>
      </c>
      <c r="M163" s="32">
        <f>ROUND(_xlfn.IFNA(VLOOKUP(A163,'Weapon Formulas'!$E$10:$Z$300,14,0),weapon_components!M163),2)</f>
        <v>0.47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Formulas'!$E$10:$Q$300,11,0),weapon_components!D164),2)</f>
        <v>160.41999999999999</v>
      </c>
      <c r="E164" s="5">
        <f>ROUND(_xlfn.IFNA(VLOOKUP(A164,'Weapon Formulas'!$E$10:$Q$300,12,0),weapon_components!E164),2)</f>
        <v>267.36</v>
      </c>
      <c r="F164" s="5">
        <f>ROUND(_xlfn.IFNA(VLOOKUP(A164,'Weapon Formulas'!$E$10:$L$300,8,0),weapon_components!F164),2)</f>
        <v>0.19</v>
      </c>
      <c r="G164" s="5">
        <f>ROUND(_xlfn.IFNA(VLOOKUP(A164,'Weapon Formulas'!$E$10:$P$300,9,0),weapon_components!G164),2)</f>
        <v>0</v>
      </c>
      <c r="H164" s="5">
        <f>ROUND(_xlfn.IFNA(VLOOKUP(A164,'Weapon Formulas'!$E$10:$L$300,7,0),weapon_components!H164),2)</f>
        <v>-0.6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Formulas'!$E$10:$Z$300,15,0),weapon_components!L164),1)</f>
        <v>88.8</v>
      </c>
      <c r="M164" s="32">
        <f>ROUND(_xlfn.IFNA(VLOOKUP(A164,'Weapon Formulas'!$E$10:$Z$300,14,0),weapon_components!M164),2)</f>
        <v>0.45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Formulas'!$E$10:$Q$300,11,0),weapon_components!D165),2)</f>
        <v>335.76</v>
      </c>
      <c r="E165" s="5">
        <f>ROUND(_xlfn.IFNA(VLOOKUP(A165,'Weapon Formulas'!$E$10:$Q$300,12,0),weapon_components!E165),2)</f>
        <v>559.59</v>
      </c>
      <c r="F165" s="5">
        <f>ROUND(_xlfn.IFNA(VLOOKUP(A165,'Weapon Formulas'!$E$10:$L$300,8,0),weapon_components!F165),2)</f>
        <v>0.19</v>
      </c>
      <c r="G165" s="5">
        <f>ROUND(_xlfn.IFNA(VLOOKUP(A165,'Weapon Formulas'!$E$10:$P$300,9,0),weapon_components!G165),2)</f>
        <v>0</v>
      </c>
      <c r="H165" s="5">
        <f>ROUND(_xlfn.IFNA(VLOOKUP(A165,'Weapon Formulas'!$E$10:$L$300,7,0),weapon_components!H165),2)</f>
        <v>-0.81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Formulas'!$E$10:$Z$300,15,0),weapon_components!L165),1)</f>
        <v>106.6</v>
      </c>
      <c r="M165" s="32">
        <f>ROUND(_xlfn.IFNA(VLOOKUP(A165,'Weapon Formulas'!$E$10:$Z$300,14,0),weapon_components!M165),2)</f>
        <v>0.43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Formulas'!$E$10:$Q$300,11,0),weapon_components!D167),2)</f>
        <v>70.22</v>
      </c>
      <c r="E167" s="5">
        <f>ROUND(_xlfn.IFNA(VLOOKUP(A167,'Weapon Formulas'!$E$10:$Q$300,12,0),weapon_components!E167),2)</f>
        <v>117.03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>ROUND(_xlfn.IFNA(VLOOKUP(A167,'Weapon Formulas'!$E$10:$L$300,7,0),weapon_components!H167),2)</f>
        <v>-0.75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Formulas'!$E$10:$Z$300,15,0),weapon_components!L167),1)</f>
        <v>35.5</v>
      </c>
      <c r="M167" s="32">
        <f>ROUND(_xlfn.IFNA(VLOOKUP(A167,'Weapon Formulas'!$E$10:$Z$300,14,0),weapon_components!M167),2)</f>
        <v>1</v>
      </c>
      <c r="N167" s="5">
        <f>ROUND(_xlfn.IFNA(VLOOKUP(A167,'Weapon Formulas'!$E$10:$W$300,16,0),weapon_components!N167),2)</f>
        <v>10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Formulas'!$E$10:$Q$300,11,0),weapon_components!D168),2)</f>
        <v>150.47</v>
      </c>
      <c r="E168" s="5">
        <f>ROUND(_xlfn.IFNA(VLOOKUP(A168,'Weapon Formulas'!$E$10:$Q$300,12,0),weapon_components!E168),2)</f>
        <v>250.78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>ROUND(_xlfn.IFNA(VLOOKUP(A168,'Weapon Formulas'!$E$10:$L$300,7,0),weapon_components!H168),2)</f>
        <v>-0.96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Formulas'!$E$10:$Z$300,15,0),weapon_components!L168),1)</f>
        <v>44.4</v>
      </c>
      <c r="M168" s="32">
        <f>ROUND(_xlfn.IFNA(VLOOKUP(A168,'Weapon Formulas'!$E$10:$Z$300,14,0),weapon_components!M168),2)</f>
        <v>1</v>
      </c>
      <c r="N168" s="5">
        <f>ROUND(_xlfn.IFNA(VLOOKUP(A168,'Weapon Formulas'!$E$10:$W$300,16,0),weapon_components!N168),2)</f>
        <v>10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Formulas'!$E$10:$Q$300,11,0),weapon_components!D169),2)</f>
        <v>321</v>
      </c>
      <c r="E169" s="5">
        <f>ROUND(_xlfn.IFNA(VLOOKUP(A169,'Weapon Formulas'!$E$10:$Q$300,12,0),weapon_components!E169),2)</f>
        <v>535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>ROUND(_xlfn.IFNA(VLOOKUP(A169,'Weapon Formulas'!$E$10:$L$300,7,0),weapon_components!H169),2)</f>
        <v>-1.1299999999999999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Formulas'!$E$10:$Z$300,15,0),weapon_components!L169),1)</f>
        <v>53.3</v>
      </c>
      <c r="M169" s="32">
        <f>ROUND(_xlfn.IFNA(VLOOKUP(A169,'Weapon Formulas'!$E$10:$Z$300,14,0),weapon_components!M169),2)</f>
        <v>1</v>
      </c>
      <c r="N169" s="5">
        <f>ROUND(_xlfn.IFNA(VLOOKUP(A169,'Weapon Formulas'!$E$10:$W$300,16,0),weapon_components!N169),2)</f>
        <v>10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Formulas'!$E$10:$Q$300,11,0),weapon_components!D170),2)</f>
        <v>321</v>
      </c>
      <c r="E170" s="5">
        <f>ROUND(_xlfn.IFNA(VLOOKUP(A170,'Weapon Formulas'!$E$10:$Q$300,12,0),weapon_components!E170),2)</f>
        <v>535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>ROUND(_xlfn.IFNA(VLOOKUP(A170,'Weapon Formulas'!$E$10:$L$300,7,0),weapon_components!H170),2)</f>
        <v>-1.1299999999999999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Formulas'!$E$10:$Z$300,15,0),weapon_components!L170),1)</f>
        <v>53.3</v>
      </c>
      <c r="M170" s="32">
        <f>ROUND(_xlfn.IFNA(VLOOKUP(A170,'Weapon Formulas'!$E$10:$Z$300,14,0),weapon_components!M170),2)</f>
        <v>1</v>
      </c>
      <c r="N170" s="5">
        <f>ROUND(_xlfn.IFNA(VLOOKUP(A170,'Weapon Formulas'!$E$10:$W$300,16,0),weapon_components!N170),2)</f>
        <v>10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Formulas'!$E$10:$Q$300,11,0),weapon_components!D171),2)</f>
        <v>23.58</v>
      </c>
      <c r="E171" s="5">
        <f>ROUND(_xlfn.IFNA(VLOOKUP(A171,'Weapon Formulas'!$E$10:$Q$300,12,0),weapon_components!E171),2)</f>
        <v>39.31</v>
      </c>
      <c r="F171" s="5">
        <f>ROUND(_xlfn.IFNA(VLOOKUP(A171,'Weapon Formulas'!$E$10:$L$300,8,0),weapon_components!F171),2)</f>
        <v>0.19</v>
      </c>
      <c r="G171" s="5">
        <f>ROUND(_xlfn.IFNA(VLOOKUP(A171,'Weapon Formulas'!$E$10:$P$300,9,0),weapon_components!G171),2)</f>
        <v>0</v>
      </c>
      <c r="H171" s="5">
        <f>ROUND(_xlfn.IFNA(VLOOKUP(A171,'Weapon Formulas'!$E$10:$L$300,7,0),weapon_components!H171),2)</f>
        <v>6.11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Formulas'!$E$10:$Z$300,15,0),weapon_components!L171),1)</f>
        <v>35.5</v>
      </c>
      <c r="M171" s="32">
        <f>ROUND(_xlfn.IFNA(VLOOKUP(A171,'Weapon Formulas'!$E$10:$Z$300,14,0),weapon_components!M171),2)</f>
        <v>0.83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Formulas'!$E$10:$Q$300,11,0),weapon_components!D172),2)</f>
        <v>43.5</v>
      </c>
      <c r="E172" s="5">
        <f>ROUND(_xlfn.IFNA(VLOOKUP(A172,'Weapon Formulas'!$E$10:$Q$300,12,0),weapon_components!E172),2)</f>
        <v>72.5</v>
      </c>
      <c r="F172" s="5">
        <f>ROUND(_xlfn.IFNA(VLOOKUP(A172,'Weapon Formulas'!$E$10:$L$300,8,0),weapon_components!F172),2)</f>
        <v>0.19</v>
      </c>
      <c r="G172" s="5">
        <f>ROUND(_xlfn.IFNA(VLOOKUP(A172,'Weapon Formulas'!$E$10:$P$300,9,0),weapon_components!G172),2)</f>
        <v>0</v>
      </c>
      <c r="H172" s="5">
        <f>ROUND(_xlfn.IFNA(VLOOKUP(A172,'Weapon Formulas'!$E$10:$L$300,7,0),weapon_components!H172),2)</f>
        <v>8.33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Formulas'!$E$10:$Z$300,15,0),weapon_components!L172),1)</f>
        <v>44.4</v>
      </c>
      <c r="M172" s="32">
        <f>ROUND(_xlfn.IFNA(VLOOKUP(A172,'Weapon Formulas'!$E$10:$Z$300,14,0),weapon_components!M172),2)</f>
        <v>0.75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Formulas'!$E$10:$Q$300,11,0),weapon_components!D174),2)</f>
        <v>635.26</v>
      </c>
      <c r="E174" s="5">
        <f>ROUND(_xlfn.IFNA(VLOOKUP(A174,'Weapon Formulas'!$E$10:$Q$300,12,0),weapon_components!E174),2)</f>
        <v>1058.77</v>
      </c>
      <c r="F174" s="5">
        <f>ROUND(_xlfn.IFNA(VLOOKUP(A174,'Weapon Formulas'!$E$10:$L$300,8,0),weapon_components!F174),2)</f>
        <v>0.19</v>
      </c>
      <c r="G174" s="5">
        <f>ROUND(_xlfn.IFNA(VLOOKUP(A174,'Weapon Formulas'!$E$10:$P$300,9,0),weapon_components!G174),2)</f>
        <v>0</v>
      </c>
      <c r="H174" s="5">
        <f>ROUND(_xlfn.IFNA(VLOOKUP(A174,'Weapon Formulas'!$E$10:$L$300,7,0),weapon_components!H174),2)</f>
        <v>2.6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Formulas'!$E$10:$Z$300,15,0),weapon_components!L174),1)</f>
        <v>79.900000000000006</v>
      </c>
      <c r="M174" s="32">
        <f>ROUND(_xlfn.IFNA(VLOOKUP(A174,'Weapon Formulas'!$E$10:$Z$300,14,0),weapon_components!M174),2)</f>
        <v>0.67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ROUND(_xlfn.IFNA(VLOOKUP(A176,'Weapon Formulas'!$E$10:$L$300,7,0),weapon_components!H176),2)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Formulas'!$E$10:$Z$300,15,0),weapon_components!L176),0)</f>
        <v>8</v>
      </c>
      <c r="M176" s="32">
        <f>ROUND(_xlfn.IFNA(VLOOKUP(A176,'Weapon Formulas'!$E$10:$Z$300,14,0),weapon_components!M176),2)</f>
        <v>0.4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3</v>
      </c>
      <c r="E177" s="5">
        <f>ROUND(_xlfn.IFNA(VLOOKUP(A177,'Weapon Formulas'!$E$10:$Q$300,12,0),weapon_components!E177),2)</f>
        <v>4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ROUND(_xlfn.IFNA(VLOOKUP(A177,'Weapon Formulas'!$E$10:$L$300,7,0),weapon_components!H177),2)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Formulas'!$E$10:$Z$300,15,0),weapon_components!L177),0)</f>
        <v>8</v>
      </c>
      <c r="M177" s="32">
        <f>ROUND(_xlfn.IFNA(VLOOKUP(A177,'Weapon Formulas'!$E$10:$Z$300,14,0),weapon_components!M177),2)</f>
        <v>0.4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4</v>
      </c>
      <c r="E178" s="5">
        <f>ROUND(_xlfn.IFNA(VLOOKUP(A178,'Weapon Formulas'!$E$10:$Q$300,12,0),weapon_components!E178),2)</f>
        <v>5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ROUND(_xlfn.IFNA(VLOOKUP(A178,'Weapon Formulas'!$E$10:$L$300,7,0),weapon_components!H178),2)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Formulas'!$E$10:$Z$300,15,0),weapon_components!L178),0)</f>
        <v>8</v>
      </c>
      <c r="M178" s="32">
        <f>ROUND(_xlfn.IFNA(VLOOKUP(A178,'Weapon Formulas'!$E$10:$Z$300,14,0),weapon_components!M178),2)</f>
        <v>0.4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2016-05-24T07:01:55Z</dcterms:modified>
</cp:coreProperties>
</file>