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firstSheet="1" activeTab="1"/>
  </bookViews>
  <sheets>
    <sheet name="weapon_components" sheetId="4" r:id="rId1"/>
    <sheet name="Weapon Formulas" sheetId="2" r:id="rId2"/>
    <sheet name="gen_weapon_components" sheetId="3" r:id="rId3"/>
  </sheets>
  <calcPr calcId="171027"/>
</workbook>
</file>

<file path=xl/calcChain.xml><?xml version="1.0" encoding="utf-8"?>
<calcChain xmlns="http://schemas.openxmlformats.org/spreadsheetml/2006/main">
  <c r="T115" i="2" l="1"/>
  <c r="T114" i="2"/>
  <c r="T105" i="2"/>
  <c r="T106" i="2"/>
  <c r="T107" i="2"/>
  <c r="T108" i="2"/>
  <c r="T109" i="2"/>
  <c r="T110" i="2"/>
  <c r="T111" i="2"/>
  <c r="T112" i="2"/>
  <c r="T104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88" i="2"/>
  <c r="T54" i="2"/>
  <c r="T53" i="2"/>
  <c r="W104" i="2"/>
  <c r="O118" i="2"/>
  <c r="P118" i="2"/>
  <c r="O119" i="2"/>
  <c r="P119" i="2"/>
  <c r="O121" i="2"/>
  <c r="N121" i="2" s="1"/>
  <c r="P121" i="2"/>
  <c r="P122" i="2"/>
  <c r="O122" i="2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4" i="3"/>
  <c r="L25" i="3"/>
  <c r="L26" i="3"/>
  <c r="L28" i="3"/>
  <c r="L29" i="3"/>
  <c r="L31" i="3"/>
  <c r="L32" i="3"/>
  <c r="L33" i="3"/>
  <c r="L34" i="3"/>
  <c r="L35" i="3"/>
  <c r="L36" i="3"/>
  <c r="L37" i="3"/>
  <c r="L38" i="3"/>
  <c r="L39" i="3"/>
  <c r="L41" i="3"/>
  <c r="L42" i="3"/>
  <c r="L44" i="3"/>
  <c r="L45" i="3"/>
  <c r="L46" i="3"/>
  <c r="L47" i="3"/>
  <c r="L48" i="3"/>
  <c r="L49" i="3"/>
  <c r="L50" i="3"/>
  <c r="L51" i="3"/>
  <c r="L52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7" i="3"/>
  <c r="L78" i="3"/>
  <c r="L80" i="3"/>
  <c r="L81" i="3"/>
  <c r="L82" i="3"/>
  <c r="L83" i="3"/>
  <c r="L84" i="3"/>
  <c r="L85" i="3"/>
  <c r="L86" i="3"/>
  <c r="L87" i="3"/>
  <c r="L88" i="3"/>
  <c r="L90" i="3"/>
  <c r="L91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9" i="3"/>
  <c r="L110" i="3"/>
  <c r="L111" i="3"/>
  <c r="L113" i="3"/>
  <c r="L114" i="3"/>
  <c r="L115" i="3"/>
  <c r="L116" i="3"/>
  <c r="L117" i="3"/>
  <c r="L118" i="3"/>
  <c r="L119" i="3"/>
  <c r="L120" i="3"/>
  <c r="L121" i="3"/>
  <c r="L123" i="3"/>
  <c r="L124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L176" i="3"/>
  <c r="L177" i="3"/>
  <c r="L178" i="3"/>
  <c r="L8" i="3"/>
  <c r="H8" i="3"/>
  <c r="S118" i="2"/>
  <c r="S119" i="2"/>
  <c r="S120" i="2"/>
  <c r="S121" i="2"/>
  <c r="A121" i="2" s="1"/>
  <c r="S122" i="2"/>
  <c r="S117" i="2"/>
  <c r="S105" i="2"/>
  <c r="S106" i="2"/>
  <c r="S107" i="2"/>
  <c r="S108" i="2"/>
  <c r="S109" i="2"/>
  <c r="S110" i="2"/>
  <c r="S111" i="2"/>
  <c r="A111" i="2" s="1"/>
  <c r="S112" i="2"/>
  <c r="A112" i="2" s="1"/>
  <c r="S104" i="2"/>
  <c r="S115" i="2"/>
  <c r="S114" i="2"/>
  <c r="S44" i="2"/>
  <c r="S45" i="2"/>
  <c r="A45" i="2" s="1"/>
  <c r="F45" i="2" s="1"/>
  <c r="I45" i="2" s="1"/>
  <c r="S46" i="2"/>
  <c r="S47" i="2"/>
  <c r="A47" i="2" s="1"/>
  <c r="F47" i="2" s="1"/>
  <c r="J47" i="2" s="1"/>
  <c r="S48" i="2"/>
  <c r="S49" i="2"/>
  <c r="A49" i="2" s="1"/>
  <c r="F49" i="2" s="1"/>
  <c r="I49" i="2" s="1"/>
  <c r="S50" i="2"/>
  <c r="S51" i="2"/>
  <c r="A51" i="2" s="1"/>
  <c r="F51" i="2" s="1"/>
  <c r="I51" i="2" s="1"/>
  <c r="S43" i="2"/>
  <c r="R43" i="2"/>
  <c r="S89" i="2"/>
  <c r="S90" i="2"/>
  <c r="S91" i="2"/>
  <c r="S92" i="2"/>
  <c r="A92" i="2" s="1"/>
  <c r="S93" i="2"/>
  <c r="A93" i="2" s="1"/>
  <c r="S94" i="2"/>
  <c r="S95" i="2"/>
  <c r="S96" i="2"/>
  <c r="A96" i="2" s="1"/>
  <c r="S97" i="2"/>
  <c r="A97" i="2" s="1"/>
  <c r="S98" i="2"/>
  <c r="S99" i="2"/>
  <c r="S100" i="2"/>
  <c r="S101" i="2"/>
  <c r="S102" i="2"/>
  <c r="S88" i="2"/>
  <c r="A88" i="2" s="1"/>
  <c r="S76" i="2"/>
  <c r="S77" i="2"/>
  <c r="S78" i="2"/>
  <c r="S79" i="2"/>
  <c r="S80" i="2"/>
  <c r="S81" i="2"/>
  <c r="S82" i="2"/>
  <c r="S83" i="2"/>
  <c r="A83" i="2" s="1"/>
  <c r="S75" i="2"/>
  <c r="S73" i="2"/>
  <c r="A73" i="2" s="1"/>
  <c r="S72" i="2"/>
  <c r="A72" i="2" s="1"/>
  <c r="S57" i="2"/>
  <c r="S58" i="2"/>
  <c r="S59" i="2"/>
  <c r="S60" i="2"/>
  <c r="A60" i="2" s="1"/>
  <c r="F60" i="2" s="1"/>
  <c r="S61" i="2"/>
  <c r="S62" i="2"/>
  <c r="S63" i="2"/>
  <c r="S64" i="2"/>
  <c r="A64" i="2" s="1"/>
  <c r="F64" i="2" s="1"/>
  <c r="S65" i="2"/>
  <c r="A65" i="2" s="1"/>
  <c r="F65" i="2" s="1"/>
  <c r="S66" i="2"/>
  <c r="S67" i="2"/>
  <c r="S68" i="2"/>
  <c r="A68" i="2" s="1"/>
  <c r="F68" i="2" s="1"/>
  <c r="S69" i="2"/>
  <c r="S70" i="2"/>
  <c r="A70" i="2" s="1"/>
  <c r="F70" i="2" s="1"/>
  <c r="S56" i="2"/>
  <c r="S54" i="2"/>
  <c r="S53" i="2"/>
  <c r="A53" i="2" s="1"/>
  <c r="F53" i="2" s="1"/>
  <c r="S27" i="2"/>
  <c r="S41" i="2"/>
  <c r="A41" i="2" s="1"/>
  <c r="F41" i="2" s="1"/>
  <c r="H41" i="2" s="1"/>
  <c r="S31" i="2"/>
  <c r="S32" i="2"/>
  <c r="S33" i="2"/>
  <c r="S34" i="2"/>
  <c r="S35" i="2"/>
  <c r="S36" i="2"/>
  <c r="S37" i="2"/>
  <c r="S38" i="2"/>
  <c r="S30" i="2"/>
  <c r="S40" i="2"/>
  <c r="A118" i="2"/>
  <c r="A120" i="2"/>
  <c r="A122" i="2"/>
  <c r="A58" i="2"/>
  <c r="F58" i="2" s="1"/>
  <c r="A62" i="2"/>
  <c r="F62" i="2" s="1"/>
  <c r="A66" i="2"/>
  <c r="F66" i="2" s="1"/>
  <c r="A74" i="2"/>
  <c r="A78" i="2"/>
  <c r="A82" i="2"/>
  <c r="S85" i="2"/>
  <c r="S86" i="2"/>
  <c r="A86" i="2" s="1"/>
  <c r="A90" i="2"/>
  <c r="A94" i="2"/>
  <c r="A98" i="2"/>
  <c r="A102" i="2"/>
  <c r="A106" i="2"/>
  <c r="A110" i="2"/>
  <c r="A114" i="2"/>
  <c r="A56" i="2"/>
  <c r="F56" i="2" s="1"/>
  <c r="H56" i="2" s="1"/>
  <c r="G56" i="2" s="1"/>
  <c r="F28" i="2"/>
  <c r="A12" i="2"/>
  <c r="A13" i="2"/>
  <c r="A14" i="2"/>
  <c r="A15" i="2"/>
  <c r="A16" i="2"/>
  <c r="A17" i="2"/>
  <c r="A18" i="2"/>
  <c r="A19" i="2"/>
  <c r="A20" i="2"/>
  <c r="A21" i="2"/>
  <c r="A22" i="2"/>
  <c r="A23" i="2"/>
  <c r="F23" i="2" s="1"/>
  <c r="J23" i="2" s="1"/>
  <c r="A24" i="2"/>
  <c r="A25" i="2"/>
  <c r="A26" i="2"/>
  <c r="A27" i="2"/>
  <c r="F27" i="2" s="1"/>
  <c r="A28" i="2"/>
  <c r="A29" i="2"/>
  <c r="A30" i="2"/>
  <c r="F30" i="2" s="1"/>
  <c r="J30" i="2" s="1"/>
  <c r="A31" i="2"/>
  <c r="F31" i="2" s="1"/>
  <c r="A32" i="2"/>
  <c r="F32" i="2" s="1"/>
  <c r="J32" i="2" s="1"/>
  <c r="A33" i="2"/>
  <c r="F33" i="2" s="1"/>
  <c r="H33" i="2" s="1"/>
  <c r="A34" i="2"/>
  <c r="F34" i="2" s="1"/>
  <c r="H34" i="2" s="1"/>
  <c r="A35" i="2"/>
  <c r="F35" i="2" s="1"/>
  <c r="A36" i="2"/>
  <c r="F36" i="2" s="1"/>
  <c r="J36" i="2" s="1"/>
  <c r="A37" i="2"/>
  <c r="F37" i="2" s="1"/>
  <c r="H37" i="2" s="1"/>
  <c r="A38" i="2"/>
  <c r="F38" i="2" s="1"/>
  <c r="H38" i="2" s="1"/>
  <c r="A39" i="2"/>
  <c r="A40" i="2"/>
  <c r="F40" i="2" s="1"/>
  <c r="J40" i="2" s="1"/>
  <c r="A42" i="2"/>
  <c r="A43" i="2"/>
  <c r="F43" i="2" s="1"/>
  <c r="I43" i="2" s="1"/>
  <c r="A44" i="2"/>
  <c r="F44" i="2" s="1"/>
  <c r="H44" i="2" s="1"/>
  <c r="A46" i="2"/>
  <c r="F46" i="2" s="1"/>
  <c r="J46" i="2" s="1"/>
  <c r="A48" i="2"/>
  <c r="F48" i="2" s="1"/>
  <c r="H48" i="2" s="1"/>
  <c r="A50" i="2"/>
  <c r="F50" i="2" s="1"/>
  <c r="J50" i="2" s="1"/>
  <c r="A52" i="2"/>
  <c r="A54" i="2"/>
  <c r="F54" i="2" s="1"/>
  <c r="H54" i="2" s="1"/>
  <c r="A55" i="2"/>
  <c r="A57" i="2"/>
  <c r="F57" i="2" s="1"/>
  <c r="A59" i="2"/>
  <c r="F59" i="2" s="1"/>
  <c r="A61" i="2"/>
  <c r="F61" i="2" s="1"/>
  <c r="A63" i="2"/>
  <c r="F63" i="2" s="1"/>
  <c r="A67" i="2"/>
  <c r="F67" i="2" s="1"/>
  <c r="A69" i="2"/>
  <c r="F69" i="2" s="1"/>
  <c r="A71" i="2"/>
  <c r="A75" i="2"/>
  <c r="A76" i="2"/>
  <c r="A77" i="2"/>
  <c r="A79" i="2"/>
  <c r="A80" i="2"/>
  <c r="A81" i="2"/>
  <c r="A84" i="2"/>
  <c r="A85" i="2"/>
  <c r="A87" i="2"/>
  <c r="A89" i="2"/>
  <c r="A91" i="2"/>
  <c r="A95" i="2"/>
  <c r="A99" i="2"/>
  <c r="A100" i="2"/>
  <c r="A101" i="2"/>
  <c r="A103" i="2"/>
  <c r="A104" i="2"/>
  <c r="A105" i="2"/>
  <c r="A107" i="2"/>
  <c r="A108" i="2"/>
  <c r="A109" i="2"/>
  <c r="A113" i="2"/>
  <c r="A115" i="2"/>
  <c r="A116" i="2"/>
  <c r="A117" i="2"/>
  <c r="A119" i="2"/>
  <c r="A11" i="2"/>
  <c r="F11" i="2" s="1"/>
  <c r="F12" i="2"/>
  <c r="F13" i="2"/>
  <c r="F14" i="2"/>
  <c r="F15" i="2"/>
  <c r="H15" i="2" s="1"/>
  <c r="G15" i="2" s="1"/>
  <c r="F16" i="2"/>
  <c r="F17" i="2"/>
  <c r="F18" i="2"/>
  <c r="F19" i="2"/>
  <c r="H19" i="2" s="1"/>
  <c r="G19" i="2" s="1"/>
  <c r="S28" i="2"/>
  <c r="S29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G41" i="3"/>
  <c r="G42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G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90" i="3"/>
  <c r="G90" i="3"/>
  <c r="F91" i="3"/>
  <c r="G91" i="3"/>
  <c r="F93" i="3"/>
  <c r="G93" i="3"/>
  <c r="F94" i="3"/>
  <c r="G94" i="3"/>
  <c r="H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D176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F8" i="3"/>
  <c r="G121" i="2"/>
  <c r="H121" i="2"/>
  <c r="I121" i="2"/>
  <c r="K121" i="2" s="1"/>
  <c r="J121" i="2"/>
  <c r="H122" i="2"/>
  <c r="G122" i="2" s="1"/>
  <c r="K122" i="2" s="1"/>
  <c r="I122" i="2"/>
  <c r="J122" i="2"/>
  <c r="F122" i="2"/>
  <c r="F121" i="2"/>
  <c r="F120" i="2"/>
  <c r="H120" i="2" s="1"/>
  <c r="G120" i="2" s="1"/>
  <c r="F73" i="2"/>
  <c r="H73" i="2"/>
  <c r="I73" i="2"/>
  <c r="I72" i="2"/>
  <c r="H72" i="2"/>
  <c r="F80" i="3"/>
  <c r="L54" i="2"/>
  <c r="F55" i="3" s="1"/>
  <c r="L53" i="2"/>
  <c r="F54" i="3" s="1"/>
  <c r="L43" i="2"/>
  <c r="F44" i="3" s="1"/>
  <c r="L44" i="2"/>
  <c r="L45" i="2"/>
  <c r="L46" i="2"/>
  <c r="L47" i="2"/>
  <c r="L48" i="2"/>
  <c r="L49" i="2"/>
  <c r="L50" i="2"/>
  <c r="L51" i="2"/>
  <c r="L41" i="2"/>
  <c r="F42" i="3" s="1"/>
  <c r="L40" i="2"/>
  <c r="F41" i="3" s="1"/>
  <c r="L31" i="2"/>
  <c r="L32" i="2"/>
  <c r="L33" i="2"/>
  <c r="L34" i="2"/>
  <c r="L35" i="2"/>
  <c r="L36" i="2"/>
  <c r="L37" i="2"/>
  <c r="L38" i="2"/>
  <c r="L30" i="2"/>
  <c r="L28" i="2"/>
  <c r="F29" i="3" s="1"/>
  <c r="L27" i="2"/>
  <c r="F28" i="3" s="1"/>
  <c r="Q3" i="2"/>
  <c r="L16" i="2" s="1"/>
  <c r="Q4" i="2"/>
  <c r="L18" i="2" s="1"/>
  <c r="Q5" i="2"/>
  <c r="Q6" i="2"/>
  <c r="L25" i="2" s="1"/>
  <c r="F22" i="3" s="1"/>
  <c r="Q2" i="2"/>
  <c r="L11" i="2"/>
  <c r="B2" i="2"/>
  <c r="L12" i="2"/>
  <c r="L13" i="2"/>
  <c r="L14" i="2"/>
  <c r="L15" i="2"/>
  <c r="L17" i="2"/>
  <c r="L19" i="2"/>
  <c r="L20" i="2"/>
  <c r="L21" i="2"/>
  <c r="L2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8" i="2"/>
  <c r="G118" i="2" s="1"/>
  <c r="K118" i="2" s="1"/>
  <c r="I118" i="2"/>
  <c r="J118" i="2"/>
  <c r="H119" i="2"/>
  <c r="G119" i="2" s="1"/>
  <c r="K119" i="2" s="1"/>
  <c r="I119" i="2"/>
  <c r="J119" i="2"/>
  <c r="F119" i="2"/>
  <c r="F118" i="2"/>
  <c r="F117" i="2"/>
  <c r="I117" i="2" s="1"/>
  <c r="F90" i="2"/>
  <c r="H115" i="2"/>
  <c r="I115" i="2"/>
  <c r="J115" i="2"/>
  <c r="I114" i="2"/>
  <c r="J114" i="2"/>
  <c r="H114" i="2"/>
  <c r="H104" i="2"/>
  <c r="G104" i="2" s="1"/>
  <c r="I104" i="2"/>
  <c r="J104" i="2"/>
  <c r="H105" i="2"/>
  <c r="G105" i="2" s="1"/>
  <c r="I105" i="2"/>
  <c r="J105" i="2"/>
  <c r="H106" i="2"/>
  <c r="I106" i="2"/>
  <c r="J106" i="2"/>
  <c r="H107" i="2"/>
  <c r="G107" i="2" s="1"/>
  <c r="I107" i="2"/>
  <c r="J107" i="2"/>
  <c r="H108" i="2"/>
  <c r="G108" i="2" s="1"/>
  <c r="I108" i="2"/>
  <c r="J108" i="2"/>
  <c r="H109" i="2"/>
  <c r="G109" i="2" s="1"/>
  <c r="I109" i="2"/>
  <c r="J109" i="2"/>
  <c r="H110" i="2"/>
  <c r="I110" i="2"/>
  <c r="J110" i="2"/>
  <c r="H111" i="2"/>
  <c r="I111" i="2"/>
  <c r="J111" i="2"/>
  <c r="H112" i="2"/>
  <c r="G112" i="2" s="1"/>
  <c r="I112" i="2"/>
  <c r="J112" i="2"/>
  <c r="G111" i="2"/>
  <c r="H88" i="2"/>
  <c r="G88" i="2" s="1"/>
  <c r="G106" i="2"/>
  <c r="G110" i="2"/>
  <c r="P3" i="2"/>
  <c r="P4" i="2"/>
  <c r="P5" i="2"/>
  <c r="P6" i="2"/>
  <c r="P2" i="2"/>
  <c r="O3" i="2"/>
  <c r="O4" i="2"/>
  <c r="O5" i="2"/>
  <c r="O6" i="2"/>
  <c r="O2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I88" i="2"/>
  <c r="J88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I75" i="2"/>
  <c r="H75" i="2"/>
  <c r="G75" i="2" s="1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5" i="2"/>
  <c r="R86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J76" i="2"/>
  <c r="H85" i="2"/>
  <c r="G93" i="2"/>
  <c r="G5" i="2"/>
  <c r="G4" i="2"/>
  <c r="G3" i="2"/>
  <c r="J28" i="2"/>
  <c r="F72" i="2"/>
  <c r="J73" i="2"/>
  <c r="F75" i="2"/>
  <c r="J75" i="2" s="1"/>
  <c r="F76" i="2"/>
  <c r="F77" i="2"/>
  <c r="F78" i="2"/>
  <c r="F79" i="2"/>
  <c r="J79" i="2" s="1"/>
  <c r="F80" i="2"/>
  <c r="F81" i="2"/>
  <c r="F82" i="2"/>
  <c r="F83" i="2"/>
  <c r="J83" i="2" s="1"/>
  <c r="F85" i="2"/>
  <c r="I85" i="2" s="1"/>
  <c r="F86" i="2"/>
  <c r="H86" i="2" s="1"/>
  <c r="F88" i="2"/>
  <c r="F89" i="2"/>
  <c r="F91" i="2"/>
  <c r="G91" i="2" s="1"/>
  <c r="F92" i="2"/>
  <c r="F93" i="2"/>
  <c r="F94" i="2"/>
  <c r="F95" i="2"/>
  <c r="G95" i="2" s="1"/>
  <c r="F96" i="2"/>
  <c r="F97" i="2"/>
  <c r="F98" i="2"/>
  <c r="G98" i="2" s="1"/>
  <c r="F99" i="2"/>
  <c r="G99" i="2" s="1"/>
  <c r="F100" i="2"/>
  <c r="F101" i="2"/>
  <c r="F102" i="2"/>
  <c r="F104" i="2"/>
  <c r="F105" i="2"/>
  <c r="F106" i="2"/>
  <c r="F107" i="2"/>
  <c r="F108" i="2"/>
  <c r="F109" i="2"/>
  <c r="F110" i="2"/>
  <c r="F111" i="2"/>
  <c r="F112" i="2"/>
  <c r="F114" i="2"/>
  <c r="H12" i="2"/>
  <c r="G12" i="2" s="1"/>
  <c r="I13" i="2"/>
  <c r="J14" i="2"/>
  <c r="H16" i="2"/>
  <c r="G16" i="2" s="1"/>
  <c r="I17" i="2"/>
  <c r="J18" i="2"/>
  <c r="N119" i="2" l="1"/>
  <c r="O120" i="2"/>
  <c r="P120" i="2"/>
  <c r="J120" i="2"/>
  <c r="I120" i="2"/>
  <c r="K120" i="2" s="1"/>
  <c r="J117" i="2"/>
  <c r="H117" i="2"/>
  <c r="G117" i="2" s="1"/>
  <c r="K117" i="2" s="1"/>
  <c r="H68" i="2"/>
  <c r="I68" i="2"/>
  <c r="H64" i="2"/>
  <c r="I64" i="2"/>
  <c r="H60" i="2"/>
  <c r="I60" i="2"/>
  <c r="J35" i="2"/>
  <c r="I35" i="2"/>
  <c r="I31" i="2"/>
  <c r="J31" i="2"/>
  <c r="N122" i="2"/>
  <c r="N118" i="2"/>
  <c r="I69" i="2"/>
  <c r="H69" i="2"/>
  <c r="J69" i="2"/>
  <c r="H59" i="2"/>
  <c r="G59" i="2" s="1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I57" i="2"/>
  <c r="J57" i="2"/>
  <c r="H57" i="2"/>
  <c r="H67" i="2"/>
  <c r="I67" i="2"/>
  <c r="I61" i="2"/>
  <c r="H61" i="2"/>
  <c r="J61" i="2"/>
  <c r="I65" i="2"/>
  <c r="J65" i="2"/>
  <c r="H65" i="2"/>
  <c r="J68" i="2"/>
  <c r="J64" i="2"/>
  <c r="J60" i="2"/>
  <c r="J67" i="2"/>
  <c r="J63" i="2"/>
  <c r="J59" i="2"/>
  <c r="H27" i="2"/>
  <c r="I11" i="2"/>
  <c r="I27" i="2"/>
  <c r="G114" i="2"/>
  <c r="O114" i="2" s="1"/>
  <c r="D123" i="3" s="1"/>
  <c r="J56" i="2"/>
  <c r="I56" i="2"/>
  <c r="K56" i="2" s="1"/>
  <c r="H57" i="3" s="1"/>
  <c r="L24" i="2"/>
  <c r="L23" i="2"/>
  <c r="H32" i="2"/>
  <c r="H35" i="2"/>
  <c r="P16" i="2"/>
  <c r="E13" i="3" s="1"/>
  <c r="O16" i="2"/>
  <c r="P93" i="2"/>
  <c r="E98" i="3" s="1"/>
  <c r="O93" i="2"/>
  <c r="D98" i="3" s="1"/>
  <c r="O12" i="2"/>
  <c r="P12" i="2"/>
  <c r="E9" i="3" s="1"/>
  <c r="O98" i="2"/>
  <c r="D103" i="3" s="1"/>
  <c r="P98" i="2"/>
  <c r="E103" i="3" s="1"/>
  <c r="O95" i="2"/>
  <c r="D100" i="3" s="1"/>
  <c r="P95" i="2"/>
  <c r="E100" i="3" s="1"/>
  <c r="H11" i="2"/>
  <c r="G11" i="2" s="1"/>
  <c r="G101" i="2"/>
  <c r="K99" i="2"/>
  <c r="H104" i="3" s="1"/>
  <c r="G94" i="2"/>
  <c r="G92" i="2"/>
  <c r="J85" i="2"/>
  <c r="L85" i="2" s="1"/>
  <c r="J77" i="2"/>
  <c r="I23" i="2"/>
  <c r="J19" i="2"/>
  <c r="H18" i="2"/>
  <c r="G18" i="2" s="1"/>
  <c r="I16" i="2"/>
  <c r="K16" i="2" s="1"/>
  <c r="H13" i="3" s="1"/>
  <c r="I14" i="2"/>
  <c r="J12" i="2"/>
  <c r="F21" i="2" s="1"/>
  <c r="I21" i="2" s="1"/>
  <c r="H30" i="2"/>
  <c r="G30" i="2" s="1"/>
  <c r="J37" i="2"/>
  <c r="H36" i="2"/>
  <c r="I34" i="2"/>
  <c r="I32" i="2"/>
  <c r="H43" i="2"/>
  <c r="G43" i="2" s="1"/>
  <c r="H51" i="2"/>
  <c r="H49" i="2"/>
  <c r="I47" i="2"/>
  <c r="J45" i="2"/>
  <c r="I53" i="2"/>
  <c r="J53" i="2"/>
  <c r="H53" i="2"/>
  <c r="G53" i="2" s="1"/>
  <c r="J11" i="2"/>
  <c r="F20" i="2" s="1"/>
  <c r="H20" i="2" s="1"/>
  <c r="G20" i="2" s="1"/>
  <c r="O20" i="2" s="1"/>
  <c r="G102" i="2"/>
  <c r="G97" i="2"/>
  <c r="K95" i="2"/>
  <c r="H100" i="3" s="1"/>
  <c r="K93" i="2"/>
  <c r="H98" i="3" s="1"/>
  <c r="G90" i="2"/>
  <c r="J82" i="2"/>
  <c r="J80" i="2"/>
  <c r="J24" i="2"/>
  <c r="H23" i="2"/>
  <c r="G23" i="2" s="1"/>
  <c r="H21" i="2"/>
  <c r="I19" i="2"/>
  <c r="K19" i="2" s="1"/>
  <c r="H16" i="3" s="1"/>
  <c r="J17" i="2"/>
  <c r="J15" i="2"/>
  <c r="F24" i="2" s="1"/>
  <c r="H24" i="2" s="1"/>
  <c r="G24" i="2" s="1"/>
  <c r="O24" i="2" s="1"/>
  <c r="H14" i="2"/>
  <c r="G14" i="2" s="1"/>
  <c r="I12" i="2"/>
  <c r="K12" i="2" s="1"/>
  <c r="H9" i="3" s="1"/>
  <c r="I30" i="2"/>
  <c r="I37" i="2"/>
  <c r="J33" i="2"/>
  <c r="J4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L86" i="2" s="1"/>
  <c r="J78" i="2"/>
  <c r="I24" i="2"/>
  <c r="K24" i="2" s="1"/>
  <c r="H21" i="3" s="1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J3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I86" i="2"/>
  <c r="J81" i="2"/>
  <c r="I18" i="2"/>
  <c r="K18" i="2" s="1"/>
  <c r="H15" i="3" s="1"/>
  <c r="J16" i="2"/>
  <c r="F25" i="2" s="1"/>
  <c r="I25" i="2" s="1"/>
  <c r="H13" i="2"/>
  <c r="H28" i="2"/>
  <c r="I38" i="2"/>
  <c r="I36" i="2"/>
  <c r="J34" i="2"/>
  <c r="H31" i="2"/>
  <c r="J49" i="2"/>
  <c r="H46" i="2"/>
  <c r="I44" i="2"/>
  <c r="O23" i="2"/>
  <c r="O19" i="2"/>
  <c r="O15" i="2"/>
  <c r="O17" i="2"/>
  <c r="P23" i="2"/>
  <c r="E20" i="3" s="1"/>
  <c r="P19" i="2"/>
  <c r="E16" i="3" s="1"/>
  <c r="P15" i="2"/>
  <c r="E12" i="3" s="1"/>
  <c r="G66" i="2"/>
  <c r="K66" i="2" s="1"/>
  <c r="H67" i="3" s="1"/>
  <c r="G64" i="2"/>
  <c r="K64" i="2" s="1"/>
  <c r="H65" i="3" s="1"/>
  <c r="G60" i="2"/>
  <c r="K60" i="2" s="1"/>
  <c r="H61" i="3" s="1"/>
  <c r="G67" i="2"/>
  <c r="K67" i="2" s="1"/>
  <c r="H68" i="3" s="1"/>
  <c r="G63" i="2"/>
  <c r="K63" i="2" s="1"/>
  <c r="H64" i="3" s="1"/>
  <c r="G65" i="2"/>
  <c r="K65" i="2" s="1"/>
  <c r="H66" i="3" s="1"/>
  <c r="G61" i="2"/>
  <c r="K61" i="2" s="1"/>
  <c r="H62" i="3" s="1"/>
  <c r="G57" i="2"/>
  <c r="K57" i="2" s="1"/>
  <c r="H58" i="3" s="1"/>
  <c r="G58" i="2"/>
  <c r="K58" i="2" s="1"/>
  <c r="H59" i="3" s="1"/>
  <c r="G31" i="2"/>
  <c r="O31" i="2" s="1"/>
  <c r="D32" i="3" s="1"/>
  <c r="G76" i="2"/>
  <c r="G32" i="2"/>
  <c r="G77" i="2"/>
  <c r="K106" i="2"/>
  <c r="H115" i="3" s="1"/>
  <c r="G44" i="2"/>
  <c r="O44" i="2" s="1"/>
  <c r="G62" i="2"/>
  <c r="K62" i="2" s="1"/>
  <c r="H63" i="3" s="1"/>
  <c r="K23" i="2"/>
  <c r="H20" i="3" s="1"/>
  <c r="K17" i="2"/>
  <c r="H14" i="3" s="1"/>
  <c r="I54" i="2"/>
  <c r="J54" i="2"/>
  <c r="J72" i="2"/>
  <c r="J27" i="2"/>
  <c r="J41" i="2"/>
  <c r="I41" i="2"/>
  <c r="I40" i="2"/>
  <c r="H40" i="2"/>
  <c r="N120" i="2" l="1"/>
  <c r="O117" i="2"/>
  <c r="P117" i="2"/>
  <c r="P24" i="2"/>
  <c r="E21" i="3" s="1"/>
  <c r="K59" i="2"/>
  <c r="H60" i="3" s="1"/>
  <c r="O45" i="2"/>
  <c r="D46" i="3" s="1"/>
  <c r="D45" i="3"/>
  <c r="P44" i="2"/>
  <c r="E45" i="3" s="1"/>
  <c r="K31" i="2"/>
  <c r="H32" i="3" s="1"/>
  <c r="AK28" i="2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H25" i="2"/>
  <c r="G25" i="2" s="1"/>
  <c r="K25" i="2" s="1"/>
  <c r="H22" i="3" s="1"/>
  <c r="G21" i="2"/>
  <c r="O21" i="2" s="1"/>
  <c r="D18" i="3" s="1"/>
  <c r="G13" i="2"/>
  <c r="O13" i="2" s="1"/>
  <c r="D10" i="3" s="1"/>
  <c r="K114" i="2"/>
  <c r="H123" i="3" s="1"/>
  <c r="N15" i="2"/>
  <c r="D12" i="3"/>
  <c r="P114" i="2"/>
  <c r="E123" i="3" s="1"/>
  <c r="N12" i="2"/>
  <c r="D9" i="3"/>
  <c r="D14" i="3"/>
  <c r="N17" i="2"/>
  <c r="K53" i="2"/>
  <c r="H54" i="3" s="1"/>
  <c r="N16" i="2"/>
  <c r="D13" i="3"/>
  <c r="N24" i="2"/>
  <c r="D21" i="3"/>
  <c r="N19" i="2"/>
  <c r="D16" i="3"/>
  <c r="N23" i="2"/>
  <c r="D20" i="3"/>
  <c r="N20" i="2"/>
  <c r="D17" i="3"/>
  <c r="K43" i="2"/>
  <c r="H44" i="3" s="1"/>
  <c r="N95" i="2"/>
  <c r="P13" i="2"/>
  <c r="E10" i="3" s="1"/>
  <c r="K21" i="2"/>
  <c r="H18" i="3" s="1"/>
  <c r="K75" i="2"/>
  <c r="H80" i="3" s="1"/>
  <c r="N93" i="2"/>
  <c r="N99" i="2"/>
  <c r="K77" i="2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30" i="2"/>
  <c r="P30" i="2"/>
  <c r="E31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K30" i="2"/>
  <c r="H31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P11" i="2"/>
  <c r="E8" i="3" s="1"/>
  <c r="K100" i="2"/>
  <c r="H105" i="3" s="1"/>
  <c r="P43" i="2"/>
  <c r="E44" i="3" s="1"/>
  <c r="O43" i="2"/>
  <c r="P59" i="2"/>
  <c r="E60" i="3" s="1"/>
  <c r="O59" i="2"/>
  <c r="D60" i="3" s="1"/>
  <c r="O14" i="2"/>
  <c r="P14" i="2"/>
  <c r="E11" i="3" s="1"/>
  <c r="O88" i="2"/>
  <c r="D93" i="3" s="1"/>
  <c r="P88" i="2"/>
  <c r="E93" i="3" s="1"/>
  <c r="P102" i="2"/>
  <c r="E107" i="3" s="1"/>
  <c r="O102" i="2"/>
  <c r="D107" i="3" s="1"/>
  <c r="K32" i="2"/>
  <c r="H33" i="3" s="1"/>
  <c r="O18" i="2"/>
  <c r="P18" i="2"/>
  <c r="E15" i="3" s="1"/>
  <c r="N98" i="2"/>
  <c r="K88" i="2"/>
  <c r="H93" i="3" s="1"/>
  <c r="K11" i="2"/>
  <c r="K115" i="2"/>
  <c r="H124" i="3" s="1"/>
  <c r="O76" i="2"/>
  <c r="D81" i="3" s="1"/>
  <c r="P76" i="2"/>
  <c r="E81" i="3" s="1"/>
  <c r="P31" i="2"/>
  <c r="E32" i="3" s="1"/>
  <c r="K14" i="2"/>
  <c r="H11" i="3" s="1"/>
  <c r="O106" i="2"/>
  <c r="D115" i="3" s="1"/>
  <c r="P106" i="2"/>
  <c r="E115" i="3" s="1"/>
  <c r="O32" i="2"/>
  <c r="P32" i="2"/>
  <c r="E33" i="3" s="1"/>
  <c r="O58" i="2"/>
  <c r="D59" i="3" s="1"/>
  <c r="P58" i="2"/>
  <c r="E59" i="3" s="1"/>
  <c r="P61" i="2"/>
  <c r="E62" i="3" s="1"/>
  <c r="O61" i="2"/>
  <c r="D62" i="3" s="1"/>
  <c r="P21" i="2"/>
  <c r="E18" i="3" s="1"/>
  <c r="K44" i="2"/>
  <c r="H45" i="3" s="1"/>
  <c r="O22" i="2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K92" i="2"/>
  <c r="H97" i="3" s="1"/>
  <c r="K101" i="2"/>
  <c r="H106" i="3" s="1"/>
  <c r="K94" i="2"/>
  <c r="H99" i="3" s="1"/>
  <c r="K104" i="2"/>
  <c r="H113" i="3" s="1"/>
  <c r="G85" i="2"/>
  <c r="G79" i="2"/>
  <c r="K79" i="2" s="1"/>
  <c r="G35" i="2"/>
  <c r="G40" i="2"/>
  <c r="G80" i="2"/>
  <c r="G27" i="2"/>
  <c r="G46" i="2"/>
  <c r="G33" i="2"/>
  <c r="G47" i="2"/>
  <c r="G78" i="2"/>
  <c r="G34" i="2"/>
  <c r="G48" i="2"/>
  <c r="G69" i="2"/>
  <c r="K69" i="2" s="1"/>
  <c r="H70" i="3" s="1"/>
  <c r="N117" i="2" l="1"/>
  <c r="AH28" i="2"/>
  <c r="AC29" i="2"/>
  <c r="AH29" i="2"/>
  <c r="AD28" i="2"/>
  <c r="AG28" i="2"/>
  <c r="AJ29" i="2"/>
  <c r="AJ28" i="2"/>
  <c r="AM28" i="2"/>
  <c r="AA29" i="2"/>
  <c r="Z28" i="2"/>
  <c r="AF28" i="2"/>
  <c r="AI28" i="2"/>
  <c r="P47" i="2"/>
  <c r="E48" i="3" s="1"/>
  <c r="O47" i="2"/>
  <c r="O48" i="2"/>
  <c r="P48" i="2"/>
  <c r="E49" i="3" s="1"/>
  <c r="N45" i="2"/>
  <c r="N44" i="2"/>
  <c r="P46" i="2"/>
  <c r="E47" i="3" s="1"/>
  <c r="O46" i="2"/>
  <c r="K34" i="2"/>
  <c r="H35" i="3" s="1"/>
  <c r="AN31" i="2"/>
  <c r="AC31" i="2"/>
  <c r="AM29" i="2"/>
  <c r="AO29" i="2"/>
  <c r="Y29" i="2"/>
  <c r="AD29" i="2"/>
  <c r="AF29" i="2"/>
  <c r="AP28" i="2"/>
  <c r="AO28" i="2"/>
  <c r="AB28" i="2"/>
  <c r="AC28" i="2"/>
  <c r="AE28" i="2"/>
  <c r="K33" i="2"/>
  <c r="H34" i="3" s="1"/>
  <c r="AI29" i="2"/>
  <c r="AK29" i="2"/>
  <c r="AP29" i="2"/>
  <c r="Z29" i="2"/>
  <c r="AB29" i="2"/>
  <c r="AL28" i="2"/>
  <c r="AN28" i="2"/>
  <c r="X28" i="2"/>
  <c r="Y28" i="2"/>
  <c r="AA28" i="2"/>
  <c r="AE29" i="2"/>
  <c r="AG29" i="2"/>
  <c r="AL29" i="2"/>
  <c r="AN29" i="2"/>
  <c r="X29" i="2"/>
  <c r="K22" i="2"/>
  <c r="H19" i="3" s="1"/>
  <c r="K13" i="2"/>
  <c r="H10" i="3" s="1"/>
  <c r="O25" i="2"/>
  <c r="D22" i="3" s="1"/>
  <c r="P25" i="2"/>
  <c r="E22" i="3" s="1"/>
  <c r="N21" i="2"/>
  <c r="D11" i="3"/>
  <c r="N14" i="2"/>
  <c r="N13" i="2"/>
  <c r="AN27" i="2"/>
  <c r="X27" i="2"/>
  <c r="AA27" i="2"/>
  <c r="AL27" i="2"/>
  <c r="K40" i="2"/>
  <c r="H41" i="3" s="1"/>
  <c r="O40" i="2"/>
  <c r="D15" i="3"/>
  <c r="N18" i="2"/>
  <c r="AO27" i="2"/>
  <c r="AJ27" i="2"/>
  <c r="AM27" i="2"/>
  <c r="AK27" i="2"/>
  <c r="AH27" i="2"/>
  <c r="D19" i="3"/>
  <c r="N22" i="2"/>
  <c r="D31" i="3"/>
  <c r="N30" i="2"/>
  <c r="AG27" i="2"/>
  <c r="AF27" i="2"/>
  <c r="AI27" i="2"/>
  <c r="AC27" i="2"/>
  <c r="AD27" i="2"/>
  <c r="D33" i="3"/>
  <c r="N32" i="2"/>
  <c r="K27" i="2"/>
  <c r="H28" i="3" s="1"/>
  <c r="D44" i="3"/>
  <c r="N43" i="2"/>
  <c r="D8" i="3"/>
  <c r="N11" i="2"/>
  <c r="N31" i="2"/>
  <c r="N25" i="2"/>
  <c r="Y27" i="2"/>
  <c r="AB27" i="2"/>
  <c r="AE27" i="2"/>
  <c r="AP27" i="2"/>
  <c r="Z27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27" i="2"/>
  <c r="E28" i="3" s="1"/>
  <c r="O27" i="2"/>
  <c r="O35" i="2"/>
  <c r="P35" i="2"/>
  <c r="E36" i="3" s="1"/>
  <c r="K35" i="2"/>
  <c r="H36" i="3" s="1"/>
  <c r="N96" i="2"/>
  <c r="K47" i="2"/>
  <c r="H48" i="3" s="1"/>
  <c r="N88" i="2"/>
  <c r="N67" i="2"/>
  <c r="O34" i="2"/>
  <c r="P34" i="2"/>
  <c r="E35" i="3" s="1"/>
  <c r="O33" i="2"/>
  <c r="P33" i="2"/>
  <c r="E34" i="3" s="1"/>
  <c r="O80" i="2"/>
  <c r="D85" i="3" s="1"/>
  <c r="P80" i="2"/>
  <c r="E85" i="3" s="1"/>
  <c r="K80" i="2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P109" i="2"/>
  <c r="E118" i="3" s="1"/>
  <c r="O109" i="2"/>
  <c r="D118" i="3" s="1"/>
  <c r="O108" i="2"/>
  <c r="D117" i="3" s="1"/>
  <c r="P108" i="2"/>
  <c r="E117" i="3" s="1"/>
  <c r="K108" i="2"/>
  <c r="H117" i="3" s="1"/>
  <c r="O85" i="2"/>
  <c r="D90" i="3" s="1"/>
  <c r="P85" i="2"/>
  <c r="E90" i="3" s="1"/>
  <c r="K85" i="2"/>
  <c r="H90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AB30" i="2" l="1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D47" i="3"/>
  <c r="O51" i="2"/>
  <c r="P51" i="2"/>
  <c r="E52" i="3" s="1"/>
  <c r="N48" i="2"/>
  <c r="D49" i="3"/>
  <c r="N47" i="2"/>
  <c r="D48" i="3"/>
  <c r="P49" i="2"/>
  <c r="E50" i="3" s="1"/>
  <c r="O49" i="2"/>
  <c r="O50" i="2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X36" i="2"/>
  <c r="AF36" i="2"/>
  <c r="AP36" i="2"/>
  <c r="AM36" i="2"/>
  <c r="AL36" i="2"/>
  <c r="AO36" i="2"/>
  <c r="AI36" i="2"/>
  <c r="AD36" i="2"/>
  <c r="AG36" i="2"/>
  <c r="AA36" i="2"/>
  <c r="AN36" i="2"/>
  <c r="Y36" i="2"/>
  <c r="D36" i="3"/>
  <c r="N35" i="2"/>
  <c r="AE36" i="2"/>
  <c r="AH36" i="2"/>
  <c r="AJ36" i="2"/>
  <c r="AK36" i="2"/>
  <c r="D35" i="3"/>
  <c r="N34" i="2"/>
  <c r="N27" i="2"/>
  <c r="D28" i="3"/>
  <c r="D34" i="3"/>
  <c r="N33" i="2"/>
  <c r="K28" i="2"/>
  <c r="H29" i="3" s="1"/>
  <c r="Z36" i="2"/>
  <c r="AB36" i="2"/>
  <c r="AC36" i="2"/>
  <c r="D41" i="3"/>
  <c r="N40" i="2"/>
  <c r="N107" i="2"/>
  <c r="N79" i="2"/>
  <c r="O82" i="2"/>
  <c r="D87" i="3" s="1"/>
  <c r="P82" i="2"/>
  <c r="E87" i="3" s="1"/>
  <c r="K82" i="2"/>
  <c r="O28" i="2"/>
  <c r="P28" i="2"/>
  <c r="E29" i="3" s="1"/>
  <c r="O41" i="2"/>
  <c r="P41" i="2"/>
  <c r="E42" i="3" s="1"/>
  <c r="K41" i="2"/>
  <c r="H42" i="3" s="1"/>
  <c r="O37" i="2"/>
  <c r="P37" i="2"/>
  <c r="E38" i="3" s="1"/>
  <c r="K37" i="2"/>
  <c r="H38" i="3" s="1"/>
  <c r="O83" i="2"/>
  <c r="D88" i="3" s="1"/>
  <c r="P83" i="2"/>
  <c r="E88" i="3" s="1"/>
  <c r="K83" i="2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K111" i="2"/>
  <c r="H120" i="3" s="1"/>
  <c r="N69" i="2"/>
  <c r="P68" i="2"/>
  <c r="E69" i="3" s="1"/>
  <c r="O68" i="2"/>
  <c r="D69" i="3" s="1"/>
  <c r="K50" i="2"/>
  <c r="H51" i="3" s="1"/>
  <c r="P86" i="2"/>
  <c r="E91" i="3" s="1"/>
  <c r="O86" i="2"/>
  <c r="D91" i="3" s="1"/>
  <c r="K86" i="2"/>
  <c r="H91" i="3" s="1"/>
  <c r="P36" i="2"/>
  <c r="E37" i="3" s="1"/>
  <c r="O36" i="2"/>
  <c r="K36" i="2"/>
  <c r="H37" i="3" s="1"/>
  <c r="N108" i="2"/>
  <c r="N78" i="2"/>
  <c r="P38" i="2"/>
  <c r="E39" i="3" s="1"/>
  <c r="O38" i="2"/>
  <c r="K38" i="2"/>
  <c r="H39" i="3" s="1"/>
  <c r="K51" i="2"/>
  <c r="H52" i="3" s="1"/>
  <c r="O81" i="2"/>
  <c r="D86" i="3" s="1"/>
  <c r="P81" i="2"/>
  <c r="E86" i="3" s="1"/>
  <c r="K81" i="2"/>
  <c r="K49" i="2"/>
  <c r="H50" i="3" s="1"/>
  <c r="N85" i="2"/>
  <c r="N109" i="2"/>
  <c r="N80" i="2"/>
  <c r="X34" i="2" l="1"/>
  <c r="AC34" i="2"/>
  <c r="AJ35" i="2"/>
  <c r="AE34" i="2"/>
  <c r="AE35" i="2"/>
  <c r="AD34" i="2"/>
  <c r="Y35" i="2"/>
  <c r="AA34" i="2"/>
  <c r="AL35" i="2"/>
  <c r="D51" i="3"/>
  <c r="N50" i="2"/>
  <c r="D52" i="3"/>
  <c r="N51" i="2"/>
  <c r="D50" i="3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D29" i="3"/>
  <c r="AC37" i="2"/>
  <c r="AN37" i="2"/>
  <c r="AA37" i="2"/>
  <c r="D38" i="3"/>
  <c r="N37" i="2"/>
  <c r="N111" i="2"/>
  <c r="D120" i="3"/>
  <c r="D37" i="3"/>
  <c r="N36" i="2"/>
  <c r="D39" i="3"/>
  <c r="N38" i="2"/>
  <c r="D42" i="3"/>
  <c r="N41" i="2"/>
  <c r="AH37" i="2"/>
  <c r="AK37" i="2"/>
  <c r="AM37" i="2"/>
  <c r="AF37" i="2"/>
  <c r="Y37" i="2"/>
  <c r="N70" i="2"/>
  <c r="N82" i="2"/>
  <c r="N86" i="2"/>
  <c r="N81" i="2"/>
  <c r="N110" i="2"/>
  <c r="N73" i="2"/>
  <c r="N68" i="2"/>
  <c r="N112" i="2"/>
  <c r="N54" i="2"/>
  <c r="N83" i="2"/>
  <c r="G72" i="2"/>
  <c r="O72" i="2"/>
  <c r="D77" i="3" s="1"/>
  <c r="P72" i="2" l="1"/>
  <c r="K72" i="2"/>
  <c r="H77" i="3" s="1"/>
  <c r="N72" i="2" l="1"/>
  <c r="E77" i="3"/>
</calcChain>
</file>

<file path=xl/sharedStrings.xml><?xml version="1.0" encoding="utf-8"?>
<sst xmlns="http://schemas.openxmlformats.org/spreadsheetml/2006/main" count="601" uniqueCount="253">
  <si>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</si>
  <si>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</si>
  <si>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</si>
  <si>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</si>
  <si>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</si>
  <si>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</si>
  <si>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</si>
  <si>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</si>
  <si>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</si>
  <si>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</si>
  <si>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</si>
  <si>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</si>
  <si>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</si>
  <si>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</si>
  <si>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</si>
  <si>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</si>
  <si>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</si>
  <si>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</si>
  <si>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</si>
  <si>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</si>
  <si>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</si>
  <si>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</si>
  <si>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</si>
  <si>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</si>
  <si>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</si>
  <si>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</si>
  <si>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</si>
  <si>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</si>
  <si>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</si>
  <si>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</si>
  <si>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</si>
  <si>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</si>
  <si>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</si>
  <si>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</si>
  <si>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</si>
  <si>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</si>
  <si>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</si>
  <si>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</si>
  <si>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</si>
  <si>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</si>
  <si>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</si>
  <si>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</si>
  <si>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</si>
  <si>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</si>
  <si>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</si>
  <si>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</si>
  <si>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</si>
  <si>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</si>
  <si>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</si>
  <si>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</si>
  <si>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</si>
  <si>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</si>
  <si>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</si>
  <si>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</si>
  <si>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</si>
  <si>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</si>
  <si>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</si>
  <si>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</si>
  <si>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</si>
  <si>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</si>
  <si>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</si>
  <si>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</si>
  <si>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</si>
  <si>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</si>
  <si>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</si>
  <si>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</si>
  <si>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</si>
  <si>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</si>
  <si>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</si>
  <si>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</si>
  <si>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</si>
  <si>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</si>
  <si>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</si>
  <si>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</si>
  <si>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</si>
  <si>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</si>
  <si>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</si>
  <si>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</si>
  <si>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</si>
  <si>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</si>
  <si>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</si>
  <si>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</si>
  <si>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</si>
  <si>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</si>
  <si>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</si>
  <si>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</si>
  <si>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</si>
  <si>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</si>
  <si>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</si>
  <si>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</si>
  <si>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</si>
  <si>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</si>
  <si>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</si>
  <si>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</si>
  <si>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</si>
  <si>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</si>
  <si>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</si>
  <si>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</si>
  <si>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</si>
  <si>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</si>
  <si>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</si>
  <si>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</si>
  <si>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</si>
  <si>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</si>
  <si>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</si>
  <si>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</si>
  <si>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</si>
  <si>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</si>
  <si>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</si>
  <si>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</si>
  <si>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</si>
  <si>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</si>
  <si>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</si>
  <si>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</si>
  <si>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</si>
  <si>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</si>
  <si>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</si>
  <si>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</si>
  <si>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</si>
  <si>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</si>
  <si>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</si>
  <si>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</si>
  <si>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</si>
  <si>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</si>
  <si>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</si>
  <si>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</si>
  <si>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</si>
  <si>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</si>
  <si>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</si>
  <si>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</si>
  <si>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</si>
  <si>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</si>
  <si>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</si>
  <si>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</si>
  <si>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</si>
  <si>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</si>
  <si>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</si>
  <si>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</si>
  <si>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</si>
  <si>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</si>
  <si>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</si>
  <si>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</si>
  <si>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</si>
  <si>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</si>
  <si>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</si>
  <si>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</si>
  <si>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</si>
  <si>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</si>
  <si>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</si>
  <si>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</si>
  <si>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</si>
  <si>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</si>
  <si>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</si>
  <si>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</si>
  <si>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</si>
  <si>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</si>
  <si>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</si>
  <si>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</si>
  <si>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</si>
  <si>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</si>
  <si>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</si>
  <si>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</si>
  <si>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</si>
  <si>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</si>
  <si>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</si>
  <si>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</si>
  <si>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</si>
  <si>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</si>
  <si>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</si>
  <si>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</si>
  <si>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</si>
  <si>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</si>
  <si>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</si>
  <si>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</si>
  <si>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</si>
  <si>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</si>
  <si>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</si>
  <si>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</si>
  <si>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</si>
  <si>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</si>
  <si>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</si>
  <si>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</si>
  <si>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</si>
  <si>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</si>
  <si>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</si>
  <si>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</si>
  <si>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</si>
  <si>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</si>
  <si>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</si>
  <si>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</si>
  <si>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</si>
  <si>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</si>
  <si>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</si>
  <si>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</si>
  <si>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</si>
  <si>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</si>
  <si>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</si>
  <si>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</si>
  <si>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</si>
  <si>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</si>
  <si>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</si>
  <si>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</si>
  <si>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</si>
  <si>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</si>
  <si>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</si>
  <si>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</si>
  <si>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</si>
  <si>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</si>
  <si>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</si>
  <si>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</si>
  <si>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</si>
  <si>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</si>
  <si>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</si>
  <si>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</si>
  <si>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</si>
  <si>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</si>
  <si>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</si>
  <si>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</si>
  <si>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</si>
  <si>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</si>
  <si>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Fighter I</t>
  </si>
  <si>
    <t>Fighter II</t>
  </si>
  <si>
    <t>Fighter III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</si>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</sst>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#"/>
    <numFmt numFmtId="171" formatCode="0.0000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71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6.8744688172043009</c:v>
                </c:pt>
                <c:pt idx="1">
                  <c:v>7.5033634408602152</c:v>
                </c:pt>
                <c:pt idx="2">
                  <c:v>8.1322580645161295</c:v>
                </c:pt>
                <c:pt idx="3">
                  <c:v>8.761152688172043</c:v>
                </c:pt>
                <c:pt idx="4">
                  <c:v>9.3900473118279546</c:v>
                </c:pt>
                <c:pt idx="5">
                  <c:v>10.018941935483872</c:v>
                </c:pt>
                <c:pt idx="6">
                  <c:v>10.647836559139783</c:v>
                </c:pt>
                <c:pt idx="7">
                  <c:v>11.276731182795697</c:v>
                </c:pt>
                <c:pt idx="8">
                  <c:v>11.90562580645161</c:v>
                </c:pt>
                <c:pt idx="9">
                  <c:v>12.534520430107523</c:v>
                </c:pt>
                <c:pt idx="10">
                  <c:v>13.163415053763439</c:v>
                </c:pt>
                <c:pt idx="11">
                  <c:v>13.792309677419354</c:v>
                </c:pt>
                <c:pt idx="12">
                  <c:v>14.421204301075266</c:v>
                </c:pt>
                <c:pt idx="13">
                  <c:v>15.050098924731179</c:v>
                </c:pt>
                <c:pt idx="14">
                  <c:v>15.678993548387094</c:v>
                </c:pt>
                <c:pt idx="15">
                  <c:v>16.307888172043011</c:v>
                </c:pt>
                <c:pt idx="16">
                  <c:v>16.936782795698925</c:v>
                </c:pt>
                <c:pt idx="17">
                  <c:v>17.565677419354838</c:v>
                </c:pt>
                <c:pt idx="18">
                  <c:v>18.194572043010751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6.4200107526881718</c:v>
                </c:pt>
                <c:pt idx="1">
                  <c:v>7.3881505376344085</c:v>
                </c:pt>
                <c:pt idx="2">
                  <c:v>8.3562903225806444</c:v>
                </c:pt>
                <c:pt idx="3">
                  <c:v>9.3244301075268812</c:v>
                </c:pt>
                <c:pt idx="4">
                  <c:v>10.292569892473118</c:v>
                </c:pt>
                <c:pt idx="5">
                  <c:v>11.260709677419355</c:v>
                </c:pt>
                <c:pt idx="6">
                  <c:v>12.228849462365591</c:v>
                </c:pt>
                <c:pt idx="7">
                  <c:v>13.196989247311828</c:v>
                </c:pt>
                <c:pt idx="8">
                  <c:v>14.165129032258063</c:v>
                </c:pt>
                <c:pt idx="9">
                  <c:v>15.133268817204302</c:v>
                </c:pt>
                <c:pt idx="10">
                  <c:v>16.101408602150535</c:v>
                </c:pt>
                <c:pt idx="11">
                  <c:v>17.069548387096773</c:v>
                </c:pt>
                <c:pt idx="12">
                  <c:v>18.037688172043012</c:v>
                </c:pt>
                <c:pt idx="13">
                  <c:v>19.005827956989251</c:v>
                </c:pt>
                <c:pt idx="14">
                  <c:v>19.973967741935489</c:v>
                </c:pt>
                <c:pt idx="15">
                  <c:v>20.942107526881724</c:v>
                </c:pt>
                <c:pt idx="16">
                  <c:v>21.910247311827963</c:v>
                </c:pt>
                <c:pt idx="17">
                  <c:v>22.878387096774201</c:v>
                </c:pt>
                <c:pt idx="18">
                  <c:v>23.84652688172044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5.9676430107526883</c:v>
                </c:pt>
                <c:pt idx="1">
                  <c:v>7.2734021505376347</c:v>
                </c:pt>
                <c:pt idx="2">
                  <c:v>8.5791612903225811</c:v>
                </c:pt>
                <c:pt idx="3">
                  <c:v>9.8849204301075293</c:v>
                </c:pt>
                <c:pt idx="4">
                  <c:v>11.190679569892474</c:v>
                </c:pt>
                <c:pt idx="5">
                  <c:v>12.49643870967742</c:v>
                </c:pt>
                <c:pt idx="6">
                  <c:v>13.802197849462367</c:v>
                </c:pt>
                <c:pt idx="7">
                  <c:v>15.107956989247311</c:v>
                </c:pt>
                <c:pt idx="8">
                  <c:v>16.413716129032256</c:v>
                </c:pt>
                <c:pt idx="9">
                  <c:v>17.719475268817202</c:v>
                </c:pt>
                <c:pt idx="10">
                  <c:v>19.025234408602149</c:v>
                </c:pt>
                <c:pt idx="11">
                  <c:v>20.330993548387099</c:v>
                </c:pt>
                <c:pt idx="12">
                  <c:v>21.636752688172045</c:v>
                </c:pt>
                <c:pt idx="13">
                  <c:v>22.942511827956992</c:v>
                </c:pt>
                <c:pt idx="14">
                  <c:v>24.248270967741941</c:v>
                </c:pt>
                <c:pt idx="15">
                  <c:v>25.554030107526888</c:v>
                </c:pt>
                <c:pt idx="16">
                  <c:v>26.859789247311838</c:v>
                </c:pt>
                <c:pt idx="17">
                  <c:v>28.165548387096784</c:v>
                </c:pt>
                <c:pt idx="18">
                  <c:v>29.471307526881734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8.8889833333333339</c:v>
                </c:pt>
                <c:pt idx="1">
                  <c:v>9.727566666666668</c:v>
                </c:pt>
                <c:pt idx="2">
                  <c:v>10.566150000000002</c:v>
                </c:pt>
                <c:pt idx="3">
                  <c:v>11.404733333333334</c:v>
                </c:pt>
                <c:pt idx="4">
                  <c:v>12.243316666666667</c:v>
                </c:pt>
                <c:pt idx="5">
                  <c:v>13.081900000000001</c:v>
                </c:pt>
                <c:pt idx="6">
                  <c:v>13.920483333333335</c:v>
                </c:pt>
                <c:pt idx="7">
                  <c:v>14.759066666666667</c:v>
                </c:pt>
                <c:pt idx="8">
                  <c:v>15.59765</c:v>
                </c:pt>
                <c:pt idx="9">
                  <c:v>16.43623333333333</c:v>
                </c:pt>
                <c:pt idx="10">
                  <c:v>17.274816666666666</c:v>
                </c:pt>
                <c:pt idx="11">
                  <c:v>18.113399999999999</c:v>
                </c:pt>
                <c:pt idx="12">
                  <c:v>18.951983333333331</c:v>
                </c:pt>
                <c:pt idx="13">
                  <c:v>19.790566666666667</c:v>
                </c:pt>
                <c:pt idx="14">
                  <c:v>20.629150000000003</c:v>
                </c:pt>
                <c:pt idx="15">
                  <c:v>21.467733333333332</c:v>
                </c:pt>
                <c:pt idx="16">
                  <c:v>22.306316666666667</c:v>
                </c:pt>
                <c:pt idx="17">
                  <c:v>23.144900000000003</c:v>
                </c:pt>
                <c:pt idx="18">
                  <c:v>23.983483333333336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8.0838333333333345</c:v>
                </c:pt>
                <c:pt idx="1">
                  <c:v>9.2796666666666674</c:v>
                </c:pt>
                <c:pt idx="2">
                  <c:v>10.475499999999998</c:v>
                </c:pt>
                <c:pt idx="3">
                  <c:v>11.671333333333333</c:v>
                </c:pt>
                <c:pt idx="4">
                  <c:v>12.867166666666666</c:v>
                </c:pt>
                <c:pt idx="5">
                  <c:v>14.062999999999997</c:v>
                </c:pt>
                <c:pt idx="6">
                  <c:v>15.258833333333328</c:v>
                </c:pt>
                <c:pt idx="7">
                  <c:v>16.454666666666665</c:v>
                </c:pt>
                <c:pt idx="8">
                  <c:v>17.650499999999997</c:v>
                </c:pt>
                <c:pt idx="9">
                  <c:v>18.846333333333327</c:v>
                </c:pt>
                <c:pt idx="10">
                  <c:v>20.04216666666666</c:v>
                </c:pt>
                <c:pt idx="11">
                  <c:v>21.237999999999996</c:v>
                </c:pt>
                <c:pt idx="12">
                  <c:v>22.433833333333329</c:v>
                </c:pt>
                <c:pt idx="13">
                  <c:v>23.629666666666662</c:v>
                </c:pt>
                <c:pt idx="14">
                  <c:v>24.825499999999995</c:v>
                </c:pt>
                <c:pt idx="15">
                  <c:v>26.021333333333331</c:v>
                </c:pt>
                <c:pt idx="16">
                  <c:v>27.217166666666664</c:v>
                </c:pt>
                <c:pt idx="17">
                  <c:v>28.413000000000004</c:v>
                </c:pt>
                <c:pt idx="18">
                  <c:v>29.608833333333333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7.2815119047619037</c:v>
                </c:pt>
                <c:pt idx="1">
                  <c:v>8.8333095238095218</c:v>
                </c:pt>
                <c:pt idx="2">
                  <c:v>10.385107142857143</c:v>
                </c:pt>
                <c:pt idx="3">
                  <c:v>11.93690476190476</c:v>
                </c:pt>
                <c:pt idx="4">
                  <c:v>13.488702380952377</c:v>
                </c:pt>
                <c:pt idx="5">
                  <c:v>15.040499999999996</c:v>
                </c:pt>
                <c:pt idx="6">
                  <c:v>16.592297619047613</c:v>
                </c:pt>
                <c:pt idx="7">
                  <c:v>18.144095238095233</c:v>
                </c:pt>
                <c:pt idx="8">
                  <c:v>19.695892857142852</c:v>
                </c:pt>
                <c:pt idx="9">
                  <c:v>21.247690476190467</c:v>
                </c:pt>
                <c:pt idx="10">
                  <c:v>22.79948809523809</c:v>
                </c:pt>
                <c:pt idx="11">
                  <c:v>24.351285714285709</c:v>
                </c:pt>
                <c:pt idx="12">
                  <c:v>25.903083333333324</c:v>
                </c:pt>
                <c:pt idx="13">
                  <c:v>27.454880952380947</c:v>
                </c:pt>
                <c:pt idx="14">
                  <c:v>29.006678571428566</c:v>
                </c:pt>
                <c:pt idx="15">
                  <c:v>30.558476190476188</c:v>
                </c:pt>
                <c:pt idx="16">
                  <c:v>32.110273809523804</c:v>
                </c:pt>
                <c:pt idx="17">
                  <c:v>33.66207142857143</c:v>
                </c:pt>
                <c:pt idx="18">
                  <c:v>35.213869047619049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10.707026133333335</c:v>
                </c:pt>
                <c:pt idx="1">
                  <c:v>11.765668266666667</c:v>
                </c:pt>
                <c:pt idx="2">
                  <c:v>12.8243104</c:v>
                </c:pt>
                <c:pt idx="3">
                  <c:v>13.882952533333333</c:v>
                </c:pt>
                <c:pt idx="4">
                  <c:v>14.941594666666667</c:v>
                </c:pt>
                <c:pt idx="5">
                  <c:v>16.0002368</c:v>
                </c:pt>
                <c:pt idx="6">
                  <c:v>17.058878933333336</c:v>
                </c:pt>
                <c:pt idx="7">
                  <c:v>18.117521066666665</c:v>
                </c:pt>
                <c:pt idx="8">
                  <c:v>19.176163200000001</c:v>
                </c:pt>
                <c:pt idx="9">
                  <c:v>20.234805333333334</c:v>
                </c:pt>
                <c:pt idx="10">
                  <c:v>21.293447466666667</c:v>
                </c:pt>
                <c:pt idx="11">
                  <c:v>22.352089599999999</c:v>
                </c:pt>
                <c:pt idx="12">
                  <c:v>23.410731733333336</c:v>
                </c:pt>
                <c:pt idx="13">
                  <c:v>24.469373866666668</c:v>
                </c:pt>
                <c:pt idx="14">
                  <c:v>25.528016000000004</c:v>
                </c:pt>
                <c:pt idx="15">
                  <c:v>26.586658133333337</c:v>
                </c:pt>
                <c:pt idx="16">
                  <c:v>27.645300266666673</c:v>
                </c:pt>
                <c:pt idx="17">
                  <c:v>28.703942400000006</c:v>
                </c:pt>
                <c:pt idx="18">
                  <c:v>29.762584533333342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9.467293333333334</c:v>
                </c:pt>
                <c:pt idx="1">
                  <c:v>10.905786666666666</c:v>
                </c:pt>
                <c:pt idx="2">
                  <c:v>12.344279999999999</c:v>
                </c:pt>
                <c:pt idx="3">
                  <c:v>13.782773333333331</c:v>
                </c:pt>
                <c:pt idx="4">
                  <c:v>15.221266666666665</c:v>
                </c:pt>
                <c:pt idx="5">
                  <c:v>16.659759999999995</c:v>
                </c:pt>
                <c:pt idx="6">
                  <c:v>18.098253333333332</c:v>
                </c:pt>
                <c:pt idx="7">
                  <c:v>19.536746666666662</c:v>
                </c:pt>
                <c:pt idx="8">
                  <c:v>20.975239999999996</c:v>
                </c:pt>
                <c:pt idx="9">
                  <c:v>22.41373333333333</c:v>
                </c:pt>
                <c:pt idx="10">
                  <c:v>23.85222666666666</c:v>
                </c:pt>
                <c:pt idx="11">
                  <c:v>25.290719999999993</c:v>
                </c:pt>
                <c:pt idx="12">
                  <c:v>26.72921333333333</c:v>
                </c:pt>
                <c:pt idx="13">
                  <c:v>28.167706666666664</c:v>
                </c:pt>
                <c:pt idx="14">
                  <c:v>29.606199999999998</c:v>
                </c:pt>
                <c:pt idx="15">
                  <c:v>31.044693333333331</c:v>
                </c:pt>
                <c:pt idx="16">
                  <c:v>32.483186666666661</c:v>
                </c:pt>
                <c:pt idx="17">
                  <c:v>33.921680000000002</c:v>
                </c:pt>
                <c:pt idx="18">
                  <c:v>35.360173333333336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8.2310741333333315</c:v>
                </c:pt>
                <c:pt idx="1">
                  <c:v>10.048324266666665</c:v>
                </c:pt>
                <c:pt idx="2">
                  <c:v>11.8655744</c:v>
                </c:pt>
                <c:pt idx="3">
                  <c:v>13.682824533333331</c:v>
                </c:pt>
                <c:pt idx="4">
                  <c:v>15.500074666666665</c:v>
                </c:pt>
                <c:pt idx="5">
                  <c:v>17.317324799999998</c:v>
                </c:pt>
                <c:pt idx="6">
                  <c:v>19.134574933333329</c:v>
                </c:pt>
                <c:pt idx="7">
                  <c:v>20.951825066666665</c:v>
                </c:pt>
                <c:pt idx="8">
                  <c:v>22.7690752</c:v>
                </c:pt>
                <c:pt idx="9">
                  <c:v>24.586325333333331</c:v>
                </c:pt>
                <c:pt idx="10">
                  <c:v>26.403575466666663</c:v>
                </c:pt>
                <c:pt idx="11">
                  <c:v>28.220825600000001</c:v>
                </c:pt>
                <c:pt idx="12">
                  <c:v>30.038075733333336</c:v>
                </c:pt>
                <c:pt idx="13">
                  <c:v>31.855325866666671</c:v>
                </c:pt>
                <c:pt idx="14">
                  <c:v>33.672575999999999</c:v>
                </c:pt>
                <c:pt idx="15">
                  <c:v>35.489826133333338</c:v>
                </c:pt>
                <c:pt idx="16">
                  <c:v>37.307076266666677</c:v>
                </c:pt>
                <c:pt idx="17">
                  <c:v>39.124326400000008</c:v>
                </c:pt>
                <c:pt idx="18">
                  <c:v>40.941576533333347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7.2717083333333346</c:v>
                </c:pt>
                <c:pt idx="1">
                  <c:v>8.8214166666666678</c:v>
                </c:pt>
                <c:pt idx="2">
                  <c:v>10.371125000000001</c:v>
                </c:pt>
                <c:pt idx="3">
                  <c:v>11.920833333333334</c:v>
                </c:pt>
                <c:pt idx="4">
                  <c:v>13.470541666666669</c:v>
                </c:pt>
                <c:pt idx="5">
                  <c:v>15.020250000000001</c:v>
                </c:pt>
                <c:pt idx="6">
                  <c:v>16.569958333333332</c:v>
                </c:pt>
                <c:pt idx="7">
                  <c:v>18.119666666666667</c:v>
                </c:pt>
                <c:pt idx="8">
                  <c:v>19.669375000000002</c:v>
                </c:pt>
                <c:pt idx="9">
                  <c:v>21.219083333333334</c:v>
                </c:pt>
                <c:pt idx="10">
                  <c:v>22.768791666666669</c:v>
                </c:pt>
                <c:pt idx="11">
                  <c:v>24.3185</c:v>
                </c:pt>
                <c:pt idx="12">
                  <c:v>25.868208333333339</c:v>
                </c:pt>
                <c:pt idx="13">
                  <c:v>27.417916666666674</c:v>
                </c:pt>
                <c:pt idx="14">
                  <c:v>28.967625000000009</c:v>
                </c:pt>
                <c:pt idx="15">
                  <c:v>30.517333333333344</c:v>
                </c:pt>
                <c:pt idx="16">
                  <c:v>32.067041666666675</c:v>
                </c:pt>
                <c:pt idx="17">
                  <c:v>33.61675000000001</c:v>
                </c:pt>
                <c:pt idx="18">
                  <c:v>35.166458333333345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8.222203733333334</c:v>
                </c:pt>
                <c:pt idx="1">
                  <c:v>10.037495466666668</c:v>
                </c:pt>
                <c:pt idx="2">
                  <c:v>11.852787200000002</c:v>
                </c:pt>
                <c:pt idx="3">
                  <c:v>13.668078933333335</c:v>
                </c:pt>
                <c:pt idx="4">
                  <c:v>15.483370666666669</c:v>
                </c:pt>
                <c:pt idx="5">
                  <c:v>17.298662400000001</c:v>
                </c:pt>
                <c:pt idx="6">
                  <c:v>19.113954133333333</c:v>
                </c:pt>
                <c:pt idx="7">
                  <c:v>20.929245866666669</c:v>
                </c:pt>
                <c:pt idx="8">
                  <c:v>22.744537600000001</c:v>
                </c:pt>
                <c:pt idx="9">
                  <c:v>24.559829333333337</c:v>
                </c:pt>
                <c:pt idx="10">
                  <c:v>26.375121066666669</c:v>
                </c:pt>
                <c:pt idx="11">
                  <c:v>28.190412800000004</c:v>
                </c:pt>
                <c:pt idx="12">
                  <c:v>30.005704533333336</c:v>
                </c:pt>
                <c:pt idx="13">
                  <c:v>31.820996266666675</c:v>
                </c:pt>
                <c:pt idx="14">
                  <c:v>33.636288000000015</c:v>
                </c:pt>
                <c:pt idx="15">
                  <c:v>35.451579733333347</c:v>
                </c:pt>
                <c:pt idx="16">
                  <c:v>37.266871466666686</c:v>
                </c:pt>
                <c:pt idx="17">
                  <c:v>39.082163200000018</c:v>
                </c:pt>
                <c:pt idx="18">
                  <c:v>40.897454933333357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L33" sqref="L33"/>
    </sheetView>
  </sheetViews>
  <sheetFormatPr defaultRowHeight="15" x14ac:dyDescent="0.25"/>
  <cols>
    <col min="9" max="9" width="13.7109375" customWidth="1"/>
  </cols>
  <sheetData>
    <row r="1" spans="1:15" x14ac:dyDescent="0.25">
      <c r="A1" s="17" t="s">
        <v>0</v>
      </c>
    </row>
    <row r="2" spans="1:15" x14ac:dyDescent="0.25">
      <c r="A2" s="17" t="s">
        <v>1</v>
      </c>
    </row>
    <row r="3" spans="1:15" x14ac:dyDescent="0.25">
      <c r="A3" s="17" t="s">
        <v>2</v>
      </c>
      <c r="H3" t="s">
        <v>3</v>
      </c>
    </row>
    <row r="4" spans="1:15" x14ac:dyDescent="0.25">
      <c r="A4" s="17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7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7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7" t="s">
        <v>22</v>
      </c>
    </row>
    <row r="8" spans="1:15" x14ac:dyDescent="0.25">
      <c r="A8" s="17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7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7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7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7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7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7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7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7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7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7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7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7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7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7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7" t="s">
        <v>150</v>
      </c>
    </row>
    <row r="24" spans="1:14" x14ac:dyDescent="0.25">
      <c r="A24" s="17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7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7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7" t="s">
        <v>39</v>
      </c>
    </row>
    <row r="28" spans="1:14" x14ac:dyDescent="0.25">
      <c r="A28" s="17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7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7" t="s">
        <v>42</v>
      </c>
    </row>
    <row r="31" spans="1:14" x14ac:dyDescent="0.25">
      <c r="A31" s="17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7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7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7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7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7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7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7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7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7" t="s">
        <v>52</v>
      </c>
    </row>
    <row r="41" spans="1:14" x14ac:dyDescent="0.25">
      <c r="A41" s="17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7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7" t="s">
        <v>55</v>
      </c>
    </row>
    <row r="44" spans="1:14" x14ac:dyDescent="0.25">
      <c r="A44" s="17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7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7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7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7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7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7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7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7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7" t="s">
        <v>65</v>
      </c>
    </row>
    <row r="54" spans="1:14" x14ac:dyDescent="0.25">
      <c r="A54" s="17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7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7" t="s">
        <v>68</v>
      </c>
    </row>
    <row r="57" spans="1:14" x14ac:dyDescent="0.25">
      <c r="A57" s="17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7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7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7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7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7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7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7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7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7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7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7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7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7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7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7" t="s">
        <v>150</v>
      </c>
    </row>
    <row r="73" spans="1:14" x14ac:dyDescent="0.25">
      <c r="A73" s="17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7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7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7" t="s">
        <v>84</v>
      </c>
    </row>
    <row r="77" spans="1:14" x14ac:dyDescent="0.25">
      <c r="A77" s="17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7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7" t="s">
        <v>87</v>
      </c>
    </row>
    <row r="80" spans="1:14" x14ac:dyDescent="0.25">
      <c r="A80" s="17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7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7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7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7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7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7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7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7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7" t="s">
        <v>97</v>
      </c>
    </row>
    <row r="90" spans="1:14" x14ac:dyDescent="0.25">
      <c r="A90" s="17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18</v>
      </c>
      <c r="K90">
        <v>18</v>
      </c>
      <c r="L90">
        <v>20</v>
      </c>
      <c r="M90">
        <v>0.75</v>
      </c>
      <c r="N90">
        <v>0</v>
      </c>
    </row>
    <row r="91" spans="1:14" x14ac:dyDescent="0.25">
      <c r="A91" s="17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18</v>
      </c>
      <c r="K91">
        <v>18</v>
      </c>
      <c r="L91">
        <v>20</v>
      </c>
      <c r="M91">
        <v>0.75</v>
      </c>
      <c r="N91">
        <v>0</v>
      </c>
    </row>
    <row r="92" spans="1:14" x14ac:dyDescent="0.25">
      <c r="A92" s="17" t="s">
        <v>100</v>
      </c>
    </row>
    <row r="93" spans="1:14" x14ac:dyDescent="0.25">
      <c r="A93" s="17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7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7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7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7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7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7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7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7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7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7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7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7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7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7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7" t="s">
        <v>157</v>
      </c>
    </row>
    <row r="109" spans="1:14" x14ac:dyDescent="0.25">
      <c r="A109" s="17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7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7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7" t="s">
        <v>116</v>
      </c>
    </row>
    <row r="113" spans="1:14" x14ac:dyDescent="0.25">
      <c r="A113" s="17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7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7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7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7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7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7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7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7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7" t="s">
        <v>126</v>
      </c>
    </row>
    <row r="123" spans="1:14" x14ac:dyDescent="0.25">
      <c r="A123" s="17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7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7" t="s">
        <v>161</v>
      </c>
    </row>
    <row r="126" spans="1:14" x14ac:dyDescent="0.25">
      <c r="A126" s="17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7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7" t="s">
        <v>164</v>
      </c>
    </row>
    <row r="129" spans="1:14" x14ac:dyDescent="0.25">
      <c r="A129" s="17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7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7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7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7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7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7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7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7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7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7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7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7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7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7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7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7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7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7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7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7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7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7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7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7" t="s">
        <v>189</v>
      </c>
    </row>
    <row r="154" spans="1:14" x14ac:dyDescent="0.25">
      <c r="A154" s="17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7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7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7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7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7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7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7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7" t="s">
        <v>198</v>
      </c>
    </row>
    <row r="163" spans="1:14" x14ac:dyDescent="0.25">
      <c r="A163" s="17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7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7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7" t="s">
        <v>202</v>
      </c>
    </row>
    <row r="167" spans="1:14" x14ac:dyDescent="0.25">
      <c r="A167" s="17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7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7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7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7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7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7" t="s">
        <v>209</v>
      </c>
    </row>
    <row r="174" spans="1:14" x14ac:dyDescent="0.25">
      <c r="A174" s="17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7" t="s">
        <v>211</v>
      </c>
    </row>
    <row r="176" spans="1:14" x14ac:dyDescent="0.25">
      <c r="A176" s="17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7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7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abSelected="1" topLeftCell="A100" workbookViewId="0">
      <selection activeCell="T114" sqref="T114:T115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244</v>
      </c>
      <c r="J1" t="s">
        <v>245</v>
      </c>
      <c r="N1" s="16" t="s">
        <v>130</v>
      </c>
      <c r="O1" s="16" t="s">
        <v>23</v>
      </c>
      <c r="P1" s="16" t="s">
        <v>144</v>
      </c>
      <c r="Q1" s="16" t="s">
        <v>236</v>
      </c>
      <c r="R1">
        <v>1</v>
      </c>
      <c r="T1" s="16" t="s">
        <v>252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21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246</v>
      </c>
      <c r="F3" s="11">
        <v>1</v>
      </c>
      <c r="G3" s="12">
        <f>F3*F$6</f>
        <v>0.1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247</v>
      </c>
      <c r="F4" s="11">
        <v>0.8</v>
      </c>
      <c r="G4" s="12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248</v>
      </c>
      <c r="F5" s="11">
        <v>0.2</v>
      </c>
      <c r="G5" s="12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1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242</v>
      </c>
      <c r="F7" s="13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243</v>
      </c>
      <c r="F8" s="13">
        <v>0.2</v>
      </c>
      <c r="H8" s="14" t="s">
        <v>141</v>
      </c>
      <c r="I8" s="14"/>
      <c r="J8" s="14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5">
        <v>1</v>
      </c>
      <c r="I9" s="15">
        <v>2</v>
      </c>
      <c r="J9" s="15">
        <v>3</v>
      </c>
      <c r="K9" s="16"/>
      <c r="S9">
        <v>30</v>
      </c>
      <c r="T9" s="2"/>
      <c r="U9" s="2"/>
    </row>
    <row r="10" spans="1:29" x14ac:dyDescent="0.25">
      <c r="A10" s="2" t="s">
        <v>249</v>
      </c>
      <c r="B10" s="2" t="s">
        <v>139</v>
      </c>
      <c r="C10" t="s">
        <v>130</v>
      </c>
      <c r="D10" t="s">
        <v>129</v>
      </c>
      <c r="E10" s="3" t="s">
        <v>22</v>
      </c>
      <c r="F10" s="15" t="s">
        <v>132</v>
      </c>
      <c r="G10" s="15" t="s">
        <v>133</v>
      </c>
      <c r="H10" s="15" t="s">
        <v>134</v>
      </c>
      <c r="I10" s="15" t="s">
        <v>135</v>
      </c>
      <c r="J10" s="15" t="s">
        <v>136</v>
      </c>
      <c r="K10" s="15" t="s">
        <v>142</v>
      </c>
      <c r="L10" s="15" t="s">
        <v>143</v>
      </c>
      <c r="M10" s="15" t="s">
        <v>145</v>
      </c>
      <c r="N10" s="15" t="s">
        <v>240</v>
      </c>
      <c r="O10" s="15" t="s">
        <v>215</v>
      </c>
      <c r="P10" s="15" t="s">
        <v>216</v>
      </c>
      <c r="Q10" s="15" t="s">
        <v>217</v>
      </c>
      <c r="R10" s="15" t="s">
        <v>21</v>
      </c>
      <c r="S10" s="15" t="s">
        <v>241</v>
      </c>
      <c r="T10" s="15" t="s">
        <v>252</v>
      </c>
      <c r="U10" s="2"/>
    </row>
    <row r="11" spans="1:29" x14ac:dyDescent="0.25">
      <c r="A11" s="23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1">
        <f>1-((1-(I11/G11))/INDEX($P$2:$P$6,C11))</f>
        <v>-1.6666666666666661</v>
      </c>
      <c r="L11" s="22">
        <f>(INDEX($Q$2:$Q$6,C11)/((1/INDEX($F$4:$F$6,J$9))-1))</f>
        <v>1.6666666666666666E-2</v>
      </c>
      <c r="M11" s="11">
        <v>0</v>
      </c>
      <c r="N11" s="2">
        <f>((AVERAGE(O11,P11)*R11)/Q11)/INDEX($R$1:$R$3,D11+2)</f>
        <v>2.5630000000000002</v>
      </c>
      <c r="O11" s="2">
        <f>0.75*(((G11*INDEX($R$1:$R$3,$D11+2))*Q11)/R11)</f>
        <v>10.447010869565219</v>
      </c>
      <c r="P11">
        <f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$S$9*(1+(D11*$F$8))</f>
        <v>24</v>
      </c>
      <c r="T11" s="2">
        <v>0</v>
      </c>
      <c r="U11" s="2"/>
    </row>
    <row r="12" spans="1:29" x14ac:dyDescent="0.25">
      <c r="A12" s="23">
        <f t="shared" ref="A12:A75" si="6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7">($F$2+(C12*$F$1))*(B12+1)+A12</f>
        <v>2.5449999999999999</v>
      </c>
      <c r="G12" s="2">
        <f>IF(G$9=1,H12,H12/(1-(INDEX($O$2:$O$6,C12)/2)))</f>
        <v>2.7995000000000001</v>
      </c>
      <c r="H12" s="2">
        <f t="shared" ref="H12:H25" si="8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1">
        <f>1-((1-(I12/G12))/INDEX($P$2:$P$6,C12))</f>
        <v>-3.6060606060606082</v>
      </c>
      <c r="L12" s="11">
        <f t="shared" ref="L12:L25" si="9">(INDEX($Q$2:$Q$6,C12)/((1/INDEX($F$4:$F$6,J$9))-1))</f>
        <v>1.6666666666666666E-2</v>
      </c>
      <c r="M12" s="11">
        <v>0</v>
      </c>
      <c r="N12" s="2">
        <f t="shared" ref="N12:N25" si="10">((AVERAGE(O12,P12)*R12)/Q12)/INDEX($R$1:$R$3,D12+2)</f>
        <v>2.7995000000000001</v>
      </c>
      <c r="O12" s="2">
        <f>0.75*(((G12*INDEX($R$1:$R$3,$D12+2))*Q12)/R12)</f>
        <v>19.683984374999998</v>
      </c>
      <c r="P12" s="2">
        <f>1.25*(((G12*INDEX($R$1:$R$3,$D12+2))*Q12)/R12)</f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">
        <f t="shared" ref="S12:S75" si="11">$S$9*(1+(D12*$F$8))</f>
        <v>30</v>
      </c>
      <c r="T12" s="2">
        <v>0</v>
      </c>
      <c r="U12" s="2"/>
    </row>
    <row r="13" spans="1:29" x14ac:dyDescent="0.25">
      <c r="A13" s="23">
        <f t="shared" si="6"/>
        <v>2.7E-2</v>
      </c>
      <c r="C13">
        <v>1</v>
      </c>
      <c r="D13">
        <v>1</v>
      </c>
      <c r="E13" s="5" t="s">
        <v>26</v>
      </c>
      <c r="F13" s="2">
        <f t="shared" si="7"/>
        <v>2.5270000000000001</v>
      </c>
      <c r="G13" s="2">
        <f t="shared" ref="G12:G25" si="12">IF(G$9=1,H13,H13/(1-(INDEX($O$2:$O$6,C13)/2)))</f>
        <v>3.0324</v>
      </c>
      <c r="H13" s="2">
        <f t="shared" si="8"/>
        <v>3.0324</v>
      </c>
      <c r="I13" s="2">
        <f t="shared" si="5"/>
        <v>1.6172800000000001</v>
      </c>
      <c r="J13" s="2">
        <f t="shared" si="5"/>
        <v>0.40432000000000001</v>
      </c>
      <c r="K13" s="11">
        <f>1-((1-(I13/G13))/INDEX($P$2:$P$6,C13))</f>
        <v>-5.2222222222222223</v>
      </c>
      <c r="L13" s="11">
        <f t="shared" si="9"/>
        <v>1.6666666666666666E-2</v>
      </c>
      <c r="M13" s="11">
        <v>0</v>
      </c>
      <c r="N13" s="2">
        <f t="shared" si="10"/>
        <v>3.0324</v>
      </c>
      <c r="O13" s="2">
        <f>0.75*(((G13*INDEX($R$1:$R$3,$D13+2))*Q13)/R13)</f>
        <v>45.485999999999997</v>
      </c>
      <c r="P13" s="2">
        <f>1.25*(((G13*INDEX($R$1:$R$3,$D13+2))*Q13)/R13)</f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">
        <f t="shared" si="11"/>
        <v>36</v>
      </c>
      <c r="T13" s="2">
        <v>0</v>
      </c>
      <c r="U13" s="2"/>
    </row>
    <row r="14" spans="1:29" x14ac:dyDescent="0.25">
      <c r="A14" s="23">
        <f t="shared" si="6"/>
        <v>6.3E-2</v>
      </c>
      <c r="C14">
        <v>2</v>
      </c>
      <c r="D14">
        <v>-1</v>
      </c>
      <c r="E14" s="5" t="s">
        <v>27</v>
      </c>
      <c r="F14" s="2">
        <f t="shared" si="7"/>
        <v>5.0629999999999997</v>
      </c>
      <c r="G14" s="2">
        <f t="shared" si="12"/>
        <v>5.5693000000000001</v>
      </c>
      <c r="H14" s="2">
        <f t="shared" si="8"/>
        <v>5.5693000000000001</v>
      </c>
      <c r="I14" s="2">
        <f t="shared" si="5"/>
        <v>3.6453599999999997</v>
      </c>
      <c r="J14" s="2">
        <f t="shared" si="5"/>
        <v>0.91133999999999993</v>
      </c>
      <c r="K14" s="11">
        <f>1-((1-(I14/G14))/INDEX($P$2:$P$6,C14))</f>
        <v>-1.3030303030303041</v>
      </c>
      <c r="L14" s="11">
        <f t="shared" si="9"/>
        <v>3.3333333333333333E-2</v>
      </c>
      <c r="M14" s="11">
        <v>0</v>
      </c>
      <c r="N14" s="2">
        <f t="shared" si="10"/>
        <v>5.5693000000000001</v>
      </c>
      <c r="O14" s="2">
        <f>0.75*(((G14*INDEX($R$1:$R$3,$D14+2))*Q14)/R14)</f>
        <v>19.102019817073174</v>
      </c>
      <c r="P14" s="2">
        <f>1.25*(((G14*INDEX($R$1:$R$3,$D14+2))*Q14)/R14)</f>
        <v>31.836699695121954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">
        <f t="shared" si="11"/>
        <v>24</v>
      </c>
      <c r="T14" s="2">
        <v>0</v>
      </c>
      <c r="U14" s="2"/>
    </row>
    <row r="15" spans="1:29" x14ac:dyDescent="0.25">
      <c r="A15" s="23">
        <f t="shared" si="6"/>
        <v>4.4999999999999998E-2</v>
      </c>
      <c r="C15">
        <v>2</v>
      </c>
      <c r="D15">
        <v>0</v>
      </c>
      <c r="E15" s="5" t="s">
        <v>28</v>
      </c>
      <c r="F15" s="2">
        <f t="shared" si="7"/>
        <v>5.0449999999999999</v>
      </c>
      <c r="G15" s="2">
        <f t="shared" si="12"/>
        <v>6.0539999999999994</v>
      </c>
      <c r="H15" s="2">
        <f t="shared" si="8"/>
        <v>6.0539999999999994</v>
      </c>
      <c r="I15" s="2">
        <f t="shared" si="5"/>
        <v>3.2288000000000001</v>
      </c>
      <c r="J15" s="2">
        <f t="shared" si="5"/>
        <v>0.80720000000000003</v>
      </c>
      <c r="K15" s="11">
        <f>1-((1-(I15/G15))/INDEX($P$2:$P$6,C15))</f>
        <v>-2.1111111111111107</v>
      </c>
      <c r="L15" s="11">
        <f t="shared" si="9"/>
        <v>3.3333333333333333E-2</v>
      </c>
      <c r="M15" s="11">
        <v>0</v>
      </c>
      <c r="N15" s="2">
        <f t="shared" si="10"/>
        <v>6.0539999999999994</v>
      </c>
      <c r="O15" s="2">
        <f>0.75*(((G15*INDEX($R$1:$R$3,$D15+2))*Q15)/R15)</f>
        <v>42.567187499999989</v>
      </c>
      <c r="P15" s="2">
        <f>1.25*(((G15*INDEX($R$1:$R$3,$D15+2))*Q15)/R15)</f>
        <v>70.945312499999986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">
        <f t="shared" si="11"/>
        <v>30</v>
      </c>
      <c r="T15" s="2">
        <v>0</v>
      </c>
      <c r="U15" s="2"/>
    </row>
    <row r="16" spans="1:29" x14ac:dyDescent="0.25">
      <c r="A16" s="23">
        <f t="shared" si="6"/>
        <v>2.7E-2</v>
      </c>
      <c r="C16">
        <v>2</v>
      </c>
      <c r="D16">
        <v>1</v>
      </c>
      <c r="E16" s="5" t="s">
        <v>29</v>
      </c>
      <c r="F16" s="2">
        <f t="shared" si="7"/>
        <v>5.0270000000000001</v>
      </c>
      <c r="G16" s="2">
        <f t="shared" si="12"/>
        <v>6.5351000000000008</v>
      </c>
      <c r="H16" s="2">
        <f t="shared" si="8"/>
        <v>6.5351000000000008</v>
      </c>
      <c r="I16" s="2">
        <f t="shared" si="5"/>
        <v>2.8151200000000003</v>
      </c>
      <c r="J16" s="2">
        <f t="shared" si="5"/>
        <v>0.70378000000000007</v>
      </c>
      <c r="K16" s="11">
        <f>1-((1-(I16/G16))/INDEX($P$2:$P$6,C16))</f>
        <v>-2.7948717948717947</v>
      </c>
      <c r="L16" s="11">
        <f t="shared" si="9"/>
        <v>3.3333333333333333E-2</v>
      </c>
      <c r="M16" s="11">
        <v>0</v>
      </c>
      <c r="N16" s="2">
        <f t="shared" si="10"/>
        <v>6.5351000000000017</v>
      </c>
      <c r="O16" s="2">
        <f>0.75*(((G16*INDEX($R$1:$R$3,$D16+2))*Q16)/R16)</f>
        <v>98.026500000000027</v>
      </c>
      <c r="P16" s="2">
        <f>1.25*(((G16*INDEX($R$1:$R$3,$D16+2))*Q16)/R16)</f>
        <v>163.37750000000003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">
        <f t="shared" si="11"/>
        <v>36</v>
      </c>
      <c r="T16" s="2">
        <v>0</v>
      </c>
      <c r="U16" s="2"/>
    </row>
    <row r="17" spans="1:42" x14ac:dyDescent="0.25">
      <c r="A17" s="23">
        <f t="shared" si="6"/>
        <v>6.3E-2</v>
      </c>
      <c r="C17" s="2">
        <v>3</v>
      </c>
      <c r="D17" s="2">
        <v>-1</v>
      </c>
      <c r="E17" s="5" t="s">
        <v>30</v>
      </c>
      <c r="F17" s="2">
        <f t="shared" si="7"/>
        <v>7.5629999999999997</v>
      </c>
      <c r="G17" s="2">
        <f t="shared" si="12"/>
        <v>9.0755999999999997</v>
      </c>
      <c r="H17" s="2">
        <f t="shared" si="8"/>
        <v>9.0755999999999997</v>
      </c>
      <c r="I17" s="2">
        <f t="shared" si="5"/>
        <v>4.8403200000000002</v>
      </c>
      <c r="J17" s="2">
        <f t="shared" si="5"/>
        <v>1.21008</v>
      </c>
      <c r="K17" s="11">
        <f>1-((1-(I17/G17))/INDEX($P$2:$P$6,C17))</f>
        <v>-1.0740740740740744</v>
      </c>
      <c r="L17" s="11">
        <f t="shared" si="9"/>
        <v>4.9999999999999996E-2</v>
      </c>
      <c r="M17" s="11">
        <v>0</v>
      </c>
      <c r="N17" s="2">
        <f t="shared" si="10"/>
        <v>9.0755999999999997</v>
      </c>
      <c r="O17" s="2">
        <f>0.75*(((G17*INDEX($R$1:$R$3,$D17+2))*Q17)/R17)</f>
        <v>31.128201219512192</v>
      </c>
      <c r="P17" s="2">
        <f>1.25*(((G17*INDEX($R$1:$R$3,$D17+2))*Q17)/R17)</f>
        <v>51.880335365853654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">
        <f t="shared" si="11"/>
        <v>24</v>
      </c>
      <c r="T17" s="2">
        <v>0</v>
      </c>
      <c r="U17" s="2"/>
    </row>
    <row r="18" spans="1:42" x14ac:dyDescent="0.25">
      <c r="A18" s="23">
        <f t="shared" si="6"/>
        <v>4.4999999999999998E-2</v>
      </c>
      <c r="C18" s="2">
        <v>3</v>
      </c>
      <c r="D18" s="2">
        <v>0</v>
      </c>
      <c r="E18" s="5" t="s">
        <v>31</v>
      </c>
      <c r="F18" s="2">
        <f t="shared" si="7"/>
        <v>7.5449999999999999</v>
      </c>
      <c r="G18" s="2">
        <f t="shared" si="12"/>
        <v>9.8085000000000004</v>
      </c>
      <c r="H18" s="2">
        <f t="shared" si="8"/>
        <v>9.8085000000000004</v>
      </c>
      <c r="I18" s="2">
        <f t="shared" si="5"/>
        <v>4.2252000000000001</v>
      </c>
      <c r="J18" s="2">
        <f t="shared" si="5"/>
        <v>1.0563</v>
      </c>
      <c r="K18" s="11">
        <f>1-((1-(I18/G18))/INDEX($P$2:$P$6,C18))</f>
        <v>-1.5299145299145303</v>
      </c>
      <c r="L18" s="11">
        <f t="shared" si="9"/>
        <v>4.9999999999999996E-2</v>
      </c>
      <c r="M18" s="11">
        <v>0</v>
      </c>
      <c r="N18" s="2">
        <f t="shared" si="10"/>
        <v>9.8085000000000004</v>
      </c>
      <c r="O18" s="2">
        <f>0.75*(((G18*INDEX($R$1:$R$3,$D18+2))*Q18)/R18)</f>
        <v>68.966015624999997</v>
      </c>
      <c r="P18" s="2">
        <f>1.25*(((G18*INDEX($R$1:$R$3,$D18+2))*Q18)/R18)</f>
        <v>114.94335937499999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">
        <f t="shared" si="11"/>
        <v>30</v>
      </c>
      <c r="T18" s="2">
        <v>0</v>
      </c>
      <c r="U18" s="2"/>
    </row>
    <row r="19" spans="1:42" x14ac:dyDescent="0.25">
      <c r="A19" s="23">
        <f t="shared" si="6"/>
        <v>2.7E-2</v>
      </c>
      <c r="C19" s="2">
        <v>3</v>
      </c>
      <c r="D19" s="2">
        <v>1</v>
      </c>
      <c r="E19" s="5" t="s">
        <v>32</v>
      </c>
      <c r="F19" s="2">
        <f t="shared" si="7"/>
        <v>7.5270000000000001</v>
      </c>
      <c r="G19" s="2">
        <f t="shared" si="12"/>
        <v>10.537799999999999</v>
      </c>
      <c r="H19" s="2">
        <f t="shared" si="8"/>
        <v>10.537799999999999</v>
      </c>
      <c r="I19" s="2">
        <f t="shared" si="5"/>
        <v>3.6129599999999997</v>
      </c>
      <c r="J19" s="2">
        <f t="shared" si="5"/>
        <v>0.90323999999999993</v>
      </c>
      <c r="K19" s="11">
        <f t="shared" ref="K12:K25" si="13">1-((1-(I19/G19))/INDEX($P$2:$P$6,C19))</f>
        <v>-1.9206349206349209</v>
      </c>
      <c r="L19" s="11">
        <f t="shared" si="9"/>
        <v>4.9999999999999996E-2</v>
      </c>
      <c r="M19" s="11">
        <v>0</v>
      </c>
      <c r="N19" s="2">
        <f t="shared" si="10"/>
        <v>10.537799999999999</v>
      </c>
      <c r="O19" s="2">
        <f>0.75*(((G19*INDEX($R$1:$R$3,$D19+2))*Q19)/R19)</f>
        <v>158.06699999999998</v>
      </c>
      <c r="P19" s="2">
        <f>1.25*(((G19*INDEX($R$1:$R$3,$D19+2))*Q19)/R19)</f>
        <v>263.44499999999994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">
        <f t="shared" si="11"/>
        <v>36</v>
      </c>
      <c r="T19" s="2">
        <v>0</v>
      </c>
      <c r="U19" s="2"/>
    </row>
    <row r="20" spans="1:42" x14ac:dyDescent="0.25">
      <c r="A20" s="23">
        <f t="shared" si="6"/>
        <v>6.3E-2</v>
      </c>
      <c r="C20" s="2">
        <v>4</v>
      </c>
      <c r="D20" s="2">
        <v>-1</v>
      </c>
      <c r="E20" s="5" t="s">
        <v>33</v>
      </c>
      <c r="F20" s="2">
        <f t="shared" si="7"/>
        <v>10.063000000000001</v>
      </c>
      <c r="G20" s="2">
        <f t="shared" si="12"/>
        <v>13.081900000000001</v>
      </c>
      <c r="H20" s="2">
        <f t="shared" si="8"/>
        <v>13.081900000000001</v>
      </c>
      <c r="I20" s="2">
        <f t="shared" si="5"/>
        <v>5.6352800000000007</v>
      </c>
      <c r="J20" s="2">
        <f t="shared" si="5"/>
        <v>1.4088200000000002</v>
      </c>
      <c r="K20" s="11">
        <f t="shared" si="13"/>
        <v>-0.89743589743589736</v>
      </c>
      <c r="L20" s="11">
        <f t="shared" si="9"/>
        <v>6.6666666666666666E-2</v>
      </c>
      <c r="M20" s="11">
        <v>0</v>
      </c>
      <c r="N20" s="2">
        <f t="shared" si="10"/>
        <v>13.081899999999999</v>
      </c>
      <c r="O20" s="2">
        <f>0.75*(((G20*INDEX($R$1:$R$3,$D20+2))*Q20)/R20)</f>
        <v>44.869321646341469</v>
      </c>
      <c r="P20" s="2">
        <f>1.25*(((G20*INDEX($R$1:$R$3,$D20+2))*Q20)/R20)</f>
        <v>74.782202743902445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">
        <f t="shared" si="11"/>
        <v>24</v>
      </c>
      <c r="T20" s="2">
        <v>0</v>
      </c>
      <c r="U20" s="2"/>
      <c r="X20" s="16"/>
      <c r="Y20" s="16"/>
    </row>
    <row r="21" spans="1:42" x14ac:dyDescent="0.25">
      <c r="A21" s="23">
        <f t="shared" si="6"/>
        <v>4.4999999999999998E-2</v>
      </c>
      <c r="C21" s="2">
        <v>4</v>
      </c>
      <c r="D21" s="2">
        <v>0</v>
      </c>
      <c r="E21" s="5" t="s">
        <v>34</v>
      </c>
      <c r="F21" s="2">
        <f t="shared" si="7"/>
        <v>10.045</v>
      </c>
      <c r="G21" s="2">
        <f t="shared" si="12"/>
        <v>14.062999999999999</v>
      </c>
      <c r="H21" s="2">
        <f t="shared" si="8"/>
        <v>14.062999999999999</v>
      </c>
      <c r="I21" s="2">
        <f t="shared" si="5"/>
        <v>4.8216000000000001</v>
      </c>
      <c r="J21" s="2">
        <f t="shared" si="5"/>
        <v>1.2054</v>
      </c>
      <c r="K21" s="11">
        <f t="shared" si="13"/>
        <v>-1.1904761904761902</v>
      </c>
      <c r="L21" s="11">
        <f t="shared" si="9"/>
        <v>6.6666666666666666E-2</v>
      </c>
      <c r="M21" s="11">
        <v>0</v>
      </c>
      <c r="N21" s="2">
        <f t="shared" si="10"/>
        <v>14.062999999999999</v>
      </c>
      <c r="O21" s="2">
        <f>0.75*(((G21*INDEX($R$1:$R$3,$D21+2))*Q21)/R21)</f>
        <v>98.880468749999991</v>
      </c>
      <c r="P21" s="2">
        <f>1.25*(((G21*INDEX($R$1:$R$3,$D21+2))*Q21)/R21)</f>
        <v>164.80078125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">
        <f t="shared" si="11"/>
        <v>30</v>
      </c>
      <c r="T21" s="2">
        <v>0</v>
      </c>
      <c r="U21" s="2"/>
    </row>
    <row r="22" spans="1:42" x14ac:dyDescent="0.25">
      <c r="A22" s="23">
        <f t="shared" si="6"/>
        <v>2.7E-2</v>
      </c>
      <c r="C22" s="2">
        <v>4</v>
      </c>
      <c r="D22" s="2">
        <v>1</v>
      </c>
      <c r="E22" s="5" t="s">
        <v>35</v>
      </c>
      <c r="F22" s="2">
        <f t="shared" si="7"/>
        <v>10.026999999999999</v>
      </c>
      <c r="G22" s="2">
        <f t="shared" si="12"/>
        <v>15.040499999999998</v>
      </c>
      <c r="H22" s="2">
        <f t="shared" si="8"/>
        <v>15.040499999999998</v>
      </c>
      <c r="I22" s="2">
        <f t="shared" si="5"/>
        <v>4.0107999999999997</v>
      </c>
      <c r="J22" s="2">
        <f t="shared" si="5"/>
        <v>1.0026999999999999</v>
      </c>
      <c r="K22" s="11">
        <f t="shared" si="13"/>
        <v>-1.4444444444444446</v>
      </c>
      <c r="L22" s="11">
        <f t="shared" si="9"/>
        <v>6.6666666666666666E-2</v>
      </c>
      <c r="M22" s="11">
        <v>0</v>
      </c>
      <c r="N22" s="2">
        <f t="shared" si="10"/>
        <v>15.040499999999998</v>
      </c>
      <c r="O22" s="2">
        <f>0.75*(((G22*INDEX($R$1:$R$3,$D22+2))*Q22)/R22)</f>
        <v>225.60749999999996</v>
      </c>
      <c r="P22" s="2">
        <f>1.25*(((G22*INDEX($R$1:$R$3,$D22+2))*Q22)/R22)</f>
        <v>376.01249999999993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">
        <f t="shared" si="11"/>
        <v>36</v>
      </c>
      <c r="T22" s="2">
        <v>0</v>
      </c>
      <c r="U22" s="2"/>
    </row>
    <row r="23" spans="1:42" x14ac:dyDescent="0.25">
      <c r="A23" s="23">
        <f t="shared" si="6"/>
        <v>6.3E-2</v>
      </c>
      <c r="C23" s="2">
        <v>5</v>
      </c>
      <c r="D23" s="2">
        <v>-1</v>
      </c>
      <c r="E23" s="5" t="s">
        <v>36</v>
      </c>
      <c r="F23" s="2">
        <f t="shared" si="7"/>
        <v>12.563000000000001</v>
      </c>
      <c r="G23" s="2">
        <f t="shared" si="12"/>
        <v>17.588200000000001</v>
      </c>
      <c r="H23" s="2">
        <f t="shared" si="8"/>
        <v>17.588200000000001</v>
      </c>
      <c r="I23" s="2">
        <f t="shared" si="5"/>
        <v>6.03024</v>
      </c>
      <c r="J23" s="2">
        <f t="shared" si="5"/>
        <v>1.50756</v>
      </c>
      <c r="K23" s="11">
        <f t="shared" si="13"/>
        <v>-0.75238095238095237</v>
      </c>
      <c r="L23" s="11">
        <f t="shared" si="9"/>
        <v>8.3333333333333329E-2</v>
      </c>
      <c r="M23" s="11">
        <v>0</v>
      </c>
      <c r="N23" s="2">
        <f t="shared" si="10"/>
        <v>17.588199999999997</v>
      </c>
      <c r="O23" s="2">
        <f>0.75*(((G23*INDEX($R$1:$R$3,$D23+2))*Q23)/R23)</f>
        <v>60.325381097560978</v>
      </c>
      <c r="P23" s="2">
        <f>1.25*(((G23*INDEX($R$1:$R$3,$D23+2))*Q23)/R23)</f>
        <v>100.5423018292683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">
        <f t="shared" si="11"/>
        <v>24</v>
      </c>
      <c r="T23" s="2">
        <v>0</v>
      </c>
      <c r="U23" s="2"/>
    </row>
    <row r="24" spans="1:42" x14ac:dyDescent="0.25">
      <c r="A24" s="23">
        <f t="shared" si="6"/>
        <v>4.4999999999999998E-2</v>
      </c>
      <c r="C24" s="2">
        <v>5</v>
      </c>
      <c r="D24" s="2">
        <v>0</v>
      </c>
      <c r="E24" s="5" t="s">
        <v>37</v>
      </c>
      <c r="F24" s="2">
        <f t="shared" si="7"/>
        <v>12.545</v>
      </c>
      <c r="G24" s="2">
        <f t="shared" si="12"/>
        <v>18.817499999999999</v>
      </c>
      <c r="H24" s="2">
        <f t="shared" si="8"/>
        <v>18.817499999999999</v>
      </c>
      <c r="I24" s="2">
        <f t="shared" si="5"/>
        <v>5.0179999999999998</v>
      </c>
      <c r="J24" s="2">
        <f t="shared" si="5"/>
        <v>1.2544999999999999</v>
      </c>
      <c r="K24" s="11">
        <f>1-((1-(I24/G24))/INDEX($P$2:$P$6,C24))</f>
        <v>-0.95555555555555571</v>
      </c>
      <c r="L24" s="11">
        <f t="shared" si="9"/>
        <v>8.3333333333333329E-2</v>
      </c>
      <c r="M24" s="11">
        <v>0</v>
      </c>
      <c r="N24" s="2">
        <f t="shared" si="10"/>
        <v>18.817499999999999</v>
      </c>
      <c r="O24" s="2">
        <f>0.75*(((G24*INDEX($R$1:$R$3,$D24+2))*Q24)/R24)</f>
        <v>132.31054687499997</v>
      </c>
      <c r="P24" s="2">
        <f>1.25*(((G24*INDEX($R$1:$R$3,$D24+2))*Q24)/R24)</f>
        <v>220.51757812499997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">
        <f t="shared" si="11"/>
        <v>30</v>
      </c>
      <c r="T24" s="2">
        <v>0</v>
      </c>
      <c r="U24" s="2"/>
    </row>
    <row r="25" spans="1:42" x14ac:dyDescent="0.25">
      <c r="A25" s="23">
        <f t="shared" si="6"/>
        <v>2.7E-2</v>
      </c>
      <c r="C25" s="2">
        <v>5</v>
      </c>
      <c r="D25" s="2">
        <v>1</v>
      </c>
      <c r="E25" s="5" t="s">
        <v>38</v>
      </c>
      <c r="F25" s="2">
        <f t="shared" si="7"/>
        <v>12.526999999999999</v>
      </c>
      <c r="G25" s="2">
        <f t="shared" si="12"/>
        <v>20.043199999999999</v>
      </c>
      <c r="H25" s="2">
        <f t="shared" si="8"/>
        <v>20.043199999999999</v>
      </c>
      <c r="I25" s="2">
        <f t="shared" si="5"/>
        <v>4.0086399999999989</v>
      </c>
      <c r="J25" s="2">
        <f t="shared" si="5"/>
        <v>1.0021599999999997</v>
      </c>
      <c r="K25" s="11">
        <f>1-((1-(I25/G25))/INDEX($P$2:$P$6,C25))</f>
        <v>-1.1333333333333333</v>
      </c>
      <c r="L25" s="11">
        <f>(INDEX($Q$2:$Q$6,C25)/((1/INDEX($F$4:$F$6,J$9))-1))</f>
        <v>8.3333333333333329E-2</v>
      </c>
      <c r="M25" s="11">
        <v>0</v>
      </c>
      <c r="N25" s="2">
        <f t="shared" si="10"/>
        <v>20.043199999999999</v>
      </c>
      <c r="O25" s="2">
        <f>0.75*(((G25*INDEX($R$1:$R$3,$D25+2))*Q25)/R25)</f>
        <v>300.64799999999997</v>
      </c>
      <c r="P25" s="2">
        <f>1.25*(((G25*INDEX($R$1:$R$3,$D25+2))*Q25)/R25)</f>
        <v>501.08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">
        <f t="shared" si="11"/>
        <v>36</v>
      </c>
      <c r="T25" s="2">
        <v>0</v>
      </c>
      <c r="U25" s="2"/>
      <c r="W25" s="16" t="s">
        <v>223</v>
      </c>
      <c r="X25" s="16" t="s">
        <v>144</v>
      </c>
    </row>
    <row r="26" spans="1:42" x14ac:dyDescent="0.25">
      <c r="A26" s="23">
        <f t="shared" si="6"/>
        <v>4.4999999999999998E-2</v>
      </c>
      <c r="E26" s="3" t="s">
        <v>39</v>
      </c>
      <c r="F26" s="15" t="s">
        <v>140</v>
      </c>
      <c r="G26" s="15">
        <v>0</v>
      </c>
      <c r="H26" s="15">
        <v>2</v>
      </c>
      <c r="I26" s="15">
        <v>1</v>
      </c>
      <c r="J26" s="15">
        <v>3</v>
      </c>
      <c r="K26" s="11"/>
      <c r="L26" s="11"/>
      <c r="M26" s="11"/>
      <c r="N26" s="2"/>
      <c r="O26" s="2"/>
      <c r="P26" s="2"/>
      <c r="Q26" s="2"/>
      <c r="R26" s="15" t="s">
        <v>250</v>
      </c>
      <c r="S26" s="2">
        <v>30</v>
      </c>
      <c r="T26" s="2">
        <v>0</v>
      </c>
      <c r="U26" s="2"/>
      <c r="W26" s="16" t="s">
        <v>130</v>
      </c>
      <c r="X26" s="2">
        <v>0.05</v>
      </c>
      <c r="Y26" s="2">
        <f>X26+0.05</f>
        <v>0.1</v>
      </c>
      <c r="Z26" s="2">
        <f>Y26+0.05</f>
        <v>0.15000000000000002</v>
      </c>
      <c r="AA26" s="2">
        <f>Z26+0.05</f>
        <v>0.2</v>
      </c>
      <c r="AB26" s="2">
        <f>AA26+0.05</f>
        <v>0.25</v>
      </c>
      <c r="AC26" s="2">
        <f>AB26+0.05</f>
        <v>0.3</v>
      </c>
      <c r="AD26" s="2">
        <f>AC26+0.05</f>
        <v>0.35</v>
      </c>
      <c r="AE26" s="2">
        <f>AD26+0.05</f>
        <v>0.39999999999999997</v>
      </c>
      <c r="AF26" s="2">
        <f>AE26+0.05</f>
        <v>0.44999999999999996</v>
      </c>
      <c r="AG26" s="2">
        <f>AF26+0.05</f>
        <v>0.49999999999999994</v>
      </c>
      <c r="AH26" s="2">
        <f>AG26+0.05</f>
        <v>0.54999999999999993</v>
      </c>
      <c r="AI26" s="2">
        <f>AH26+0.05</f>
        <v>0.6</v>
      </c>
      <c r="AJ26" s="2">
        <f>AI26+0.05</f>
        <v>0.65</v>
      </c>
      <c r="AK26" s="2">
        <f>AJ26+0.05</f>
        <v>0.70000000000000007</v>
      </c>
      <c r="AL26" s="2">
        <f>AK26+0.05</f>
        <v>0.75000000000000011</v>
      </c>
      <c r="AM26" s="2">
        <f>AL26+0.05</f>
        <v>0.80000000000000016</v>
      </c>
      <c r="AN26" s="2">
        <f>AM26+0.05</f>
        <v>0.8500000000000002</v>
      </c>
      <c r="AO26" s="2">
        <f>AN26+0.05</f>
        <v>0.90000000000000024</v>
      </c>
      <c r="AP26" s="2">
        <f>AO26+0.05</f>
        <v>0.95000000000000029</v>
      </c>
    </row>
    <row r="27" spans="1:42" x14ac:dyDescent="0.25">
      <c r="A27" s="23">
        <f t="shared" si="6"/>
        <v>2.7E-2</v>
      </c>
      <c r="B27" s="2">
        <v>1</v>
      </c>
      <c r="C27">
        <v>4</v>
      </c>
      <c r="D27">
        <v>1</v>
      </c>
      <c r="E27" s="5" t="s">
        <v>40</v>
      </c>
      <c r="F27" s="2">
        <f t="shared" si="7"/>
        <v>20.027000000000001</v>
      </c>
      <c r="G27" s="2">
        <f>IF(G$26=1,H27,H27/(1-INDEX($O$2:$O$6,C27)))</f>
        <v>11.444000000000001</v>
      </c>
      <c r="H27" s="2">
        <f>$F27*(INDEX($F$3:$F$5,H$26)+(($C27+($D27*$F$7))*INDEX($G$3:$G$5,H$26)))</f>
        <v>8.0107999999999997</v>
      </c>
      <c r="I27" s="2">
        <f>$F27*(INDEX($F$3:$F$5,I$26)+(($C27+($D27*$F$7))*INDEX($G$3:$G$5,I$26)))</f>
        <v>30.040500000000002</v>
      </c>
      <c r="J27" s="2">
        <f t="shared" ref="I27:J28" si="14">$F27*(INDEX($F$3:$F$5,J$26)+(($C27+($D27*$F$7))*INDEX($G$3:$G$5,J$26)))</f>
        <v>2.0026999999999999</v>
      </c>
      <c r="K27" s="11">
        <f>1-((1-(I27/G27))/INDEX($P$2:$P$6,C27))</f>
        <v>6.416666666666667</v>
      </c>
      <c r="L27" s="11">
        <f>(INDEX($Q$2:$Q$6,C27)/((1/INDEX($F$4:$F$6,J$26))-1))</f>
        <v>6.6666666666666666E-2</v>
      </c>
      <c r="M27" s="11">
        <v>0</v>
      </c>
      <c r="N27" s="2">
        <f>((AVERAGE(O27,P27)*R27)/Q27)/INDEX($R$1:$R$3,D27+2)</f>
        <v>11.444000000000001</v>
      </c>
      <c r="O27" s="2">
        <f>0.75*(((G27*INDEX($R$1:$R$3,$D27+2))*Q27)/R27)</f>
        <v>337.59800000000001</v>
      </c>
      <c r="P27" s="2">
        <f>1.25*(((G27*INDEX($R$1:$R$3,$D27+2))*Q27)/R27)</f>
        <v>562.66333333333341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">
        <f>$S$26*(1+(D27*$F$8))</f>
        <v>36</v>
      </c>
      <c r="T27" s="2">
        <v>0</v>
      </c>
      <c r="U27" s="2"/>
      <c r="W27" s="16" t="s">
        <v>224</v>
      </c>
      <c r="X27">
        <f>$G30*(1-(X$26*(1-$K30)))</f>
        <v>6.8744688172043009</v>
      </c>
      <c r="Y27" s="2">
        <f t="shared" ref="Y27:AP27" si="15">$G30*(1-(Y$26*(1-$K30)))</f>
        <v>7.5033634408602152</v>
      </c>
      <c r="Z27" s="2">
        <f t="shared" si="15"/>
        <v>8.1322580645161295</v>
      </c>
      <c r="AA27" s="2">
        <f t="shared" si="15"/>
        <v>8.761152688172043</v>
      </c>
      <c r="AB27" s="2">
        <f t="shared" si="15"/>
        <v>9.3900473118279546</v>
      </c>
      <c r="AC27" s="2">
        <f t="shared" si="15"/>
        <v>10.018941935483872</v>
      </c>
      <c r="AD27" s="2">
        <f t="shared" si="15"/>
        <v>10.647836559139783</v>
      </c>
      <c r="AE27" s="2">
        <f t="shared" si="15"/>
        <v>11.276731182795697</v>
      </c>
      <c r="AF27" s="2">
        <f t="shared" si="15"/>
        <v>11.90562580645161</v>
      </c>
      <c r="AG27" s="2">
        <f t="shared" si="15"/>
        <v>12.534520430107523</v>
      </c>
      <c r="AH27" s="2">
        <f t="shared" si="15"/>
        <v>13.163415053763439</v>
      </c>
      <c r="AI27" s="2">
        <f t="shared" si="15"/>
        <v>13.792309677419354</v>
      </c>
      <c r="AJ27" s="2">
        <f t="shared" si="15"/>
        <v>14.421204301075266</v>
      </c>
      <c r="AK27" s="2">
        <f t="shared" si="15"/>
        <v>15.050098924731179</v>
      </c>
      <c r="AL27" s="2">
        <f t="shared" si="15"/>
        <v>15.678993548387094</v>
      </c>
      <c r="AM27" s="2">
        <f t="shared" si="15"/>
        <v>16.307888172043011</v>
      </c>
      <c r="AN27" s="2">
        <f t="shared" si="15"/>
        <v>16.936782795698925</v>
      </c>
      <c r="AO27" s="2">
        <f t="shared" si="15"/>
        <v>17.565677419354838</v>
      </c>
      <c r="AP27" s="2">
        <f t="shared" si="15"/>
        <v>18.194572043010751</v>
      </c>
    </row>
    <row r="28" spans="1:42" x14ac:dyDescent="0.25">
      <c r="A28" s="23">
        <f t="shared" si="6"/>
        <v>2.7E-2</v>
      </c>
      <c r="B28" s="2">
        <v>1</v>
      </c>
      <c r="C28">
        <v>5</v>
      </c>
      <c r="D28">
        <v>1</v>
      </c>
      <c r="E28" s="5" t="s">
        <v>41</v>
      </c>
      <c r="F28" s="2">
        <f t="shared" si="7"/>
        <v>25.027000000000001</v>
      </c>
      <c r="G28" s="2">
        <f>IF(G$26=1,H28,H28/(1-INDEX($O$2:$O$6,C28)))</f>
        <v>12.813824</v>
      </c>
      <c r="H28" s="2">
        <f>$F28*(INDEX($F$3:$F$5,H$26)+(($C28+($D28*$F$7))*INDEX($G$3:$G$5,H$26)))</f>
        <v>8.0086399999999998</v>
      </c>
      <c r="I28" s="2">
        <f t="shared" si="14"/>
        <v>40.043200000000006</v>
      </c>
      <c r="J28" s="2">
        <f t="shared" si="14"/>
        <v>2.0021599999999999</v>
      </c>
      <c r="K28" s="11">
        <f>1-((1-(I28/G28))/INDEX($P$2:$P$6,C28))</f>
        <v>6.6666666666666679</v>
      </c>
      <c r="L28" s="11">
        <f>(INDEX($Q$2:$Q$6,C28)/((1/INDEX($F$4:$F$6,J$26))-1))</f>
        <v>8.3333333333333329E-2</v>
      </c>
      <c r="M28" s="11">
        <v>0</v>
      </c>
      <c r="N28" s="2">
        <f>((AVERAGE(O28,P28)*R28)/Q28)/INDEX($R$1:$R$3,D28+2)</f>
        <v>12.813824</v>
      </c>
      <c r="O28" s="2">
        <f>0.75*(((G28*INDEX($R$1:$R$3,$D28+2))*Q28)/R28)</f>
        <v>378.00780799999995</v>
      </c>
      <c r="P28" s="2">
        <f>1.25*(((G28*INDEX($R$1:$R$3,$D28+2))*Q28)/R28)</f>
        <v>630.01301333333333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">
        <f t="shared" si="11"/>
        <v>36</v>
      </c>
      <c r="T28" s="2">
        <v>0</v>
      </c>
      <c r="U28" s="2"/>
      <c r="W28" s="16" t="s">
        <v>225</v>
      </c>
      <c r="X28" s="2">
        <f t="shared" ref="X28:AP28" si="16">$G31*(1-(X$26*(1-$K31)))</f>
        <v>6.4200107526881718</v>
      </c>
      <c r="Y28" s="2">
        <f t="shared" si="16"/>
        <v>7.3881505376344085</v>
      </c>
      <c r="Z28" s="2">
        <f t="shared" si="16"/>
        <v>8.3562903225806444</v>
      </c>
      <c r="AA28" s="2">
        <f t="shared" si="16"/>
        <v>9.3244301075268812</v>
      </c>
      <c r="AB28" s="2">
        <f t="shared" si="16"/>
        <v>10.292569892473118</v>
      </c>
      <c r="AC28" s="2">
        <f t="shared" si="16"/>
        <v>11.260709677419355</v>
      </c>
      <c r="AD28" s="2">
        <f t="shared" si="16"/>
        <v>12.228849462365591</v>
      </c>
      <c r="AE28" s="2">
        <f t="shared" si="16"/>
        <v>13.196989247311828</v>
      </c>
      <c r="AF28" s="2">
        <f t="shared" si="16"/>
        <v>14.165129032258063</v>
      </c>
      <c r="AG28" s="2">
        <f t="shared" si="16"/>
        <v>15.133268817204302</v>
      </c>
      <c r="AH28" s="2">
        <f t="shared" si="16"/>
        <v>16.101408602150535</v>
      </c>
      <c r="AI28" s="2">
        <f t="shared" si="16"/>
        <v>17.069548387096773</v>
      </c>
      <c r="AJ28" s="2">
        <f t="shared" si="16"/>
        <v>18.037688172043012</v>
      </c>
      <c r="AK28" s="2">
        <f t="shared" si="16"/>
        <v>19.005827956989251</v>
      </c>
      <c r="AL28" s="2">
        <f t="shared" si="16"/>
        <v>19.973967741935489</v>
      </c>
      <c r="AM28" s="2">
        <f t="shared" si="16"/>
        <v>20.942107526881724</v>
      </c>
      <c r="AN28" s="2">
        <f t="shared" si="16"/>
        <v>21.910247311827963</v>
      </c>
      <c r="AO28" s="2">
        <f t="shared" si="16"/>
        <v>22.878387096774201</v>
      </c>
      <c r="AP28" s="2">
        <f t="shared" si="16"/>
        <v>23.84652688172044</v>
      </c>
    </row>
    <row r="29" spans="1:42" x14ac:dyDescent="0.25">
      <c r="A29" s="23">
        <f t="shared" si="6"/>
        <v>4.4999999999999998E-2</v>
      </c>
      <c r="E29" s="3" t="s">
        <v>42</v>
      </c>
      <c r="F29" s="15" t="s">
        <v>140</v>
      </c>
      <c r="G29" s="15">
        <v>0</v>
      </c>
      <c r="H29" s="15">
        <v>2</v>
      </c>
      <c r="I29" s="15">
        <v>1</v>
      </c>
      <c r="J29" s="15">
        <v>3</v>
      </c>
      <c r="K29" s="11"/>
      <c r="L29" s="11"/>
      <c r="M29" s="11"/>
      <c r="N29" s="2"/>
      <c r="O29" s="2"/>
      <c r="P29" s="2"/>
      <c r="Q29" s="2"/>
      <c r="R29" s="15" t="s">
        <v>250</v>
      </c>
      <c r="S29" s="2">
        <f t="shared" si="11"/>
        <v>30</v>
      </c>
      <c r="T29" s="2">
        <v>0</v>
      </c>
      <c r="U29" s="2"/>
      <c r="W29" s="16" t="s">
        <v>226</v>
      </c>
      <c r="X29" s="2">
        <f t="shared" ref="X29:AP29" si="17">$G32*(1-(X$26*(1-$K32)))</f>
        <v>5.9676430107526883</v>
      </c>
      <c r="Y29" s="2">
        <f t="shared" si="17"/>
        <v>7.2734021505376347</v>
      </c>
      <c r="Z29" s="2">
        <f t="shared" si="17"/>
        <v>8.5791612903225811</v>
      </c>
      <c r="AA29" s="2">
        <f t="shared" si="17"/>
        <v>9.8849204301075293</v>
      </c>
      <c r="AB29" s="2">
        <f t="shared" si="17"/>
        <v>11.190679569892474</v>
      </c>
      <c r="AC29" s="2">
        <f t="shared" si="17"/>
        <v>12.49643870967742</v>
      </c>
      <c r="AD29" s="2">
        <f t="shared" si="17"/>
        <v>13.802197849462367</v>
      </c>
      <c r="AE29" s="2">
        <f t="shared" si="17"/>
        <v>15.107956989247311</v>
      </c>
      <c r="AF29" s="2">
        <f t="shared" si="17"/>
        <v>16.413716129032256</v>
      </c>
      <c r="AG29" s="2">
        <f t="shared" si="17"/>
        <v>17.719475268817202</v>
      </c>
      <c r="AH29" s="2">
        <f t="shared" si="17"/>
        <v>19.025234408602149</v>
      </c>
      <c r="AI29" s="2">
        <f t="shared" si="17"/>
        <v>20.330993548387099</v>
      </c>
      <c r="AJ29" s="2">
        <f t="shared" si="17"/>
        <v>21.636752688172045</v>
      </c>
      <c r="AK29" s="2">
        <f t="shared" si="17"/>
        <v>22.942511827956992</v>
      </c>
      <c r="AL29" s="2">
        <f t="shared" si="17"/>
        <v>24.248270967741941</v>
      </c>
      <c r="AM29" s="2">
        <f t="shared" si="17"/>
        <v>25.554030107526888</v>
      </c>
      <c r="AN29" s="2">
        <f t="shared" si="17"/>
        <v>26.859789247311838</v>
      </c>
      <c r="AO29" s="2">
        <f t="shared" si="17"/>
        <v>28.165548387096784</v>
      </c>
      <c r="AP29" s="2">
        <f t="shared" si="17"/>
        <v>29.471307526881734</v>
      </c>
    </row>
    <row r="30" spans="1:42" x14ac:dyDescent="0.25">
      <c r="A30" s="23">
        <f t="shared" si="6"/>
        <v>6.3E-2</v>
      </c>
      <c r="C30" s="2">
        <v>3</v>
      </c>
      <c r="D30">
        <v>-1</v>
      </c>
      <c r="E30" s="5" t="s">
        <v>43</v>
      </c>
      <c r="F30" s="2">
        <f t="shared" si="7"/>
        <v>7.5629999999999997</v>
      </c>
      <c r="G30" s="2">
        <f>IF(G$29=1,H30,H30/(1-INDEX($O$2:$O$6,C30)))</f>
        <v>6.2455741935483875</v>
      </c>
      <c r="H30" s="2">
        <f>$F30*(INDEX($F$3:$F$5,H$29)+(($C30+($D30*$F$7))*INDEX($G$3:$G$5,H$29)))</f>
        <v>4.8403200000000002</v>
      </c>
      <c r="I30" s="2">
        <f t="shared" ref="I30:J38" si="18">$F30*(INDEX($F$3:$F$5,I$29)+(($C30+($D30*$F$7))*INDEX($G$3:$G$5,I$29)))</f>
        <v>9.0755999999999997</v>
      </c>
      <c r="J30" s="2">
        <f t="shared" si="18"/>
        <v>1.21008</v>
      </c>
      <c r="K30" s="11">
        <f t="shared" ref="K26:K89" si="19">1-((1-(I30/G30))/INDEX($P$2:$P$6,C30))</f>
        <v>3.013888888888888</v>
      </c>
      <c r="L30" s="11">
        <f>(INDEX($Q$2:$Q$6,C30)/((1/INDEX($F$4:$F$6,J$29))-1))</f>
        <v>4.9999999999999996E-2</v>
      </c>
      <c r="M30" s="11">
        <v>0</v>
      </c>
      <c r="N30" s="2">
        <f>((AVERAGE(O30,P30)*R30)/Q30)/INDEX($R$1:$R$3,D30+2)</f>
        <v>6.2455741935483875</v>
      </c>
      <c r="O30" s="2">
        <f>0.75*(((G30*INDEX($R$1:$R$3,$D30+2))*Q30)/R30)</f>
        <v>24.849007081038554</v>
      </c>
      <c r="P30" s="2">
        <f>1.25*(((G30*INDEX($R$1:$R$3,$D30+2))*Q30)/R30)</f>
        <v>41.415011801730927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">
        <f>$S$29*(1+(D30*$F$8))</f>
        <v>24</v>
      </c>
      <c r="T30" s="2">
        <v>0</v>
      </c>
      <c r="U30" s="2"/>
      <c r="W30" s="16" t="s">
        <v>227</v>
      </c>
      <c r="X30" s="2">
        <f t="shared" ref="X30:AP30" si="20">$G33*(1-(X$26*(1-$K33)))</f>
        <v>8.8889833333333339</v>
      </c>
      <c r="Y30" s="2">
        <f t="shared" si="20"/>
        <v>9.727566666666668</v>
      </c>
      <c r="Z30" s="2">
        <f t="shared" si="20"/>
        <v>10.566150000000002</v>
      </c>
      <c r="AA30" s="2">
        <f t="shared" si="20"/>
        <v>11.404733333333334</v>
      </c>
      <c r="AB30" s="2">
        <f t="shared" si="20"/>
        <v>12.243316666666667</v>
      </c>
      <c r="AC30" s="2">
        <f t="shared" si="20"/>
        <v>13.081900000000001</v>
      </c>
      <c r="AD30" s="2">
        <f t="shared" si="20"/>
        <v>13.920483333333335</v>
      </c>
      <c r="AE30" s="2">
        <f t="shared" si="20"/>
        <v>14.759066666666667</v>
      </c>
      <c r="AF30" s="2">
        <f t="shared" si="20"/>
        <v>15.59765</v>
      </c>
      <c r="AG30" s="2">
        <f t="shared" si="20"/>
        <v>16.43623333333333</v>
      </c>
      <c r="AH30" s="2">
        <f t="shared" si="20"/>
        <v>17.274816666666666</v>
      </c>
      <c r="AI30" s="2">
        <f t="shared" si="20"/>
        <v>18.113399999999999</v>
      </c>
      <c r="AJ30" s="2">
        <f t="shared" si="20"/>
        <v>18.951983333333331</v>
      </c>
      <c r="AK30" s="2">
        <f t="shared" si="20"/>
        <v>19.790566666666667</v>
      </c>
      <c r="AL30" s="2">
        <f t="shared" si="20"/>
        <v>20.629150000000003</v>
      </c>
      <c r="AM30" s="2">
        <f t="shared" si="20"/>
        <v>21.467733333333332</v>
      </c>
      <c r="AN30" s="2">
        <f t="shared" si="20"/>
        <v>22.306316666666667</v>
      </c>
      <c r="AO30" s="2">
        <f t="shared" si="20"/>
        <v>23.144900000000003</v>
      </c>
      <c r="AP30" s="2">
        <f t="shared" si="20"/>
        <v>23.983483333333336</v>
      </c>
    </row>
    <row r="31" spans="1:42" x14ac:dyDescent="0.25">
      <c r="A31" s="23">
        <f t="shared" si="6"/>
        <v>4.4999999999999998E-2</v>
      </c>
      <c r="C31" s="2">
        <v>3</v>
      </c>
      <c r="D31">
        <v>0</v>
      </c>
      <c r="E31" s="5" t="s">
        <v>44</v>
      </c>
      <c r="F31" s="2">
        <f t="shared" si="7"/>
        <v>7.5449999999999999</v>
      </c>
      <c r="G31" s="2">
        <f t="shared" ref="G31:G38" si="21">IF(G$29=1,H31,H31/(1-INDEX($O$2:$O$6,C31)))</f>
        <v>5.451870967741935</v>
      </c>
      <c r="H31" s="2">
        <f t="shared" ref="H31:H38" si="22">$F31*(INDEX($F$3:$F$5,H$29)+(($C31+($D31*$F$7))*INDEX($G$3:$G$5,H$29)))</f>
        <v>4.2252000000000001</v>
      </c>
      <c r="I31" s="2">
        <f t="shared" si="18"/>
        <v>9.8085000000000004</v>
      </c>
      <c r="J31" s="2">
        <f t="shared" si="18"/>
        <v>1.0563</v>
      </c>
      <c r="K31" s="11">
        <f t="shared" si="19"/>
        <v>4.5515873015873023</v>
      </c>
      <c r="L31" s="11">
        <f t="shared" ref="L31:L40" si="23">(INDEX($Q$2:$Q$6,C31)/((1/INDEX($F$4:$F$6,J$29))-1))</f>
        <v>4.9999999999999996E-2</v>
      </c>
      <c r="M31" s="11">
        <v>0</v>
      </c>
      <c r="N31" s="2">
        <f>((AVERAGE(O31,P31)*R31)/Q31)/INDEX($R$1:$R$3,D31+2)</f>
        <v>5.4518709677419359</v>
      </c>
      <c r="O31" s="2">
        <f>0.75*(((G31*INDEX($R$1:$R$3,$D31+2))*Q31)/R31)</f>
        <v>44.46682258064515</v>
      </c>
      <c r="P31" s="2">
        <f>1.25*(((G31*INDEX($R$1:$R$3,$D31+2))*Q31)/R31)</f>
        <v>74.111370967741919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">
        <f t="shared" ref="S31:S38" si="24">$S$29*(1+(D31*$F$8))</f>
        <v>30</v>
      </c>
      <c r="T31" s="2">
        <v>0</v>
      </c>
      <c r="U31" s="2"/>
      <c r="W31" s="16" t="s">
        <v>228</v>
      </c>
      <c r="X31" s="2">
        <f t="shared" ref="X31:AP31" si="25">$G34*(1-(X$26*(1-$K34)))</f>
        <v>8.0838333333333345</v>
      </c>
      <c r="Y31" s="2">
        <f t="shared" si="25"/>
        <v>9.2796666666666674</v>
      </c>
      <c r="Z31" s="2">
        <f t="shared" si="25"/>
        <v>10.475499999999998</v>
      </c>
      <c r="AA31" s="2">
        <f t="shared" si="25"/>
        <v>11.671333333333333</v>
      </c>
      <c r="AB31" s="2">
        <f t="shared" si="25"/>
        <v>12.867166666666666</v>
      </c>
      <c r="AC31" s="2">
        <f t="shared" si="25"/>
        <v>14.062999999999997</v>
      </c>
      <c r="AD31" s="2">
        <f t="shared" si="25"/>
        <v>15.258833333333328</v>
      </c>
      <c r="AE31" s="2">
        <f t="shared" si="25"/>
        <v>16.454666666666665</v>
      </c>
      <c r="AF31" s="2">
        <f t="shared" si="25"/>
        <v>17.650499999999997</v>
      </c>
      <c r="AG31" s="2">
        <f t="shared" si="25"/>
        <v>18.846333333333327</v>
      </c>
      <c r="AH31" s="2">
        <f t="shared" si="25"/>
        <v>20.04216666666666</v>
      </c>
      <c r="AI31" s="2">
        <f t="shared" si="25"/>
        <v>21.237999999999996</v>
      </c>
      <c r="AJ31" s="2">
        <f t="shared" si="25"/>
        <v>22.433833333333329</v>
      </c>
      <c r="AK31" s="2">
        <f t="shared" si="25"/>
        <v>23.629666666666662</v>
      </c>
      <c r="AL31" s="2">
        <f t="shared" si="25"/>
        <v>24.825499999999995</v>
      </c>
      <c r="AM31" s="2">
        <f t="shared" si="25"/>
        <v>26.021333333333331</v>
      </c>
      <c r="AN31" s="2">
        <f t="shared" si="25"/>
        <v>27.217166666666664</v>
      </c>
      <c r="AO31" s="2">
        <f t="shared" si="25"/>
        <v>28.413000000000004</v>
      </c>
      <c r="AP31" s="2">
        <f t="shared" si="25"/>
        <v>29.608833333333333</v>
      </c>
    </row>
    <row r="32" spans="1:42" x14ac:dyDescent="0.25">
      <c r="A32" s="23">
        <f t="shared" si="6"/>
        <v>2.7E-2</v>
      </c>
      <c r="C32" s="2">
        <v>3</v>
      </c>
      <c r="D32">
        <v>1</v>
      </c>
      <c r="E32" s="5" t="s">
        <v>45</v>
      </c>
      <c r="F32" s="2">
        <f t="shared" si="7"/>
        <v>7.5270000000000001</v>
      </c>
      <c r="G32" s="2">
        <f t="shared" si="21"/>
        <v>4.661883870967741</v>
      </c>
      <c r="H32" s="2">
        <f t="shared" si="22"/>
        <v>3.6129599999999997</v>
      </c>
      <c r="I32" s="2">
        <f t="shared" si="18"/>
        <v>10.537799999999999</v>
      </c>
      <c r="J32" s="2">
        <f t="shared" si="18"/>
        <v>0.90323999999999993</v>
      </c>
      <c r="K32" s="11">
        <f t="shared" si="19"/>
        <v>6.6018518518518539</v>
      </c>
      <c r="L32" s="11">
        <f t="shared" si="23"/>
        <v>4.9999999999999996E-2</v>
      </c>
      <c r="M32" s="11">
        <v>0</v>
      </c>
      <c r="N32" s="2">
        <f>((AVERAGE(O32,P32)*R32)/Q32)/INDEX($R$1:$R$3,D32+2)</f>
        <v>4.661883870967741</v>
      </c>
      <c r="O32" s="2">
        <f>0.75*(((G32*INDEX($R$1:$R$3,$D32+2))*Q32)/R32)</f>
        <v>81.116779354838684</v>
      </c>
      <c r="P32" s="2">
        <f>1.25*(((G32*INDEX($R$1:$R$3,$D32+2))*Q32)/R32)</f>
        <v>135.19463225806447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">
        <f t="shared" si="24"/>
        <v>36</v>
      </c>
      <c r="T32" s="2">
        <v>0</v>
      </c>
      <c r="U32" s="2"/>
      <c r="W32" s="16" t="s">
        <v>229</v>
      </c>
      <c r="X32" s="2">
        <f t="shared" ref="X32:AP32" si="26">$G35*(1-(X$26*(1-$K35)))</f>
        <v>7.2815119047619037</v>
      </c>
      <c r="Y32" s="2">
        <f t="shared" si="26"/>
        <v>8.8333095238095218</v>
      </c>
      <c r="Z32" s="2">
        <f t="shared" si="26"/>
        <v>10.385107142857143</v>
      </c>
      <c r="AA32" s="2">
        <f t="shared" si="26"/>
        <v>11.93690476190476</v>
      </c>
      <c r="AB32" s="2">
        <f t="shared" si="26"/>
        <v>13.488702380952377</v>
      </c>
      <c r="AC32" s="2">
        <f t="shared" si="26"/>
        <v>15.040499999999996</v>
      </c>
      <c r="AD32" s="2">
        <f t="shared" si="26"/>
        <v>16.592297619047613</v>
      </c>
      <c r="AE32" s="2">
        <f t="shared" si="26"/>
        <v>18.144095238095233</v>
      </c>
      <c r="AF32" s="2">
        <f t="shared" si="26"/>
        <v>19.695892857142852</v>
      </c>
      <c r="AG32" s="2">
        <f t="shared" si="26"/>
        <v>21.247690476190467</v>
      </c>
      <c r="AH32" s="2">
        <f t="shared" si="26"/>
        <v>22.79948809523809</v>
      </c>
      <c r="AI32" s="2">
        <f t="shared" si="26"/>
        <v>24.351285714285709</v>
      </c>
      <c r="AJ32" s="2">
        <f t="shared" si="26"/>
        <v>25.903083333333324</v>
      </c>
      <c r="AK32" s="2">
        <f t="shared" si="26"/>
        <v>27.454880952380947</v>
      </c>
      <c r="AL32" s="2">
        <f t="shared" si="26"/>
        <v>29.006678571428566</v>
      </c>
      <c r="AM32" s="2">
        <f t="shared" si="26"/>
        <v>30.558476190476188</v>
      </c>
      <c r="AN32" s="2">
        <f t="shared" si="26"/>
        <v>32.110273809523804</v>
      </c>
      <c r="AO32" s="2">
        <f t="shared" si="26"/>
        <v>33.66207142857143</v>
      </c>
      <c r="AP32" s="2">
        <f t="shared" si="26"/>
        <v>35.213869047619049</v>
      </c>
    </row>
    <row r="33" spans="1:42" x14ac:dyDescent="0.25">
      <c r="A33" s="23">
        <f t="shared" si="6"/>
        <v>6.3E-2</v>
      </c>
      <c r="C33" s="2">
        <v>4</v>
      </c>
      <c r="D33">
        <v>-1</v>
      </c>
      <c r="E33" s="5" t="s">
        <v>46</v>
      </c>
      <c r="F33" s="2">
        <f t="shared" si="7"/>
        <v>10.063000000000001</v>
      </c>
      <c r="G33" s="2">
        <f t="shared" si="21"/>
        <v>8.0504000000000016</v>
      </c>
      <c r="H33" s="2">
        <f t="shared" si="22"/>
        <v>5.6352800000000007</v>
      </c>
      <c r="I33" s="2">
        <f t="shared" si="18"/>
        <v>13.081900000000001</v>
      </c>
      <c r="J33" s="2">
        <f t="shared" si="18"/>
        <v>1.4088200000000002</v>
      </c>
      <c r="K33" s="11">
        <f t="shared" si="19"/>
        <v>3.0833333333333326</v>
      </c>
      <c r="L33" s="11">
        <f t="shared" si="23"/>
        <v>6.6666666666666666E-2</v>
      </c>
      <c r="M33" s="11">
        <v>0</v>
      </c>
      <c r="N33" s="2">
        <f>((AVERAGE(O33,P33)*R33)/Q33)/INDEX($R$1:$R$3,D33+2)</f>
        <v>8.0504000000000016</v>
      </c>
      <c r="O33" s="2">
        <f>0.75*(((G33*INDEX($R$1:$R$3,$D33+2))*Q33)/R33)</f>
        <v>32.029792682926839</v>
      </c>
      <c r="P33" s="2">
        <f>1.25*(((G33*INDEX($R$1:$R$3,$D33+2))*Q33)/R33)</f>
        <v>53.382987804878056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">
        <f t="shared" si="24"/>
        <v>24</v>
      </c>
      <c r="T33" s="2">
        <v>0</v>
      </c>
      <c r="U33" s="2"/>
      <c r="W33" s="16" t="s">
        <v>230</v>
      </c>
      <c r="X33" s="2">
        <f t="shared" ref="X33:AP33" si="27">$G36*(1-(X$26*(1-$K36)))</f>
        <v>10.707026133333335</v>
      </c>
      <c r="Y33" s="2">
        <f t="shared" si="27"/>
        <v>11.765668266666667</v>
      </c>
      <c r="Z33" s="2">
        <f t="shared" si="27"/>
        <v>12.8243104</v>
      </c>
      <c r="AA33" s="2">
        <f t="shared" si="27"/>
        <v>13.882952533333333</v>
      </c>
      <c r="AB33" s="2">
        <f t="shared" si="27"/>
        <v>14.941594666666667</v>
      </c>
      <c r="AC33" s="2">
        <f t="shared" si="27"/>
        <v>16.0002368</v>
      </c>
      <c r="AD33" s="2">
        <f t="shared" si="27"/>
        <v>17.058878933333336</v>
      </c>
      <c r="AE33" s="2">
        <f t="shared" si="27"/>
        <v>18.117521066666665</v>
      </c>
      <c r="AF33" s="2">
        <f t="shared" si="27"/>
        <v>19.176163200000001</v>
      </c>
      <c r="AG33" s="2">
        <f t="shared" si="27"/>
        <v>20.234805333333334</v>
      </c>
      <c r="AH33" s="2">
        <f t="shared" si="27"/>
        <v>21.293447466666667</v>
      </c>
      <c r="AI33" s="2">
        <f t="shared" si="27"/>
        <v>22.352089599999999</v>
      </c>
      <c r="AJ33" s="2">
        <f t="shared" si="27"/>
        <v>23.410731733333336</v>
      </c>
      <c r="AK33" s="2">
        <f t="shared" si="27"/>
        <v>24.469373866666668</v>
      </c>
      <c r="AL33" s="2">
        <f t="shared" si="27"/>
        <v>25.528016000000004</v>
      </c>
      <c r="AM33" s="2">
        <f t="shared" si="27"/>
        <v>26.586658133333337</v>
      </c>
      <c r="AN33" s="2">
        <f t="shared" si="27"/>
        <v>27.645300266666673</v>
      </c>
      <c r="AO33" s="2">
        <f t="shared" si="27"/>
        <v>28.703942400000006</v>
      </c>
      <c r="AP33" s="2">
        <f t="shared" si="27"/>
        <v>29.762584533333342</v>
      </c>
    </row>
    <row r="34" spans="1:42" x14ac:dyDescent="0.25">
      <c r="A34" s="23">
        <f t="shared" si="6"/>
        <v>4.4999999999999998E-2</v>
      </c>
      <c r="C34" s="2">
        <v>4</v>
      </c>
      <c r="D34">
        <v>0</v>
      </c>
      <c r="E34" s="5" t="s">
        <v>47</v>
      </c>
      <c r="F34" s="2">
        <f t="shared" si="7"/>
        <v>10.045</v>
      </c>
      <c r="G34" s="2">
        <f t="shared" si="21"/>
        <v>6.8880000000000008</v>
      </c>
      <c r="H34" s="2">
        <f t="shared" si="22"/>
        <v>4.8216000000000001</v>
      </c>
      <c r="I34" s="2">
        <f t="shared" si="18"/>
        <v>14.062999999999999</v>
      </c>
      <c r="J34" s="2">
        <f t="shared" si="18"/>
        <v>1.2054</v>
      </c>
      <c r="K34" s="11">
        <f t="shared" si="19"/>
        <v>4.4722222222222205</v>
      </c>
      <c r="L34" s="11">
        <f t="shared" si="23"/>
        <v>6.6666666666666666E-2</v>
      </c>
      <c r="M34" s="11">
        <v>0</v>
      </c>
      <c r="N34" s="2">
        <f>((AVERAGE(O34,P34)*R34)/Q34)/INDEX($R$1:$R$3,D34+2)</f>
        <v>6.8880000000000008</v>
      </c>
      <c r="O34" s="2">
        <f>0.75*(((G34*INDEX($R$1:$R$3,$D34+2))*Q34)/R34)</f>
        <v>56.180250000000001</v>
      </c>
      <c r="P34" s="2">
        <f>1.25*(((G34*INDEX($R$1:$R$3,$D34+2))*Q34)/R34)</f>
        <v>93.633749999999992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">
        <f t="shared" si="24"/>
        <v>30</v>
      </c>
      <c r="T34" s="2">
        <v>0</v>
      </c>
      <c r="U34" s="2"/>
      <c r="W34" s="16" t="s">
        <v>231</v>
      </c>
      <c r="X34" s="2">
        <f t="shared" ref="X34:AP34" si="28">$G37*(1-(X$26*(1-$K37)))</f>
        <v>9.467293333333334</v>
      </c>
      <c r="Y34" s="2">
        <f t="shared" si="28"/>
        <v>10.905786666666666</v>
      </c>
      <c r="Z34" s="2">
        <f t="shared" si="28"/>
        <v>12.344279999999999</v>
      </c>
      <c r="AA34" s="2">
        <f t="shared" si="28"/>
        <v>13.782773333333331</v>
      </c>
      <c r="AB34" s="2">
        <f t="shared" si="28"/>
        <v>15.221266666666665</v>
      </c>
      <c r="AC34" s="2">
        <f t="shared" si="28"/>
        <v>16.659759999999995</v>
      </c>
      <c r="AD34" s="2">
        <f t="shared" si="28"/>
        <v>18.098253333333332</v>
      </c>
      <c r="AE34" s="2">
        <f t="shared" si="28"/>
        <v>19.536746666666662</v>
      </c>
      <c r="AF34" s="2">
        <f t="shared" si="28"/>
        <v>20.975239999999996</v>
      </c>
      <c r="AG34" s="2">
        <f t="shared" si="28"/>
        <v>22.41373333333333</v>
      </c>
      <c r="AH34" s="2">
        <f t="shared" si="28"/>
        <v>23.85222666666666</v>
      </c>
      <c r="AI34" s="2">
        <f t="shared" si="28"/>
        <v>25.290719999999993</v>
      </c>
      <c r="AJ34" s="2">
        <f t="shared" si="28"/>
        <v>26.72921333333333</v>
      </c>
      <c r="AK34" s="2">
        <f t="shared" si="28"/>
        <v>28.167706666666664</v>
      </c>
      <c r="AL34" s="2">
        <f t="shared" si="28"/>
        <v>29.606199999999998</v>
      </c>
      <c r="AM34" s="2">
        <f t="shared" si="28"/>
        <v>31.044693333333331</v>
      </c>
      <c r="AN34" s="2">
        <f t="shared" si="28"/>
        <v>32.483186666666661</v>
      </c>
      <c r="AO34" s="2">
        <f t="shared" si="28"/>
        <v>33.921680000000002</v>
      </c>
      <c r="AP34" s="2">
        <f t="shared" si="28"/>
        <v>35.360173333333336</v>
      </c>
    </row>
    <row r="35" spans="1:42" x14ac:dyDescent="0.25">
      <c r="A35" s="23">
        <f t="shared" si="6"/>
        <v>2.7E-2</v>
      </c>
      <c r="C35" s="2">
        <v>4</v>
      </c>
      <c r="D35">
        <v>1</v>
      </c>
      <c r="E35" s="5" t="s">
        <v>48</v>
      </c>
      <c r="F35" s="2">
        <f t="shared" si="7"/>
        <v>10.026999999999999</v>
      </c>
      <c r="G35" s="2">
        <f t="shared" si="21"/>
        <v>5.7297142857142855</v>
      </c>
      <c r="H35" s="2">
        <f t="shared" si="22"/>
        <v>4.0107999999999997</v>
      </c>
      <c r="I35" s="2">
        <f t="shared" si="18"/>
        <v>15.040499999999998</v>
      </c>
      <c r="J35" s="2">
        <f t="shared" si="18"/>
        <v>1.0026999999999999</v>
      </c>
      <c r="K35" s="11">
        <f t="shared" si="19"/>
        <v>6.4166666666666652</v>
      </c>
      <c r="L35" s="11">
        <f t="shared" si="23"/>
        <v>6.6666666666666666E-2</v>
      </c>
      <c r="M35" s="11">
        <v>0</v>
      </c>
      <c r="N35" s="2">
        <f>((AVERAGE(O35,P35)*R35)/Q35)/INDEX($R$1:$R$3,D35+2)</f>
        <v>5.7297142857142855</v>
      </c>
      <c r="O35" s="2">
        <f>0.75*(((G35*INDEX($R$1:$R$3,$D35+2))*Q35)/R35)</f>
        <v>99.697028571428561</v>
      </c>
      <c r="P35" s="2">
        <f>1.25*(((G35*INDEX($R$1:$R$3,$D35+2))*Q35)/R35)</f>
        <v>166.16171428571425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">
        <f t="shared" si="24"/>
        <v>36</v>
      </c>
      <c r="T35" s="2">
        <v>0</v>
      </c>
      <c r="U35" s="2"/>
      <c r="W35" s="16" t="s">
        <v>232</v>
      </c>
      <c r="X35" s="2">
        <f t="shared" ref="X35:AP36" si="29">$G38*(1-(X$26*(1-$K38)))</f>
        <v>8.2310741333333315</v>
      </c>
      <c r="Y35" s="2">
        <f t="shared" si="29"/>
        <v>10.048324266666665</v>
      </c>
      <c r="Z35" s="2">
        <f t="shared" si="29"/>
        <v>11.8655744</v>
      </c>
      <c r="AA35" s="2">
        <f t="shared" si="29"/>
        <v>13.682824533333331</v>
      </c>
      <c r="AB35" s="2">
        <f t="shared" si="29"/>
        <v>15.500074666666665</v>
      </c>
      <c r="AC35" s="2">
        <f t="shared" si="29"/>
        <v>17.317324799999998</v>
      </c>
      <c r="AD35" s="2">
        <f t="shared" si="29"/>
        <v>19.134574933333329</v>
      </c>
      <c r="AE35" s="2">
        <f t="shared" si="29"/>
        <v>20.951825066666665</v>
      </c>
      <c r="AF35" s="2">
        <f t="shared" si="29"/>
        <v>22.7690752</v>
      </c>
      <c r="AG35" s="2">
        <f t="shared" si="29"/>
        <v>24.586325333333331</v>
      </c>
      <c r="AH35" s="2">
        <f t="shared" si="29"/>
        <v>26.403575466666663</v>
      </c>
      <c r="AI35" s="2">
        <f t="shared" si="29"/>
        <v>28.220825600000001</v>
      </c>
      <c r="AJ35" s="2">
        <f t="shared" si="29"/>
        <v>30.038075733333336</v>
      </c>
      <c r="AK35" s="2">
        <f t="shared" si="29"/>
        <v>31.855325866666671</v>
      </c>
      <c r="AL35" s="2">
        <f t="shared" si="29"/>
        <v>33.672575999999999</v>
      </c>
      <c r="AM35" s="2">
        <f t="shared" si="29"/>
        <v>35.489826133333338</v>
      </c>
      <c r="AN35" s="2">
        <f t="shared" si="29"/>
        <v>37.307076266666677</v>
      </c>
      <c r="AO35" s="2">
        <f t="shared" si="29"/>
        <v>39.124326400000008</v>
      </c>
      <c r="AP35" s="2">
        <f t="shared" si="29"/>
        <v>40.941576533333347</v>
      </c>
    </row>
    <row r="36" spans="1:42" x14ac:dyDescent="0.25">
      <c r="A36" s="23">
        <f t="shared" si="6"/>
        <v>6.3E-2</v>
      </c>
      <c r="C36" s="2">
        <v>5</v>
      </c>
      <c r="D36">
        <v>-1</v>
      </c>
      <c r="E36" s="5" t="s">
        <v>49</v>
      </c>
      <c r="F36" s="2">
        <f t="shared" si="7"/>
        <v>12.563000000000001</v>
      </c>
      <c r="G36" s="2">
        <f t="shared" si="21"/>
        <v>9.6483840000000001</v>
      </c>
      <c r="H36" s="2">
        <f t="shared" si="22"/>
        <v>6.03024</v>
      </c>
      <c r="I36" s="2">
        <f t="shared" si="18"/>
        <v>17.588200000000001</v>
      </c>
      <c r="J36" s="2">
        <f t="shared" si="18"/>
        <v>1.50756</v>
      </c>
      <c r="K36" s="11">
        <f t="shared" si="19"/>
        <v>3.1944444444444446</v>
      </c>
      <c r="L36" s="11">
        <f t="shared" si="23"/>
        <v>8.3333333333333329E-2</v>
      </c>
      <c r="M36" s="11">
        <v>0</v>
      </c>
      <c r="N36" s="2">
        <f>((AVERAGE(O36,P36)*R36)/Q36)/INDEX($R$1:$R$3,D36+2)</f>
        <v>9.6483840000000001</v>
      </c>
      <c r="O36" s="2">
        <f>0.75*(((G36*INDEX($R$1:$R$3,$D36+2))*Q36)/R36)</f>
        <v>38.387625365853658</v>
      </c>
      <c r="P36" s="2">
        <f>1.25*(((G36*INDEX($R$1:$R$3,$D36+2))*Q36)/R36)</f>
        <v>63.979375609756097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">
        <f t="shared" si="24"/>
        <v>24</v>
      </c>
      <c r="T36" s="2">
        <v>0</v>
      </c>
      <c r="U36" s="2"/>
      <c r="W36" s="16" t="s">
        <v>233</v>
      </c>
      <c r="X36" s="2">
        <f>($G27*(1-(X$26*(1-$K27))))/2</f>
        <v>7.2717083333333346</v>
      </c>
      <c r="Y36" s="2">
        <f t="shared" ref="Y36:AP36" si="30">($G27*(1-(Y$26*(1-$K27))))/2</f>
        <v>8.8214166666666678</v>
      </c>
      <c r="Z36" s="2">
        <f t="shared" si="30"/>
        <v>10.371125000000001</v>
      </c>
      <c r="AA36" s="2">
        <f t="shared" si="30"/>
        <v>11.920833333333334</v>
      </c>
      <c r="AB36" s="2">
        <f t="shared" si="30"/>
        <v>13.470541666666669</v>
      </c>
      <c r="AC36" s="2">
        <f t="shared" si="30"/>
        <v>15.020250000000001</v>
      </c>
      <c r="AD36" s="2">
        <f t="shared" si="30"/>
        <v>16.569958333333332</v>
      </c>
      <c r="AE36" s="2">
        <f t="shared" si="30"/>
        <v>18.119666666666667</v>
      </c>
      <c r="AF36" s="2">
        <f t="shared" si="30"/>
        <v>19.669375000000002</v>
      </c>
      <c r="AG36" s="2">
        <f t="shared" si="30"/>
        <v>21.219083333333334</v>
      </c>
      <c r="AH36" s="2">
        <f t="shared" si="30"/>
        <v>22.768791666666669</v>
      </c>
      <c r="AI36" s="2">
        <f t="shared" si="30"/>
        <v>24.3185</v>
      </c>
      <c r="AJ36" s="2">
        <f t="shared" si="30"/>
        <v>25.868208333333339</v>
      </c>
      <c r="AK36" s="2">
        <f t="shared" si="30"/>
        <v>27.417916666666674</v>
      </c>
      <c r="AL36" s="2">
        <f t="shared" si="30"/>
        <v>28.967625000000009</v>
      </c>
      <c r="AM36" s="2">
        <f t="shared" si="30"/>
        <v>30.517333333333344</v>
      </c>
      <c r="AN36" s="2">
        <f t="shared" si="30"/>
        <v>32.067041666666675</v>
      </c>
      <c r="AO36" s="2">
        <f t="shared" si="30"/>
        <v>33.61675000000001</v>
      </c>
      <c r="AP36" s="2">
        <f t="shared" si="30"/>
        <v>35.166458333333345</v>
      </c>
    </row>
    <row r="37" spans="1:42" x14ac:dyDescent="0.25">
      <c r="A37" s="23">
        <f t="shared" si="6"/>
        <v>4.4999999999999998E-2</v>
      </c>
      <c r="C37" s="2">
        <v>5</v>
      </c>
      <c r="D37">
        <v>0</v>
      </c>
      <c r="E37" s="5" t="s">
        <v>50</v>
      </c>
      <c r="F37" s="2">
        <f t="shared" si="7"/>
        <v>12.545</v>
      </c>
      <c r="G37" s="2">
        <f t="shared" si="21"/>
        <v>8.0288000000000004</v>
      </c>
      <c r="H37" s="2">
        <f t="shared" si="22"/>
        <v>5.0179999999999998</v>
      </c>
      <c r="I37" s="2">
        <f t="shared" si="18"/>
        <v>18.817499999999999</v>
      </c>
      <c r="J37" s="2">
        <f t="shared" si="18"/>
        <v>1.2544999999999999</v>
      </c>
      <c r="K37" s="11">
        <f t="shared" si="19"/>
        <v>4.5833333333333321</v>
      </c>
      <c r="L37" s="11">
        <f t="shared" si="23"/>
        <v>8.3333333333333329E-2</v>
      </c>
      <c r="M37" s="11">
        <v>0</v>
      </c>
      <c r="N37" s="2">
        <f>((AVERAGE(O37,P37)*R37)/Q37)/INDEX($R$1:$R$3,D37+2)</f>
        <v>8.0288000000000004</v>
      </c>
      <c r="O37" s="2">
        <f>0.75*(((G37*INDEX($R$1:$R$3,$D37+2))*Q37)/R37)</f>
        <v>65.484899999999996</v>
      </c>
      <c r="P37" s="2">
        <f>1.25*(((G37*INDEX($R$1:$R$3,$D37+2))*Q37)/R37)</f>
        <v>109.14149999999999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">
        <f t="shared" si="24"/>
        <v>30</v>
      </c>
      <c r="T37" s="2">
        <v>0</v>
      </c>
      <c r="U37" s="2"/>
      <c r="W37" s="16" t="s">
        <v>234</v>
      </c>
      <c r="X37" s="2">
        <f>($G28*(1-(X$26*(1-$K28))))/2</f>
        <v>8.222203733333334</v>
      </c>
      <c r="Y37" s="2">
        <f t="shared" ref="Y37:AP37" si="31">($G28*(1-(Y$26*(1-$K28))))/2</f>
        <v>10.037495466666668</v>
      </c>
      <c r="Z37" s="2">
        <f t="shared" si="31"/>
        <v>11.852787200000002</v>
      </c>
      <c r="AA37" s="2">
        <f t="shared" si="31"/>
        <v>13.668078933333335</v>
      </c>
      <c r="AB37" s="2">
        <f t="shared" si="31"/>
        <v>15.483370666666669</v>
      </c>
      <c r="AC37" s="2">
        <f t="shared" si="31"/>
        <v>17.298662400000001</v>
      </c>
      <c r="AD37" s="2">
        <f t="shared" si="31"/>
        <v>19.113954133333333</v>
      </c>
      <c r="AE37" s="2">
        <f t="shared" si="31"/>
        <v>20.929245866666669</v>
      </c>
      <c r="AF37" s="2">
        <f t="shared" si="31"/>
        <v>22.744537600000001</v>
      </c>
      <c r="AG37" s="2">
        <f t="shared" si="31"/>
        <v>24.559829333333337</v>
      </c>
      <c r="AH37" s="2">
        <f t="shared" si="31"/>
        <v>26.375121066666669</v>
      </c>
      <c r="AI37" s="2">
        <f t="shared" si="31"/>
        <v>28.190412800000004</v>
      </c>
      <c r="AJ37" s="2">
        <f t="shared" si="31"/>
        <v>30.005704533333336</v>
      </c>
      <c r="AK37" s="2">
        <f t="shared" si="31"/>
        <v>31.820996266666675</v>
      </c>
      <c r="AL37" s="2">
        <f t="shared" si="31"/>
        <v>33.636288000000015</v>
      </c>
      <c r="AM37" s="2">
        <f t="shared" si="31"/>
        <v>35.451579733333347</v>
      </c>
      <c r="AN37" s="2">
        <f t="shared" si="31"/>
        <v>37.266871466666686</v>
      </c>
      <c r="AO37" s="2">
        <f t="shared" si="31"/>
        <v>39.082163200000018</v>
      </c>
      <c r="AP37" s="2">
        <f t="shared" si="31"/>
        <v>40.897454933333357</v>
      </c>
    </row>
    <row r="38" spans="1:42" x14ac:dyDescent="0.25">
      <c r="A38" s="23">
        <f t="shared" si="6"/>
        <v>2.7E-2</v>
      </c>
      <c r="C38" s="2">
        <v>5</v>
      </c>
      <c r="D38">
        <v>1</v>
      </c>
      <c r="E38" s="5" t="s">
        <v>51</v>
      </c>
      <c r="F38" s="2">
        <f t="shared" si="7"/>
        <v>12.526999999999999</v>
      </c>
      <c r="G38" s="2">
        <f t="shared" si="21"/>
        <v>6.4138239999999982</v>
      </c>
      <c r="H38" s="2">
        <f t="shared" si="22"/>
        <v>4.0086399999999989</v>
      </c>
      <c r="I38" s="2">
        <f t="shared" si="18"/>
        <v>20.043199999999999</v>
      </c>
      <c r="J38" s="2">
        <f t="shared" si="18"/>
        <v>1.0021599999999997</v>
      </c>
      <c r="K38" s="11">
        <f t="shared" si="19"/>
        <v>6.6666666666666687</v>
      </c>
      <c r="L38" s="11">
        <f t="shared" si="23"/>
        <v>8.3333333333333329E-2</v>
      </c>
      <c r="M38" s="11">
        <v>0</v>
      </c>
      <c r="N38" s="2">
        <f>((AVERAGE(O38,P38)*R38)/Q38)/INDEX($R$1:$R$3,D38+2)</f>
        <v>6.4138239999999982</v>
      </c>
      <c r="O38" s="2">
        <f>0.75*(((G38*INDEX($R$1:$R$3,$D38+2))*Q38)/R38)</f>
        <v>111.60053759999997</v>
      </c>
      <c r="P38" s="2">
        <f>1.25*(((G38*INDEX($R$1:$R$3,$D38+2))*Q38)/R38)</f>
        <v>186.00089599999993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">
        <f t="shared" si="24"/>
        <v>36</v>
      </c>
      <c r="T38" s="2">
        <v>0</v>
      </c>
      <c r="U38" s="2"/>
      <c r="W38" s="2"/>
    </row>
    <row r="39" spans="1:42" x14ac:dyDescent="0.25">
      <c r="A39" s="23">
        <f t="shared" si="6"/>
        <v>4.4999999999999998E-2</v>
      </c>
      <c r="E39" s="3" t="s">
        <v>52</v>
      </c>
      <c r="F39" s="15" t="s">
        <v>140</v>
      </c>
      <c r="G39" s="15">
        <v>0</v>
      </c>
      <c r="H39" s="15">
        <v>1</v>
      </c>
      <c r="I39" s="15">
        <v>2</v>
      </c>
      <c r="J39" s="15">
        <v>3</v>
      </c>
      <c r="K39" s="11"/>
      <c r="L39" s="11"/>
      <c r="M39" s="11"/>
      <c r="N39" s="2"/>
      <c r="O39" s="2"/>
      <c r="P39" s="2"/>
      <c r="Q39" s="2"/>
      <c r="R39" s="15" t="s">
        <v>250</v>
      </c>
      <c r="S39" s="2">
        <v>30</v>
      </c>
      <c r="T39" s="2">
        <v>0</v>
      </c>
      <c r="U39" s="2"/>
      <c r="W39" s="2"/>
    </row>
    <row r="40" spans="1:42" x14ac:dyDescent="0.25">
      <c r="A40" s="23">
        <f t="shared" si="6"/>
        <v>2.7E-2</v>
      </c>
      <c r="B40" s="2">
        <v>1</v>
      </c>
      <c r="C40">
        <v>4</v>
      </c>
      <c r="D40">
        <v>1</v>
      </c>
      <c r="E40" s="5" t="s">
        <v>53</v>
      </c>
      <c r="F40" s="2">
        <f t="shared" si="7"/>
        <v>20.027000000000001</v>
      </c>
      <c r="G40" s="2">
        <f>IF(G$39=1,H40,H40/(1-INDEX($O$2:$O$6,C40)))</f>
        <v>42.915000000000006</v>
      </c>
      <c r="H40" s="2">
        <f>$F40*(INDEX($F$3:$F$5,H$39)+(($C40+($D40*$F$7))*INDEX($G$3:$G$5,H$39)))</f>
        <v>30.040500000000002</v>
      </c>
      <c r="I40" s="2">
        <f t="shared" ref="I40:J41" si="32">$F40*(INDEX($F$3:$F$5,I$39)+(($C40+($D40*$F$7))*INDEX($G$3:$G$5,I$39)))</f>
        <v>8.0107999999999997</v>
      </c>
      <c r="J40" s="2">
        <f t="shared" si="32"/>
        <v>2.0026999999999999</v>
      </c>
      <c r="K40" s="11">
        <f t="shared" si="19"/>
        <v>-1.7111111111111112</v>
      </c>
      <c r="L40" s="11">
        <f>(INDEX($Q$2:$Q$6,C40)/((1/INDEX($F$4:$F$6,J$39))-1))</f>
        <v>6.6666666666666666E-2</v>
      </c>
      <c r="M40" s="11">
        <v>0</v>
      </c>
      <c r="N40" s="2">
        <f>((AVERAGE(O40,P40)*R40)/Q40)/INDEX($R$1:$R$3,D40+2)</f>
        <v>42.915000000000006</v>
      </c>
      <c r="O40" s="2">
        <f>0.75*(((G40*INDEX($R$1:$R$3,$D40+2))*Q40)/R40)</f>
        <v>849.7170000000001</v>
      </c>
      <c r="P40" s="2">
        <f>1.25*(((G40*INDEX($R$1:$R$3,$D40+2))*Q40)/R40)</f>
        <v>1416.1950000000002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">
        <f>$S$39*(1+(D40*$F$8))</f>
        <v>36</v>
      </c>
      <c r="T40" s="2">
        <v>0</v>
      </c>
      <c r="U40" s="2"/>
      <c r="W40" s="2"/>
    </row>
    <row r="41" spans="1:42" x14ac:dyDescent="0.25">
      <c r="A41" s="23">
        <f t="shared" si="6"/>
        <v>2.7E-2</v>
      </c>
      <c r="B41" s="2">
        <v>1</v>
      </c>
      <c r="C41">
        <v>5</v>
      </c>
      <c r="D41">
        <v>1</v>
      </c>
      <c r="E41" s="5" t="s">
        <v>54</v>
      </c>
      <c r="F41" s="2">
        <f t="shared" si="7"/>
        <v>25.027000000000001</v>
      </c>
      <c r="G41" s="2">
        <f>IF(G$39=1,H41,H41/(1-INDEX($O$2:$O$6,C41)))</f>
        <v>64.069120000000012</v>
      </c>
      <c r="H41" s="2">
        <f>$F41*(INDEX($F$3:$F$5,H$39)+(($C41+($D41*$F$7))*INDEX($G$3:$G$5,H$39)))</f>
        <v>40.043200000000006</v>
      </c>
      <c r="I41" s="2">
        <f t="shared" si="32"/>
        <v>8.0086399999999998</v>
      </c>
      <c r="J41" s="2">
        <f t="shared" si="32"/>
        <v>2.0021599999999999</v>
      </c>
      <c r="K41" s="11">
        <f t="shared" si="19"/>
        <v>-1.3333333333333335</v>
      </c>
      <c r="L41" s="11">
        <f>(INDEX($Q$2:$Q$6,C41)/((1/INDEX($F$4:$F$6,J$39))-1))</f>
        <v>8.3333333333333329E-2</v>
      </c>
      <c r="M41" s="11">
        <v>0</v>
      </c>
      <c r="N41" s="2">
        <f>((AVERAGE(O41,P41)*R41)/Q41)/INDEX($R$1:$R$3,D41+2)</f>
        <v>64.069120000000012</v>
      </c>
      <c r="O41" s="2">
        <f>0.75*(((G41*INDEX($R$1:$R$3,$D41+2))*Q41)/R41)</f>
        <v>1268.5685760000001</v>
      </c>
      <c r="P41" s="2">
        <f>1.25*(((G41*INDEX($R$1:$R$3,$D41+2))*Q41)/R41)</f>
        <v>2114.2809600000005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">
        <f>$S$39*(1+(D41*$F$8))</f>
        <v>36</v>
      </c>
      <c r="T41" s="2">
        <v>0</v>
      </c>
      <c r="U41" s="2"/>
      <c r="W41" s="2"/>
    </row>
    <row r="42" spans="1:42" x14ac:dyDescent="0.25">
      <c r="A42" s="23">
        <f t="shared" si="6"/>
        <v>0.09</v>
      </c>
      <c r="E42" s="3" t="s">
        <v>55</v>
      </c>
      <c r="F42" s="15" t="s">
        <v>140</v>
      </c>
      <c r="G42" s="15">
        <v>0</v>
      </c>
      <c r="H42" s="15">
        <v>2</v>
      </c>
      <c r="I42" s="15">
        <v>3</v>
      </c>
      <c r="J42" s="15">
        <v>1</v>
      </c>
      <c r="K42" s="11"/>
      <c r="L42" s="11"/>
      <c r="M42" s="11"/>
      <c r="N42" s="2"/>
      <c r="O42" s="2"/>
      <c r="P42" s="2"/>
      <c r="Q42" s="2"/>
      <c r="R42" s="15" t="s">
        <v>250</v>
      </c>
      <c r="S42" s="2">
        <v>15</v>
      </c>
      <c r="T42" s="2">
        <v>0</v>
      </c>
      <c r="U42" s="2"/>
      <c r="W42" s="2"/>
    </row>
    <row r="43" spans="1:42" x14ac:dyDescent="0.25">
      <c r="A43" s="23">
        <f t="shared" si="6"/>
        <v>8.1000000000000003E-2</v>
      </c>
      <c r="C43" s="2">
        <v>3</v>
      </c>
      <c r="D43" s="2">
        <v>1</v>
      </c>
      <c r="E43" s="5" t="s">
        <v>56</v>
      </c>
      <c r="F43" s="2">
        <f t="shared" si="7"/>
        <v>7.5810000000000004</v>
      </c>
      <c r="G43" s="2">
        <f>IF(G$42=1,H43,H43/(1-INDEX($O$2:$O$6,C43)))</f>
        <v>4.6953290322580639</v>
      </c>
      <c r="H43" s="2">
        <f>$F43*(INDEX($F$3:$F$5,H$42)+(($C43+($D43*$F$7))*INDEX($G$3:$G$5,H$42)))</f>
        <v>3.6388799999999999</v>
      </c>
      <c r="I43" s="2">
        <f>$F43*(INDEX($F$3:$F$5,I$42)+(($C43+($D43*$F$7))*INDEX($G$3:$G$5,I$42)))</f>
        <v>0.90971999999999997</v>
      </c>
      <c r="J43" s="2">
        <f t="shared" ref="I43:J51" si="33">$F43*(INDEX($F$3:$F$5,J$42)+(($C43+($D43*$F$7))*INDEX($G$3:$G$5,J$42)))</f>
        <v>10.6134</v>
      </c>
      <c r="K43" s="11">
        <f>1-((1-(I43/G43))/INDEX($P$2:$P$6,C43))</f>
        <v>-2.5833333333333335</v>
      </c>
      <c r="L43" s="11">
        <f>(INDEX($Q$2:$Q$6,C43)/((1/INDEX($F$4:$F$6,J$42))-1))</f>
        <v>1.7999999999999998</v>
      </c>
      <c r="M43" s="11">
        <v>0</v>
      </c>
      <c r="N43" s="2">
        <f>((AVERAGE(O43,P43)*R43)/Q43)/INDEX($R$1:$R$3,D43)</f>
        <v>18.781316129032255</v>
      </c>
      <c r="O43" s="2">
        <f>0.75*(((G43*INDEX($R$1:$R$3,$D43+2))*Q43)/R43)</f>
        <v>61.84091896144767</v>
      </c>
      <c r="P43" s="2">
        <f>1.25*(((G43*INDEX($R$1:$R$3,$D43+2))*Q43)/R43)</f>
        <v>103.06819826907946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">
        <f>$S$42*(1+(D43*$F$8))</f>
        <v>18</v>
      </c>
      <c r="T43" s="2">
        <v>0</v>
      </c>
      <c r="U43" s="2"/>
      <c r="W43" s="2"/>
    </row>
    <row r="44" spans="1:42" x14ac:dyDescent="0.25">
      <c r="A44" s="23">
        <f t="shared" si="6"/>
        <v>7.2000000000000008E-2</v>
      </c>
      <c r="C44" s="2">
        <v>3</v>
      </c>
      <c r="D44" s="2">
        <v>2</v>
      </c>
      <c r="E44" s="5" t="s">
        <v>57</v>
      </c>
      <c r="F44" s="2">
        <f t="shared" si="7"/>
        <v>7.5720000000000001</v>
      </c>
      <c r="G44" s="2">
        <f t="shared" ref="G44:G51" si="34">IF(G$42=1,H44,H44/(1-INDEX($O$2:$O$6,C44)))</f>
        <v>3.9081290322580644</v>
      </c>
      <c r="H44" s="2">
        <f t="shared" ref="H44:H51" si="35">$F44*(INDEX($F$3:$F$5,H$42)+(($C44+($D44*$F$7))*INDEX($G$3:$G$5,H$42)))</f>
        <v>3.0287999999999999</v>
      </c>
      <c r="I44" s="2">
        <f t="shared" si="33"/>
        <v>0.75719999999999998</v>
      </c>
      <c r="J44" s="2">
        <f t="shared" si="33"/>
        <v>11.358000000000001</v>
      </c>
      <c r="K44" s="11">
        <f t="shared" si="19"/>
        <v>-2.5833333333333339</v>
      </c>
      <c r="L44" s="11">
        <f t="shared" ref="L44:L53" si="36">(INDEX($Q$2:$Q$6,C44)/((1/INDEX($F$4:$F$6,J$42))-1))</f>
        <v>1.7999999999999998</v>
      </c>
      <c r="M44" s="11">
        <v>0</v>
      </c>
      <c r="N44" s="2">
        <f t="shared" ref="N44:N51" si="37">((AVERAGE(O44,P44)*R44)/Q44)/INDEX($R$1:$R$3,D44)</f>
        <v>3.9081290322580644</v>
      </c>
      <c r="O44" s="2">
        <f>0.75*(((G44*INDEX($R$1:$R$3,$D44))*Q44)/R44)</f>
        <v>26.37987096774193</v>
      </c>
      <c r="P44" s="2">
        <f>1.25*(((G44*INDEX($R$1:$R$3,$D44))*Q44)/R44)</f>
        <v>43.966451612903221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">
        <f t="shared" ref="S44:S51" si="38">$S$42*(1+(D44*$F$8))</f>
        <v>21</v>
      </c>
      <c r="T44" s="2">
        <v>0</v>
      </c>
      <c r="U44" s="2"/>
      <c r="W44" s="2"/>
    </row>
    <row r="45" spans="1:42" x14ac:dyDescent="0.25">
      <c r="A45" s="23">
        <f t="shared" si="6"/>
        <v>6.3E-2</v>
      </c>
      <c r="C45" s="2">
        <v>3</v>
      </c>
      <c r="D45" s="2">
        <v>3</v>
      </c>
      <c r="E45" s="5" t="s">
        <v>58</v>
      </c>
      <c r="F45" s="2">
        <f t="shared" si="7"/>
        <v>7.5629999999999997</v>
      </c>
      <c r="G45" s="2">
        <f t="shared" si="34"/>
        <v>3.1227870967741929</v>
      </c>
      <c r="H45" s="2">
        <f t="shared" si="35"/>
        <v>2.4201599999999996</v>
      </c>
      <c r="I45" s="2">
        <f t="shared" si="33"/>
        <v>0.60503999999999991</v>
      </c>
      <c r="J45" s="2">
        <f t="shared" si="33"/>
        <v>12.1008</v>
      </c>
      <c r="K45" s="11">
        <f>1-((1-(I45/G45))/INDEX($P$2:$P$6,C45))</f>
        <v>-2.5833333333333339</v>
      </c>
      <c r="L45" s="11">
        <f t="shared" si="36"/>
        <v>1.7999999999999998</v>
      </c>
      <c r="M45" s="11">
        <v>0</v>
      </c>
      <c r="N45" s="2">
        <f t="shared" si="37"/>
        <v>3.1227870967741929</v>
      </c>
      <c r="O45" s="2">
        <f t="shared" ref="O45:O51" si="39">0.75*(((G45*INDEX($R$1:$R$3,$D45))*Q45)/R45)</f>
        <v>44.96813419354838</v>
      </c>
      <c r="P45" s="2">
        <f>1.25*(((G45*INDEX($R$1:$R$3,$D45))*Q45)/R45)</f>
        <v>74.946890322580629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">
        <f t="shared" si="38"/>
        <v>24</v>
      </c>
      <c r="T45" s="2">
        <v>0</v>
      </c>
      <c r="U45" s="2"/>
      <c r="W45" s="2"/>
    </row>
    <row r="46" spans="1:42" x14ac:dyDescent="0.25">
      <c r="A46" s="23">
        <f t="shared" si="6"/>
        <v>8.1000000000000003E-2</v>
      </c>
      <c r="C46" s="2">
        <v>4</v>
      </c>
      <c r="D46" s="2">
        <v>1</v>
      </c>
      <c r="E46" s="5" t="s">
        <v>59</v>
      </c>
      <c r="F46" s="2">
        <f t="shared" si="7"/>
        <v>10.081</v>
      </c>
      <c r="G46" s="2">
        <f t="shared" si="34"/>
        <v>5.7605714285714278</v>
      </c>
      <c r="H46" s="2">
        <f t="shared" si="35"/>
        <v>4.0323999999999991</v>
      </c>
      <c r="I46" s="2">
        <f t="shared" si="33"/>
        <v>1.0080999999999998</v>
      </c>
      <c r="J46" s="2">
        <f t="shared" si="33"/>
        <v>15.121499999999999</v>
      </c>
      <c r="K46" s="11">
        <f t="shared" si="19"/>
        <v>-1.75</v>
      </c>
      <c r="L46" s="11">
        <f t="shared" si="36"/>
        <v>2.4</v>
      </c>
      <c r="M46" s="11">
        <v>0</v>
      </c>
      <c r="N46" s="2">
        <f t="shared" si="37"/>
        <v>5.7605714285714278</v>
      </c>
      <c r="O46" s="2">
        <f t="shared" si="39"/>
        <v>18.96773519163763</v>
      </c>
      <c r="P46" s="2">
        <f t="shared" ref="P46:P51" si="40">1.25*(((G46*INDEX($R$1:$R$3,$D46))*Q46)/R46)</f>
        <v>31.612891986062714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">
        <f t="shared" si="38"/>
        <v>18</v>
      </c>
      <c r="T46" s="2">
        <v>0</v>
      </c>
      <c r="U46" s="2"/>
      <c r="W46" s="2"/>
    </row>
    <row r="47" spans="1:42" x14ac:dyDescent="0.25">
      <c r="A47" s="23">
        <f t="shared" si="6"/>
        <v>7.2000000000000008E-2</v>
      </c>
      <c r="C47" s="2">
        <v>4</v>
      </c>
      <c r="D47" s="2">
        <v>2</v>
      </c>
      <c r="E47" s="5" t="s">
        <v>60</v>
      </c>
      <c r="F47" s="2">
        <f t="shared" si="7"/>
        <v>10.071999999999999</v>
      </c>
      <c r="G47" s="2">
        <f t="shared" si="34"/>
        <v>4.6043428571428562</v>
      </c>
      <c r="H47" s="2">
        <f t="shared" si="35"/>
        <v>3.2230399999999992</v>
      </c>
      <c r="I47" s="2">
        <f t="shared" si="33"/>
        <v>0.80575999999999981</v>
      </c>
      <c r="J47" s="2">
        <f t="shared" si="33"/>
        <v>16.115199999999998</v>
      </c>
      <c r="K47" s="11">
        <f t="shared" si="19"/>
        <v>-1.75</v>
      </c>
      <c r="L47" s="11">
        <f t="shared" si="36"/>
        <v>2.4</v>
      </c>
      <c r="M47" s="11">
        <v>0</v>
      </c>
      <c r="N47" s="2">
        <f t="shared" si="37"/>
        <v>4.6043428571428562</v>
      </c>
      <c r="O47" s="2">
        <f t="shared" si="39"/>
        <v>31.079314285714275</v>
      </c>
      <c r="P47" s="2">
        <f t="shared" si="40"/>
        <v>51.79885714285713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">
        <f t="shared" si="38"/>
        <v>21</v>
      </c>
      <c r="T47" s="2">
        <v>0</v>
      </c>
      <c r="U47" s="2"/>
      <c r="W47" s="16"/>
    </row>
    <row r="48" spans="1:42" x14ac:dyDescent="0.25">
      <c r="A48" s="23">
        <f t="shared" si="6"/>
        <v>6.3E-2</v>
      </c>
      <c r="C48" s="2">
        <v>4</v>
      </c>
      <c r="D48" s="2">
        <v>3</v>
      </c>
      <c r="E48" s="5" t="s">
        <v>61</v>
      </c>
      <c r="F48" s="2">
        <f t="shared" si="7"/>
        <v>10.063000000000001</v>
      </c>
      <c r="G48" s="2">
        <f t="shared" si="34"/>
        <v>3.4501714285714287</v>
      </c>
      <c r="H48" s="2">
        <f t="shared" si="35"/>
        <v>2.4151199999999999</v>
      </c>
      <c r="I48" s="2">
        <f t="shared" si="33"/>
        <v>0.60377999999999998</v>
      </c>
      <c r="J48" s="2">
        <f t="shared" si="33"/>
        <v>17.107100000000003</v>
      </c>
      <c r="K48" s="11">
        <f t="shared" si="19"/>
        <v>-1.75</v>
      </c>
      <c r="L48" s="11">
        <f t="shared" si="36"/>
        <v>2.4</v>
      </c>
      <c r="M48" s="11">
        <v>0</v>
      </c>
      <c r="N48" s="2">
        <f t="shared" si="37"/>
        <v>3.4501714285714287</v>
      </c>
      <c r="O48" s="2">
        <f t="shared" si="39"/>
        <v>49.682468571428572</v>
      </c>
      <c r="P48" s="2">
        <f t="shared" si="40"/>
        <v>82.804114285714277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">
        <f t="shared" si="38"/>
        <v>24</v>
      </c>
      <c r="T48" s="2">
        <v>0</v>
      </c>
      <c r="U48" s="2"/>
    </row>
    <row r="49" spans="1:24" x14ac:dyDescent="0.25">
      <c r="A49" s="23">
        <f t="shared" si="6"/>
        <v>8.1000000000000003E-2</v>
      </c>
      <c r="C49" s="2">
        <v>5</v>
      </c>
      <c r="D49" s="2">
        <v>1</v>
      </c>
      <c r="E49" s="5" t="s">
        <v>62</v>
      </c>
      <c r="F49" s="2">
        <f t="shared" si="7"/>
        <v>12.581</v>
      </c>
      <c r="G49" s="2">
        <f t="shared" si="34"/>
        <v>6.4414719999999992</v>
      </c>
      <c r="H49" s="2">
        <f t="shared" si="35"/>
        <v>4.0259199999999993</v>
      </c>
      <c r="I49" s="2">
        <f t="shared" si="33"/>
        <v>1.0064799999999998</v>
      </c>
      <c r="J49" s="2">
        <f t="shared" si="33"/>
        <v>20.1296</v>
      </c>
      <c r="K49" s="11">
        <f t="shared" si="19"/>
        <v>-1.25</v>
      </c>
      <c r="L49" s="11">
        <f t="shared" si="36"/>
        <v>3</v>
      </c>
      <c r="M49" s="11">
        <v>0</v>
      </c>
      <c r="N49" s="2">
        <f t="shared" si="37"/>
        <v>6.4414719999999992</v>
      </c>
      <c r="O49" s="2">
        <f t="shared" si="39"/>
        <v>21.209724878048782</v>
      </c>
      <c r="P49" s="2">
        <f t="shared" si="40"/>
        <v>35.349541463414631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">
        <f t="shared" si="38"/>
        <v>18</v>
      </c>
      <c r="T49" s="2">
        <v>0</v>
      </c>
      <c r="U49" s="2"/>
    </row>
    <row r="50" spans="1:24" x14ac:dyDescent="0.25">
      <c r="A50" s="23">
        <f t="shared" si="6"/>
        <v>7.2000000000000008E-2</v>
      </c>
      <c r="C50" s="2">
        <v>5</v>
      </c>
      <c r="D50" s="2">
        <v>2</v>
      </c>
      <c r="E50" s="5" t="s">
        <v>63</v>
      </c>
      <c r="F50" s="2">
        <f t="shared" si="7"/>
        <v>12.571999999999999</v>
      </c>
      <c r="G50" s="2">
        <f t="shared" si="34"/>
        <v>4.8276479999999991</v>
      </c>
      <c r="H50" s="2">
        <f t="shared" si="35"/>
        <v>3.0172799999999995</v>
      </c>
      <c r="I50" s="2">
        <f t="shared" si="33"/>
        <v>0.75431999999999988</v>
      </c>
      <c r="J50" s="2">
        <f t="shared" si="33"/>
        <v>21.372400000000003</v>
      </c>
      <c r="K50" s="11">
        <f t="shared" si="19"/>
        <v>-1.25</v>
      </c>
      <c r="L50" s="11">
        <f t="shared" si="36"/>
        <v>3</v>
      </c>
      <c r="M50" s="11">
        <v>0</v>
      </c>
      <c r="N50" s="2">
        <f t="shared" si="37"/>
        <v>4.8276479999999991</v>
      </c>
      <c r="O50" s="2">
        <f t="shared" si="39"/>
        <v>32.586623999999993</v>
      </c>
      <c r="P50" s="2">
        <f t="shared" si="40"/>
        <v>54.311039999999984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">
        <f t="shared" si="38"/>
        <v>21</v>
      </c>
      <c r="T50" s="2">
        <v>0</v>
      </c>
      <c r="U50" s="2"/>
    </row>
    <row r="51" spans="1:24" x14ac:dyDescent="0.25">
      <c r="A51" s="23">
        <f t="shared" si="6"/>
        <v>6.3E-2</v>
      </c>
      <c r="C51" s="2">
        <v>5</v>
      </c>
      <c r="D51" s="2">
        <v>3</v>
      </c>
      <c r="E51" s="5" t="s">
        <v>64</v>
      </c>
      <c r="F51" s="2">
        <f t="shared" si="7"/>
        <v>12.563000000000001</v>
      </c>
      <c r="G51" s="2">
        <f t="shared" si="34"/>
        <v>3.2161279999999985</v>
      </c>
      <c r="H51" s="2">
        <f t="shared" si="35"/>
        <v>2.010079999999999</v>
      </c>
      <c r="I51" s="2">
        <f t="shared" si="33"/>
        <v>0.50251999999999974</v>
      </c>
      <c r="J51" s="2">
        <f t="shared" si="33"/>
        <v>22.613400000000002</v>
      </c>
      <c r="K51" s="11">
        <f>1-((1-(I51/G51))/INDEX($P$2:$P$6,C51))</f>
        <v>-1.25</v>
      </c>
      <c r="L51" s="11">
        <f t="shared" si="36"/>
        <v>3</v>
      </c>
      <c r="M51" s="11">
        <v>0</v>
      </c>
      <c r="N51" s="2">
        <f t="shared" si="37"/>
        <v>3.2161279999999985</v>
      </c>
      <c r="O51" s="2">
        <f t="shared" si="39"/>
        <v>46.312243199999983</v>
      </c>
      <c r="P51" s="2">
        <f t="shared" si="40"/>
        <v>77.187071999999972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">
        <f t="shared" si="38"/>
        <v>24</v>
      </c>
      <c r="T51" s="2">
        <v>0</v>
      </c>
      <c r="U51" s="2"/>
    </row>
    <row r="52" spans="1:24" x14ac:dyDescent="0.25">
      <c r="A52" s="23">
        <f t="shared" si="6"/>
        <v>-4.4999999999999998E-2</v>
      </c>
      <c r="E52" s="3" t="s">
        <v>65</v>
      </c>
      <c r="F52" s="15" t="s">
        <v>140</v>
      </c>
      <c r="G52" s="15">
        <v>1</v>
      </c>
      <c r="H52" s="15">
        <v>1</v>
      </c>
      <c r="I52" s="15">
        <v>1</v>
      </c>
      <c r="J52" s="15">
        <v>3</v>
      </c>
      <c r="K52" s="11"/>
      <c r="L52" s="11"/>
      <c r="M52" s="11"/>
      <c r="N52" s="2"/>
      <c r="O52" s="2"/>
      <c r="P52" s="2"/>
      <c r="Q52" s="2"/>
      <c r="R52" s="15" t="s">
        <v>250</v>
      </c>
      <c r="S52" s="2">
        <v>60</v>
      </c>
      <c r="T52" s="2">
        <v>0</v>
      </c>
      <c r="U52" s="2"/>
    </row>
    <row r="53" spans="1:24" x14ac:dyDescent="0.25">
      <c r="A53" s="23">
        <f t="shared" si="6"/>
        <v>-8.1000000000000003E-2</v>
      </c>
      <c r="B53" s="2">
        <v>1</v>
      </c>
      <c r="C53">
        <v>4</v>
      </c>
      <c r="D53">
        <v>1</v>
      </c>
      <c r="E53" s="5" t="s">
        <v>66</v>
      </c>
      <c r="F53" s="2">
        <f t="shared" si="7"/>
        <v>19.919</v>
      </c>
      <c r="G53" s="2">
        <f>IF(G$52=1,H53,H53/(1-INDEX($O$2:$O$6,C53)))</f>
        <v>29.878500000000003</v>
      </c>
      <c r="H53" s="2">
        <f>$F53*(INDEX($F$3:$F$5,H$9)+(($C53+($D53*$F$7))*INDEX($G$3:$G$5,H$9)))</f>
        <v>29.878500000000003</v>
      </c>
      <c r="I53" s="2">
        <f>$F53*(INDEX($F$3:$F$5,I$9)+(($C53+($D53*$F$7))*INDEX($G$3:$G$5,I$9)))</f>
        <v>7.9675999999999991</v>
      </c>
      <c r="J53" s="2">
        <f>$F53*(INDEX($F$3:$F$5,J$9)+(($C53+($D53*$F$7))*INDEX($G$3:$G$5,J$9)))</f>
        <v>1.9918999999999998</v>
      </c>
      <c r="K53" s="11">
        <f>1-((1-(I53/G53))/INDEX($P$2:$P$6,C53))</f>
        <v>-1.4444444444444446</v>
      </c>
      <c r="L53" s="11">
        <f>(INDEX($Q$2:$Q$6,C53)/((1/INDEX($F$4:$F$6,J$52))-1))</f>
        <v>6.6666666666666666E-2</v>
      </c>
      <c r="M53" s="11">
        <v>0</v>
      </c>
      <c r="N53" s="2">
        <f t="shared" ref="N53:N89" si="41">(AVERAGE(O53,P53)*R53)/Q53</f>
        <v>119.51400000000001</v>
      </c>
      <c r="O53" s="2">
        <f>0.75*(((G53*INDEX($R$1:$R$3,$D53+2))*Q53)/R53)</f>
        <v>636.88381578947372</v>
      </c>
      <c r="P53" s="2">
        <f>1.25*(((G53*INDEX($R$1:$R$3,$D53+2))*Q53)/R53)</f>
        <v>1061.4730263157894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">
        <f>$S$52*(1+(D53*$F$8))</f>
        <v>72</v>
      </c>
      <c r="T53" s="2">
        <f>INDEX($T$2:$T$6,C53)</f>
        <v>7.5</v>
      </c>
      <c r="U53" s="2"/>
    </row>
    <row r="54" spans="1:24" x14ac:dyDescent="0.25">
      <c r="A54" s="23">
        <f t="shared" si="6"/>
        <v>-8.1000000000000003E-2</v>
      </c>
      <c r="B54" s="2">
        <v>1</v>
      </c>
      <c r="C54">
        <v>5</v>
      </c>
      <c r="D54">
        <v>1</v>
      </c>
      <c r="E54" s="5" t="s">
        <v>67</v>
      </c>
      <c r="F54" s="2">
        <f t="shared" si="7"/>
        <v>24.919</v>
      </c>
      <c r="G54" s="2">
        <f>IF(G$52=1,H54,H54/(1-INDEX($O$2:$O$6,C54)))</f>
        <v>39.870400000000004</v>
      </c>
      <c r="H54" s="2">
        <f t="shared" ref="H54:J75" si="42">$F54*(INDEX($F$3:$F$5,H$9)+(($C54+($D54*$F$7))*INDEX($G$3:$G$5,H$9)))</f>
        <v>39.870400000000004</v>
      </c>
      <c r="I54" s="2">
        <f t="shared" si="42"/>
        <v>7.9740799999999989</v>
      </c>
      <c r="J54" s="2">
        <f t="shared" si="42"/>
        <v>1.9935199999999997</v>
      </c>
      <c r="K54" s="11">
        <f>1-((1-(I54/G54))/INDEX($P$2:$P$6,C54))</f>
        <v>-1.1333333333333333</v>
      </c>
      <c r="L54" s="11">
        <f>(INDEX($Q$2:$Q$6,C54)/((1/INDEX($F$4:$F$6,J$52))-1))</f>
        <v>8.3333333333333329E-2</v>
      </c>
      <c r="M54" s="11">
        <v>0</v>
      </c>
      <c r="N54" s="2">
        <f t="shared" si="41"/>
        <v>159.48160000000001</v>
      </c>
      <c r="O54" s="2">
        <f>0.75*(((G54*INDEX($R$1:$R$3,$D54+2))*Q54)/R54)</f>
        <v>849.86905263157905</v>
      </c>
      <c r="P54" s="2">
        <f>1.25*(((G54*INDEX($R$1:$R$3,$D54+2))*Q54)/R54)</f>
        <v>1416.4484210526316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">
        <f>$S$52*(1+(D54*$F$8))</f>
        <v>72</v>
      </c>
      <c r="T54" s="2">
        <f>INDEX($T$2:$T$6,C54)</f>
        <v>10</v>
      </c>
      <c r="U54" s="2"/>
    </row>
    <row r="55" spans="1:24" x14ac:dyDescent="0.25">
      <c r="A55" s="23">
        <f t="shared" si="6"/>
        <v>0</v>
      </c>
      <c r="E55" s="19" t="s">
        <v>218</v>
      </c>
      <c r="F55" s="15" t="s">
        <v>140</v>
      </c>
      <c r="G55" s="15">
        <v>0</v>
      </c>
      <c r="H55" s="15">
        <v>2</v>
      </c>
      <c r="I55" s="15">
        <v>3</v>
      </c>
      <c r="J55" s="15">
        <v>1</v>
      </c>
      <c r="K55" s="11"/>
      <c r="L55" s="11"/>
      <c r="M55" s="11"/>
      <c r="N55" s="2"/>
      <c r="O55" s="2"/>
      <c r="P55" s="2"/>
      <c r="Q55" s="2"/>
      <c r="R55" s="15" t="s">
        <v>250</v>
      </c>
      <c r="S55" s="2">
        <v>45</v>
      </c>
      <c r="T55" s="2">
        <v>0</v>
      </c>
      <c r="U55" s="2"/>
    </row>
    <row r="56" spans="1:24" x14ac:dyDescent="0.25">
      <c r="A56" s="23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7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1">
        <f>1-((1-(I56/G56))/INDEX($P$2:$P$6,C56))</f>
        <v>-9.2500000000000018</v>
      </c>
      <c r="L56" s="11">
        <v>0</v>
      </c>
      <c r="M56" s="11">
        <v>1</v>
      </c>
      <c r="N56" s="2">
        <f t="shared" si="41"/>
        <v>2.1855135135135138</v>
      </c>
      <c r="O56" s="2">
        <f>0.75*(((G56*INDEX($R$1:$R$3,$D56+2))*Q56)/R56)</f>
        <v>8.0878378378378386</v>
      </c>
      <c r="P56" s="2">
        <f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">
        <f>$S$55*(1+(D56*$F$8))</f>
        <v>36</v>
      </c>
      <c r="T56" s="2">
        <v>0</v>
      </c>
      <c r="U56" s="2"/>
    </row>
    <row r="57" spans="1:24" x14ac:dyDescent="0.25">
      <c r="A57" s="23">
        <f t="shared" si="6"/>
        <v>0</v>
      </c>
      <c r="C57" s="2">
        <v>1</v>
      </c>
      <c r="D57" s="2">
        <v>0</v>
      </c>
      <c r="E57" s="18" t="s">
        <v>70</v>
      </c>
      <c r="F57" s="2">
        <f t="shared" si="7"/>
        <v>2.5</v>
      </c>
      <c r="G57" s="2">
        <f t="shared" ref="G57:G70" si="43">IF(G$55=1,H57,H57/(1-INDEX($O$2:$O$6,C57)))</f>
        <v>1.8378378378378379</v>
      </c>
      <c r="H57" s="2">
        <f>$F57*(0.68-(0.12*$D57))</f>
        <v>1.7000000000000002</v>
      </c>
      <c r="I57" s="2">
        <f t="shared" ref="I57:I70" si="44">$F57*(0.32+(0.12*D57))</f>
        <v>0.8</v>
      </c>
      <c r="J57" s="2">
        <f t="shared" ref="J57:J70" si="45">F57</f>
        <v>2.5</v>
      </c>
      <c r="K57" s="11">
        <f>1-((1-(I57/G57))/INDEX($P$2:$P$6,C57))</f>
        <v>-6.5294117647058822</v>
      </c>
      <c r="L57" s="11">
        <v>0</v>
      </c>
      <c r="M57" s="11">
        <v>1</v>
      </c>
      <c r="N57" s="2">
        <f t="shared" si="41"/>
        <v>3.6756756756756759</v>
      </c>
      <c r="O57" s="2">
        <f>0.75*(((G57*INDEX($R$1:$R$3,$D57+2))*Q57)/R57)</f>
        <v>14.358108108108109</v>
      </c>
      <c r="P57" s="2">
        <f>1.25*(((G57*INDEX($R$1:$R$3,$D57+2))*Q57)/R57)</f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">
        <f t="shared" ref="S57:S70" si="46">$S$55*(1+(D57*$F$8))</f>
        <v>45</v>
      </c>
      <c r="T57" s="2">
        <v>0</v>
      </c>
      <c r="U57" s="2"/>
    </row>
    <row r="58" spans="1:24" x14ac:dyDescent="0.25">
      <c r="A58" s="23">
        <f t="shared" si="6"/>
        <v>-2.7E-2</v>
      </c>
      <c r="C58" s="2">
        <v>1</v>
      </c>
      <c r="D58" s="2">
        <v>1</v>
      </c>
      <c r="E58" s="18" t="s">
        <v>71</v>
      </c>
      <c r="F58" s="2">
        <f t="shared" si="7"/>
        <v>2.4729999999999999</v>
      </c>
      <c r="G58" s="2">
        <f t="shared" si="43"/>
        <v>1.4971675675675675</v>
      </c>
      <c r="H58" s="2">
        <f t="shared" ref="H58:H70" si="47">$F58*(0.68-(0.12*$D58))</f>
        <v>1.3848800000000001</v>
      </c>
      <c r="I58" s="2">
        <f t="shared" si="44"/>
        <v>1.08812</v>
      </c>
      <c r="J58" s="2">
        <f t="shared" si="45"/>
        <v>2.4729999999999999</v>
      </c>
      <c r="K58" s="11">
        <f>1-((1-(I58/G58))/INDEX($P$2:$P$6,C58))</f>
        <v>-2.6428571428571432</v>
      </c>
      <c r="L58" s="11">
        <v>0</v>
      </c>
      <c r="M58" s="11">
        <v>1</v>
      </c>
      <c r="N58" s="2">
        <f t="shared" si="41"/>
        <v>5.9886702702702701</v>
      </c>
      <c r="O58" s="2">
        <f>0.75*(((G58*INDEX($R$1:$R$3,$D58+2))*Q58)/R58)</f>
        <v>25.139007664380795</v>
      </c>
      <c r="P58" s="2">
        <f>1.25*(((G58*INDEX($R$1:$R$3,$D58+2))*Q58)/R58)</f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">
        <f t="shared" si="46"/>
        <v>54</v>
      </c>
      <c r="T58" s="2">
        <v>0</v>
      </c>
      <c r="U58" s="2"/>
    </row>
    <row r="59" spans="1:24" x14ac:dyDescent="0.25">
      <c r="A59" s="23">
        <f t="shared" si="6"/>
        <v>2.7E-2</v>
      </c>
      <c r="C59" s="2">
        <v>2</v>
      </c>
      <c r="D59" s="2">
        <v>-1</v>
      </c>
      <c r="E59" s="18" t="s">
        <v>72</v>
      </c>
      <c r="F59" s="2">
        <f t="shared" si="7"/>
        <v>5.0270000000000001</v>
      </c>
      <c r="G59" s="2">
        <f t="shared" si="43"/>
        <v>4.7312941176470593</v>
      </c>
      <c r="H59" s="2">
        <f t="shared" si="47"/>
        <v>4.0216000000000003</v>
      </c>
      <c r="I59" s="2">
        <f t="shared" si="44"/>
        <v>1.0054000000000001</v>
      </c>
      <c r="J59" s="2">
        <f t="shared" si="45"/>
        <v>5.0270000000000001</v>
      </c>
      <c r="K59" s="11">
        <f>1-((1-(I59/G59))/INDEX($P$2:$P$6,C59))</f>
        <v>-4.25</v>
      </c>
      <c r="L59" s="11">
        <v>0</v>
      </c>
      <c r="M59" s="11">
        <v>1</v>
      </c>
      <c r="N59" s="2">
        <f t="shared" si="41"/>
        <v>4.7312941176470593</v>
      </c>
      <c r="O59" s="2">
        <f>0.75*(((G59*INDEX($R$1:$R$3,$D59+2))*Q59)/R59)</f>
        <v>17.508900928792571</v>
      </c>
      <c r="P59" s="2">
        <f>1.25*(((G59*INDEX($R$1:$R$3,$D59+2))*Q59)/R59)</f>
        <v>29.181501547987622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">
        <f t="shared" si="46"/>
        <v>36</v>
      </c>
      <c r="T59" s="2">
        <v>0</v>
      </c>
      <c r="U59" s="2"/>
    </row>
    <row r="60" spans="1:24" x14ac:dyDescent="0.25">
      <c r="A60" s="23">
        <f t="shared" si="6"/>
        <v>0</v>
      </c>
      <c r="C60" s="2">
        <v>2</v>
      </c>
      <c r="D60" s="2">
        <v>0</v>
      </c>
      <c r="E60" s="18" t="s">
        <v>73</v>
      </c>
      <c r="F60" s="2">
        <f t="shared" si="7"/>
        <v>5</v>
      </c>
      <c r="G60" s="2">
        <f t="shared" si="43"/>
        <v>4.0000000000000009</v>
      </c>
      <c r="H60" s="2">
        <f t="shared" si="47"/>
        <v>3.4000000000000004</v>
      </c>
      <c r="I60" s="2">
        <f t="shared" si="44"/>
        <v>1.6</v>
      </c>
      <c r="J60" s="2">
        <f t="shared" si="45"/>
        <v>5</v>
      </c>
      <c r="K60" s="11">
        <f>1-((1-(I60/G60))/INDEX($P$2:$P$6,C60))</f>
        <v>-3.0000000000000009</v>
      </c>
      <c r="L60" s="11">
        <v>0</v>
      </c>
      <c r="M60" s="11">
        <v>1</v>
      </c>
      <c r="N60" s="2">
        <f t="shared" si="41"/>
        <v>8.0000000000000018</v>
      </c>
      <c r="O60" s="2">
        <f>0.75*(((G60*INDEX($R$1:$R$3,$D60+2))*Q60)/R60)</f>
        <v>31.250000000000007</v>
      </c>
      <c r="P60" s="2">
        <f>1.25*(((G60*INDEX($R$1:$R$3,$D60+2))*Q60)/R60)</f>
        <v>52.08333333333335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">
        <f t="shared" si="46"/>
        <v>45</v>
      </c>
      <c r="T60" s="2">
        <v>0</v>
      </c>
      <c r="U60" s="2"/>
    </row>
    <row r="61" spans="1:24" x14ac:dyDescent="0.25">
      <c r="A61" s="23">
        <f t="shared" si="6"/>
        <v>-2.7E-2</v>
      </c>
      <c r="C61" s="2">
        <v>2</v>
      </c>
      <c r="D61" s="2">
        <v>1</v>
      </c>
      <c r="E61" s="18" t="s">
        <v>74</v>
      </c>
      <c r="F61" s="2">
        <f t="shared" si="7"/>
        <v>4.9729999999999999</v>
      </c>
      <c r="G61" s="2">
        <f t="shared" si="43"/>
        <v>3.2763294117647064</v>
      </c>
      <c r="H61" s="2">
        <f t="shared" si="47"/>
        <v>2.7848800000000002</v>
      </c>
      <c r="I61" s="2">
        <f t="shared" si="44"/>
        <v>2.1881200000000001</v>
      </c>
      <c r="J61" s="2">
        <f t="shared" si="45"/>
        <v>4.9729999999999999</v>
      </c>
      <c r="K61" s="11">
        <f>1-((1-(I61/G61))/INDEX($P$2:$P$6,C61))</f>
        <v>-1.2142857142857149</v>
      </c>
      <c r="L61" s="11">
        <v>0</v>
      </c>
      <c r="M61" s="11">
        <v>1</v>
      </c>
      <c r="N61" s="2">
        <f t="shared" si="41"/>
        <v>13.105317647058826</v>
      </c>
      <c r="O61" s="2">
        <f>0.75*(((G61*INDEX($R$1:$R$3,$D61+2))*Q61)/R61)</f>
        <v>55.012993854258127</v>
      </c>
      <c r="P61" s="2">
        <f>1.25*(((G61*INDEX($R$1:$R$3,$D61+2))*Q61)/R61)</f>
        <v>91.688323090430202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">
        <f t="shared" si="46"/>
        <v>54</v>
      </c>
      <c r="T61" s="2">
        <v>0</v>
      </c>
      <c r="U61" s="2"/>
    </row>
    <row r="62" spans="1:24" x14ac:dyDescent="0.25">
      <c r="A62" s="23">
        <f t="shared" si="6"/>
        <v>2.7E-2</v>
      </c>
      <c r="C62" s="2">
        <v>3</v>
      </c>
      <c r="D62" s="2">
        <v>-1</v>
      </c>
      <c r="E62" s="18" t="s">
        <v>75</v>
      </c>
      <c r="F62" s="2">
        <f t="shared" si="7"/>
        <v>7.5270000000000001</v>
      </c>
      <c r="G62" s="2">
        <f t="shared" si="43"/>
        <v>7.7698064516129035</v>
      </c>
      <c r="H62" s="2">
        <f t="shared" si="47"/>
        <v>6.0216000000000003</v>
      </c>
      <c r="I62" s="2">
        <f t="shared" si="44"/>
        <v>1.5054000000000001</v>
      </c>
      <c r="J62" s="2">
        <f t="shared" si="45"/>
        <v>7.5270000000000001</v>
      </c>
      <c r="K62" s="11">
        <f>1-((1-(I62/G62))/INDEX($P$2:$P$6,C62))</f>
        <v>-2.5833333333333339</v>
      </c>
      <c r="L62" s="11">
        <v>0</v>
      </c>
      <c r="M62" s="11">
        <v>1</v>
      </c>
      <c r="N62" s="2">
        <f t="shared" si="41"/>
        <v>7.7698064516129035</v>
      </c>
      <c r="O62" s="2">
        <f>0.75*(((G62*INDEX($R$1:$R$3,$D62+2))*Q62)/R62)</f>
        <v>28.753395585738538</v>
      </c>
      <c r="P62" s="2">
        <f>1.25*(((G62*INDEX($R$1:$R$3,$D62+2))*Q62)/R62)</f>
        <v>47.922325976230901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">
        <f t="shared" si="46"/>
        <v>36</v>
      </c>
      <c r="T62" s="2">
        <v>0</v>
      </c>
      <c r="U62" s="2"/>
    </row>
    <row r="63" spans="1:24" x14ac:dyDescent="0.25">
      <c r="A63" s="23">
        <f t="shared" si="6"/>
        <v>0</v>
      </c>
      <c r="C63" s="2">
        <v>3</v>
      </c>
      <c r="D63" s="2">
        <v>0</v>
      </c>
      <c r="E63" s="18" t="s">
        <v>76</v>
      </c>
      <c r="F63" s="2">
        <f t="shared" si="7"/>
        <v>7.5</v>
      </c>
      <c r="G63" s="2">
        <f t="shared" si="43"/>
        <v>6.580645161290323</v>
      </c>
      <c r="H63" s="2">
        <f t="shared" si="47"/>
        <v>5.1000000000000005</v>
      </c>
      <c r="I63" s="2">
        <f t="shared" si="44"/>
        <v>2.4</v>
      </c>
      <c r="J63" s="2">
        <f t="shared" si="45"/>
        <v>7.5</v>
      </c>
      <c r="K63" s="11">
        <f>1-((1-(I63/G63))/INDEX($P$2:$P$6,C63))</f>
        <v>-1.8235294117647061</v>
      </c>
      <c r="L63" s="11">
        <v>0</v>
      </c>
      <c r="M63" s="11">
        <v>1</v>
      </c>
      <c r="N63" s="2">
        <f t="shared" si="41"/>
        <v>13.161290322580646</v>
      </c>
      <c r="O63" s="2">
        <f>0.75*(((G63*INDEX($R$1:$R$3,$D63+2))*Q63)/R63)</f>
        <v>51.411290322580655</v>
      </c>
      <c r="P63" s="2">
        <f>1.25*(((G63*INDEX($R$1:$R$3,$D63+2))*Q63)/R63)</f>
        <v>85.685483870967758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">
        <f t="shared" si="46"/>
        <v>45</v>
      </c>
      <c r="T63" s="2">
        <v>0</v>
      </c>
      <c r="U63" s="2"/>
      <c r="X63" s="16"/>
    </row>
    <row r="64" spans="1:24" x14ac:dyDescent="0.25">
      <c r="A64" s="23">
        <f t="shared" si="6"/>
        <v>-2.7E-2</v>
      </c>
      <c r="C64" s="2">
        <v>3</v>
      </c>
      <c r="D64" s="2">
        <v>1</v>
      </c>
      <c r="E64" s="18" t="s">
        <v>77</v>
      </c>
      <c r="F64" s="2">
        <f t="shared" si="7"/>
        <v>7.4729999999999999</v>
      </c>
      <c r="G64" s="2">
        <f t="shared" si="43"/>
        <v>5.3998451612903233</v>
      </c>
      <c r="H64" s="2">
        <f t="shared" si="47"/>
        <v>4.1848800000000006</v>
      </c>
      <c r="I64" s="2">
        <f t="shared" si="44"/>
        <v>3.2881200000000002</v>
      </c>
      <c r="J64" s="2">
        <f t="shared" si="45"/>
        <v>7.4729999999999999</v>
      </c>
      <c r="K64" s="11">
        <f>1-((1-(I64/G64))/INDEX($P$2:$P$6,C64))</f>
        <v>-0.73809523809523858</v>
      </c>
      <c r="L64" s="11">
        <v>0</v>
      </c>
      <c r="M64" s="11">
        <v>1</v>
      </c>
      <c r="N64" s="2">
        <f t="shared" si="41"/>
        <v>21.599380645161297</v>
      </c>
      <c r="O64" s="2">
        <f>0.75*(((G64*INDEX($R$1:$R$3,$D64+2))*Q64)/R64)</f>
        <v>90.669041887337514</v>
      </c>
      <c r="P64" s="2">
        <f>1.25*(((G64*INDEX($R$1:$R$3,$D64+2))*Q64)/R64)</f>
        <v>151.11506981222919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">
        <f t="shared" si="46"/>
        <v>54</v>
      </c>
      <c r="T64" s="2">
        <v>0</v>
      </c>
      <c r="U64" s="2"/>
    </row>
    <row r="65" spans="1:21" x14ac:dyDescent="0.25">
      <c r="A65" s="23">
        <f t="shared" si="6"/>
        <v>2.7E-2</v>
      </c>
      <c r="C65" s="2">
        <v>4</v>
      </c>
      <c r="D65" s="2">
        <v>-1</v>
      </c>
      <c r="E65" s="18" t="s">
        <v>78</v>
      </c>
      <c r="F65" s="2">
        <f t="shared" si="7"/>
        <v>10.026999999999999</v>
      </c>
      <c r="G65" s="2">
        <f t="shared" si="43"/>
        <v>11.459428571428571</v>
      </c>
      <c r="H65" s="2">
        <f t="shared" si="47"/>
        <v>8.0215999999999994</v>
      </c>
      <c r="I65" s="2">
        <f t="shared" si="44"/>
        <v>2.0053999999999998</v>
      </c>
      <c r="J65" s="2">
        <f t="shared" si="45"/>
        <v>10.026999999999999</v>
      </c>
      <c r="K65" s="11">
        <f>1-((1-(I65/G65))/INDEX($P$2:$P$6,C65))</f>
        <v>-1.75</v>
      </c>
      <c r="L65" s="11">
        <v>0</v>
      </c>
      <c r="M65" s="11">
        <v>1</v>
      </c>
      <c r="N65" s="2">
        <f t="shared" si="41"/>
        <v>11.459428571428573</v>
      </c>
      <c r="O65" s="2">
        <f>0.75*(((G65*INDEX($R$1:$R$3,$D65+2))*Q65)/R65)</f>
        <v>42.407424812030079</v>
      </c>
      <c r="P65" s="2">
        <f>1.25*(((G65*INDEX($R$1:$R$3,$D65+2))*Q65)/R65)</f>
        <v>70.679041353383468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">
        <f t="shared" si="46"/>
        <v>36</v>
      </c>
      <c r="T65" s="2">
        <v>0</v>
      </c>
      <c r="U65" s="2"/>
    </row>
    <row r="66" spans="1:21" x14ac:dyDescent="0.25">
      <c r="A66" s="23">
        <f t="shared" si="6"/>
        <v>0</v>
      </c>
      <c r="C66" s="2">
        <v>4</v>
      </c>
      <c r="D66" s="2">
        <v>0</v>
      </c>
      <c r="E66" s="18" t="s">
        <v>79</v>
      </c>
      <c r="F66" s="2">
        <f t="shared" si="7"/>
        <v>10</v>
      </c>
      <c r="G66" s="2">
        <f t="shared" si="43"/>
        <v>9.7142857142857153</v>
      </c>
      <c r="H66" s="2">
        <f t="shared" si="47"/>
        <v>6.8000000000000007</v>
      </c>
      <c r="I66" s="2">
        <f t="shared" si="44"/>
        <v>3.2</v>
      </c>
      <c r="J66" s="2">
        <f t="shared" si="45"/>
        <v>10</v>
      </c>
      <c r="K66" s="11">
        <f>1-((1-(I66/G66))/INDEX($P$2:$P$6,C66))</f>
        <v>-1.2352941176470593</v>
      </c>
      <c r="L66" s="11">
        <v>0</v>
      </c>
      <c r="M66" s="11">
        <v>1</v>
      </c>
      <c r="N66" s="2">
        <f t="shared" si="41"/>
        <v>19.428571428571431</v>
      </c>
      <c r="O66" s="2">
        <f>0.75*(((G66*INDEX($R$1:$R$3,$D66+2))*Q66)/R66)</f>
        <v>75.892857142857153</v>
      </c>
      <c r="P66" s="2">
        <f>1.25*(((G66*INDEX($R$1:$R$3,$D66+2))*Q66)/R66)</f>
        <v>126.48809523809526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">
        <f t="shared" si="46"/>
        <v>45</v>
      </c>
      <c r="T66" s="2">
        <v>0</v>
      </c>
      <c r="U66" s="2"/>
    </row>
    <row r="67" spans="1:21" x14ac:dyDescent="0.25">
      <c r="A67" s="23">
        <f t="shared" si="6"/>
        <v>-2.7E-2</v>
      </c>
      <c r="C67" s="2">
        <v>4</v>
      </c>
      <c r="D67" s="2">
        <v>1</v>
      </c>
      <c r="E67" s="18" t="s">
        <v>80</v>
      </c>
      <c r="F67" s="2">
        <f t="shared" si="7"/>
        <v>9.9730000000000008</v>
      </c>
      <c r="G67" s="2">
        <f t="shared" si="43"/>
        <v>7.9784000000000015</v>
      </c>
      <c r="H67" s="2">
        <f t="shared" si="47"/>
        <v>5.584880000000001</v>
      </c>
      <c r="I67" s="2">
        <f t="shared" si="44"/>
        <v>4.3881200000000007</v>
      </c>
      <c r="J67" s="2">
        <f t="shared" si="45"/>
        <v>9.9730000000000008</v>
      </c>
      <c r="K67" s="11">
        <f>1-((1-(I67/G67))/INDEX($P$2:$P$6,C67))</f>
        <v>-0.50000000000000022</v>
      </c>
      <c r="L67" s="11">
        <v>0</v>
      </c>
      <c r="M67" s="11">
        <v>1</v>
      </c>
      <c r="N67" s="2">
        <f t="shared" si="41"/>
        <v>31.913600000000006</v>
      </c>
      <c r="O67" s="2">
        <f>0.75*(((G67*INDEX($R$1:$R$3,$D67+2))*Q67)/R67)</f>
        <v>133.96567164179106</v>
      </c>
      <c r="P67" s="2">
        <f>1.25*(((G67*INDEX($R$1:$R$3,$D67+2))*Q67)/R67)</f>
        <v>223.2761194029851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">
        <f t="shared" si="46"/>
        <v>54</v>
      </c>
      <c r="T67" s="2">
        <v>0</v>
      </c>
      <c r="U67" s="2"/>
    </row>
    <row r="68" spans="1:21" x14ac:dyDescent="0.25">
      <c r="A68" s="23">
        <f t="shared" si="6"/>
        <v>2.7E-2</v>
      </c>
      <c r="C68" s="2">
        <v>5</v>
      </c>
      <c r="D68" s="2">
        <v>-1</v>
      </c>
      <c r="E68" s="18" t="s">
        <v>81</v>
      </c>
      <c r="F68" s="2">
        <f t="shared" si="7"/>
        <v>12.526999999999999</v>
      </c>
      <c r="G68" s="2">
        <f t="shared" si="43"/>
        <v>16.034559999999999</v>
      </c>
      <c r="H68" s="2">
        <f t="shared" si="47"/>
        <v>10.021599999999999</v>
      </c>
      <c r="I68" s="2">
        <f t="shared" si="44"/>
        <v>2.5053999999999998</v>
      </c>
      <c r="J68" s="2">
        <f t="shared" si="45"/>
        <v>12.526999999999999</v>
      </c>
      <c r="K68" s="11">
        <f>1-((1-(I68/G68))/INDEX($P$2:$P$6,C68))</f>
        <v>-1.25</v>
      </c>
      <c r="L68" s="11">
        <v>0</v>
      </c>
      <c r="M68" s="11">
        <v>1</v>
      </c>
      <c r="N68" s="2">
        <f t="shared" si="41"/>
        <v>16.034559999999999</v>
      </c>
      <c r="O68" s="2">
        <f>0.75*(((G68*INDEX($R$1:$R$3,$D68+2))*Q68)/R68)</f>
        <v>59.338421052631574</v>
      </c>
      <c r="P68" s="2">
        <f>1.25*(((G68*INDEX($R$1:$R$3,$D68+2))*Q68)/R68)</f>
        <v>98.897368421052633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">
        <f t="shared" si="46"/>
        <v>36</v>
      </c>
      <c r="T68" s="2">
        <v>0</v>
      </c>
      <c r="U68" s="2"/>
    </row>
    <row r="69" spans="1:21" x14ac:dyDescent="0.25">
      <c r="A69" s="23">
        <f t="shared" si="6"/>
        <v>0</v>
      </c>
      <c r="C69" s="2">
        <v>5</v>
      </c>
      <c r="D69" s="2">
        <v>0</v>
      </c>
      <c r="E69" s="18" t="s">
        <v>82</v>
      </c>
      <c r="F69" s="2">
        <f t="shared" si="7"/>
        <v>12.5</v>
      </c>
      <c r="G69" s="2">
        <f t="shared" si="43"/>
        <v>13.6</v>
      </c>
      <c r="H69" s="2">
        <f>$F69*(0.68-(0.12*$D69))</f>
        <v>8.5</v>
      </c>
      <c r="I69" s="2">
        <f t="shared" si="44"/>
        <v>4</v>
      </c>
      <c r="J69" s="2">
        <f t="shared" si="45"/>
        <v>12.5</v>
      </c>
      <c r="K69" s="11">
        <f>1-((1-(I69/G69))/INDEX($P$2:$P$6,C69))</f>
        <v>-0.88235294117647034</v>
      </c>
      <c r="L69" s="11">
        <v>0</v>
      </c>
      <c r="M69" s="11">
        <v>1</v>
      </c>
      <c r="N69" s="2">
        <f t="shared" si="41"/>
        <v>27.200000000000003</v>
      </c>
      <c r="O69" s="2">
        <f>0.75*(((G69*INDEX($R$1:$R$3,$D69+2))*Q69)/R69)</f>
        <v>106.25000000000001</v>
      </c>
      <c r="P69" s="2">
        <f>1.25*(((G69*INDEX($R$1:$R$3,$D69+2))*Q69)/R69)</f>
        <v>177.08333333333337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">
        <f t="shared" si="46"/>
        <v>45</v>
      </c>
      <c r="T69" s="2">
        <v>0</v>
      </c>
      <c r="U69" s="2"/>
    </row>
    <row r="70" spans="1:21" x14ac:dyDescent="0.25">
      <c r="A70" s="23">
        <f t="shared" si="6"/>
        <v>-2.7E-2</v>
      </c>
      <c r="C70" s="2">
        <v>5</v>
      </c>
      <c r="D70" s="2">
        <v>1</v>
      </c>
      <c r="E70" s="18" t="s">
        <v>83</v>
      </c>
      <c r="F70" s="2">
        <f t="shared" si="7"/>
        <v>12.473000000000001</v>
      </c>
      <c r="G70" s="2">
        <f t="shared" si="43"/>
        <v>11.175808000000002</v>
      </c>
      <c r="H70" s="2">
        <f t="shared" si="47"/>
        <v>6.9848800000000013</v>
      </c>
      <c r="I70" s="2">
        <f t="shared" si="44"/>
        <v>5.4881200000000003</v>
      </c>
      <c r="J70" s="2">
        <f t="shared" si="45"/>
        <v>12.473000000000001</v>
      </c>
      <c r="K70" s="11">
        <f>1-((1-(I70/G70))/INDEX($P$2:$P$6,C70))</f>
        <v>-0.35714285714285698</v>
      </c>
      <c r="L70" s="11">
        <v>0</v>
      </c>
      <c r="M70" s="11">
        <v>1</v>
      </c>
      <c r="N70" s="2">
        <f t="shared" si="41"/>
        <v>44.703232000000007</v>
      </c>
      <c r="O70" s="2">
        <f>0.75*(((G70*INDEX($R$1:$R$3,$D70+2))*Q70)/R70)</f>
        <v>187.65349253731347</v>
      </c>
      <c r="P70" s="2">
        <f>1.25*(((G70*INDEX($R$1:$R$3,$D70+2))*Q70)/R70)</f>
        <v>312.75582089552245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">
        <f t="shared" si="46"/>
        <v>54</v>
      </c>
      <c r="T70" s="2">
        <v>0</v>
      </c>
      <c r="U70" s="2"/>
    </row>
    <row r="71" spans="1:21" x14ac:dyDescent="0.25">
      <c r="A71" s="23">
        <f t="shared" si="6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1"/>
      <c r="L71" s="11"/>
      <c r="M71" s="11"/>
      <c r="N71" s="2"/>
      <c r="O71" s="2"/>
      <c r="P71" s="2"/>
      <c r="Q71" s="2"/>
      <c r="R71" s="15" t="s">
        <v>250</v>
      </c>
      <c r="S71" s="2">
        <v>60</v>
      </c>
      <c r="T71" s="2">
        <v>0</v>
      </c>
      <c r="U71" s="2"/>
    </row>
    <row r="72" spans="1:21" x14ac:dyDescent="0.25">
      <c r="A72" s="23">
        <f t="shared" si="6"/>
        <v>-8.1000000000000003E-2</v>
      </c>
      <c r="B72" s="2">
        <v>1</v>
      </c>
      <c r="C72">
        <v>4</v>
      </c>
      <c r="D72">
        <v>1</v>
      </c>
      <c r="E72" s="5" t="s">
        <v>85</v>
      </c>
      <c r="F72" s="2">
        <f t="shared" ref="F12:F75" si="48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42"/>
        <v>1.9999999999999998</v>
      </c>
      <c r="K72" s="11">
        <f>1-((1-(I72/G72))/INDEX($P$2:$P$6,C72))</f>
        <v>0</v>
      </c>
      <c r="L72" s="11">
        <v>1</v>
      </c>
      <c r="M72" s="11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">
        <f>$S$71*(1+(D72*$F$8))</f>
        <v>72</v>
      </c>
      <c r="T72" s="2">
        <v>0</v>
      </c>
      <c r="U72" s="2"/>
    </row>
    <row r="73" spans="1:21" x14ac:dyDescent="0.25">
      <c r="A73" s="23">
        <f t="shared" si="6"/>
        <v>-8.1000000000000003E-2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42"/>
        <v>1.9999999999999998</v>
      </c>
      <c r="K73" s="11">
        <f>1-((1-(I73/G73))/INDEX($P$2:$P$6,C73))</f>
        <v>0</v>
      </c>
      <c r="L73" s="11">
        <v>0</v>
      </c>
      <c r="M73" s="11">
        <v>1</v>
      </c>
      <c r="N73" s="2">
        <f t="shared" si="41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">
        <f>$S$71*(1+(D73*$F$8))</f>
        <v>72</v>
      </c>
      <c r="T73" s="2">
        <v>0</v>
      </c>
      <c r="U73" s="2"/>
    </row>
    <row r="74" spans="1:21" x14ac:dyDescent="0.25">
      <c r="A74" s="23">
        <f t="shared" si="6"/>
        <v>0</v>
      </c>
      <c r="E74" s="3" t="s">
        <v>87</v>
      </c>
      <c r="F74" s="2" t="s">
        <v>140</v>
      </c>
      <c r="G74" s="2">
        <v>0</v>
      </c>
      <c r="H74" s="15" t="s">
        <v>251</v>
      </c>
      <c r="I74" s="16"/>
      <c r="J74" s="16"/>
      <c r="K74" s="11"/>
      <c r="L74" s="11"/>
      <c r="M74" s="11"/>
      <c r="N74" s="2"/>
      <c r="O74" s="2"/>
      <c r="P74" s="2"/>
      <c r="Q74" s="2"/>
      <c r="R74" s="15" t="s">
        <v>250</v>
      </c>
      <c r="S74" s="2">
        <v>45</v>
      </c>
      <c r="T74" s="2">
        <v>0</v>
      </c>
      <c r="U74" s="2"/>
    </row>
    <row r="75" spans="1:21" x14ac:dyDescent="0.25">
      <c r="A75" s="23">
        <f t="shared" si="6"/>
        <v>2.7E-2</v>
      </c>
      <c r="C75" s="2">
        <v>3</v>
      </c>
      <c r="D75" s="2">
        <v>-1</v>
      </c>
      <c r="E75" s="18" t="s">
        <v>88</v>
      </c>
      <c r="F75" s="2">
        <f t="shared" si="48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42"/>
        <v>1.2</v>
      </c>
      <c r="K75" s="11">
        <f t="shared" si="19"/>
        <v>0.93939393939393978</v>
      </c>
      <c r="L75" s="11">
        <v>0</v>
      </c>
      <c r="M75" s="11">
        <v>1</v>
      </c>
      <c r="N75" s="2">
        <f t="shared" si="41"/>
        <v>4.258064516129032</v>
      </c>
      <c r="O75" s="2">
        <f>0.75*(((G75*INDEX($R$1:$R$3,$D75+2))*Q75)/R75)</f>
        <v>12.267899291896143</v>
      </c>
      <c r="P75" s="2">
        <f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">
        <f>$S$74*(1+(D75*$F$8))</f>
        <v>36</v>
      </c>
      <c r="T75" s="2">
        <v>0</v>
      </c>
      <c r="U75" s="2"/>
    </row>
    <row r="76" spans="1:21" x14ac:dyDescent="0.25">
      <c r="A76" s="23">
        <f t="shared" ref="A76:A122" si="49">(S76-$I$2)*$J$2</f>
        <v>0</v>
      </c>
      <c r="C76" s="2">
        <v>3</v>
      </c>
      <c r="D76" s="2">
        <v>0</v>
      </c>
      <c r="E76" s="18" t="s">
        <v>89</v>
      </c>
      <c r="F76" s="2">
        <f t="shared" ref="F76:F115" si="50">($F$2+(C76*$F$1))*(B76+1)</f>
        <v>7.5</v>
      </c>
      <c r="G76" s="2">
        <f t="shared" ref="G76:G83" si="51">IF(G$74=1,H76,H76/(1-INDEX($O$2:$O$6,C76)))</f>
        <v>3.096774193548387</v>
      </c>
      <c r="H76" s="2">
        <f t="shared" ref="H76:H83" si="52">$F76*(0.32-(0.12*$D76))</f>
        <v>2.4</v>
      </c>
      <c r="I76" s="2">
        <f t="shared" ref="I76:I83" si="53">$F76*(0.68+(0.12*D76))</f>
        <v>5.1000000000000005</v>
      </c>
      <c r="J76" s="2">
        <f t="shared" ref="H76:J115" si="54">$F76*(INDEX($F$3:$F$5,J$9)+(($C76+($D76*$F$7))*INDEX($G$3:$G$5,J$9)))</f>
        <v>1.05</v>
      </c>
      <c r="K76" s="11">
        <f t="shared" si="19"/>
        <v>3.8750000000000018</v>
      </c>
      <c r="L76" s="11">
        <v>0</v>
      </c>
      <c r="M76" s="11">
        <v>1</v>
      </c>
      <c r="N76" s="2">
        <f t="shared" si="41"/>
        <v>6.193548387096774</v>
      </c>
      <c r="O76" s="2">
        <f>0.75*(((G76*INDEX($R$1:$R$3,$D76+2))*Q76)/R76)</f>
        <v>18.29032258064516</v>
      </c>
      <c r="P76" s="2">
        <f>1.25*(((G76*INDEX($R$1:$R$3,$D76+2))*Q76)/R76)</f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">
        <f t="shared" ref="S76:S83" si="55">$S$74*(1+(D76*$F$8))</f>
        <v>45</v>
      </c>
      <c r="T76" s="2">
        <v>0</v>
      </c>
      <c r="U76" s="2"/>
    </row>
    <row r="77" spans="1:21" x14ac:dyDescent="0.25">
      <c r="A77" s="23">
        <f t="shared" si="49"/>
        <v>-2.7E-2</v>
      </c>
      <c r="C77" s="2">
        <v>3</v>
      </c>
      <c r="D77" s="2">
        <v>1</v>
      </c>
      <c r="E77" s="18" t="s">
        <v>90</v>
      </c>
      <c r="F77" s="2">
        <f t="shared" si="50"/>
        <v>7.5</v>
      </c>
      <c r="G77" s="2">
        <f t="shared" si="51"/>
        <v>1.9354838709677418</v>
      </c>
      <c r="H77" s="2">
        <f t="shared" si="52"/>
        <v>1.5</v>
      </c>
      <c r="I77" s="2">
        <f t="shared" si="53"/>
        <v>6</v>
      </c>
      <c r="J77" s="2">
        <f t="shared" si="54"/>
        <v>0.89999999999999991</v>
      </c>
      <c r="K77" s="11">
        <f t="shared" si="19"/>
        <v>10.333333333333334</v>
      </c>
      <c r="L77" s="11">
        <v>0</v>
      </c>
      <c r="M77" s="11">
        <v>1</v>
      </c>
      <c r="N77" s="2">
        <f t="shared" si="41"/>
        <v>7.7419354838709671</v>
      </c>
      <c r="O77" s="2">
        <f>0.75*(((G77*INDEX($R$1:$R$3,$D77+2))*Q77)/R77)</f>
        <v>24.387096774193544</v>
      </c>
      <c r="P77" s="2">
        <f>1.25*(((G77*INDEX($R$1:$R$3,$D77+2))*Q77)/R77)</f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">
        <f t="shared" si="55"/>
        <v>54</v>
      </c>
      <c r="T77" s="2">
        <v>0</v>
      </c>
      <c r="U77" s="2"/>
    </row>
    <row r="78" spans="1:21" x14ac:dyDescent="0.25">
      <c r="A78" s="23">
        <f t="shared" si="49"/>
        <v>2.7E-2</v>
      </c>
      <c r="C78" s="2">
        <v>4</v>
      </c>
      <c r="D78" s="2">
        <v>-1</v>
      </c>
      <c r="E78" s="18" t="s">
        <v>91</v>
      </c>
      <c r="F78" s="2">
        <f t="shared" si="50"/>
        <v>10</v>
      </c>
      <c r="G78" s="2">
        <f t="shared" si="51"/>
        <v>6.2857142857142865</v>
      </c>
      <c r="H78" s="2">
        <f t="shared" si="52"/>
        <v>4.4000000000000004</v>
      </c>
      <c r="I78" s="2">
        <f t="shared" si="53"/>
        <v>5.6000000000000005</v>
      </c>
      <c r="J78" s="2">
        <f t="shared" si="54"/>
        <v>1.4000000000000001</v>
      </c>
      <c r="K78" s="11">
        <f t="shared" si="19"/>
        <v>0.63636363636363624</v>
      </c>
      <c r="L78" s="11">
        <v>0</v>
      </c>
      <c r="M78" s="11">
        <v>1</v>
      </c>
      <c r="N78" s="2">
        <f t="shared" si="41"/>
        <v>6.2857142857142865</v>
      </c>
      <c r="O78" s="2">
        <f>0.75*(((G78*INDEX($R$1:$R$3,$D78+2))*Q78)/R78)</f>
        <v>18.109756097560975</v>
      </c>
      <c r="P78" s="2">
        <f>1.25*(((G78*INDEX($R$1:$R$3,$D78+2))*Q78)/R78)</f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">
        <f t="shared" si="55"/>
        <v>36</v>
      </c>
      <c r="T78" s="2">
        <v>0</v>
      </c>
      <c r="U78" s="2"/>
    </row>
    <row r="79" spans="1:21" x14ac:dyDescent="0.25">
      <c r="A79" s="23">
        <f t="shared" si="49"/>
        <v>0</v>
      </c>
      <c r="C79" s="2">
        <v>4</v>
      </c>
      <c r="D79" s="2">
        <v>0</v>
      </c>
      <c r="E79" s="18" t="s">
        <v>92</v>
      </c>
      <c r="F79" s="2">
        <f t="shared" si="50"/>
        <v>10</v>
      </c>
      <c r="G79" s="2">
        <f t="shared" si="51"/>
        <v>4.5714285714285721</v>
      </c>
      <c r="H79" s="2">
        <f t="shared" si="52"/>
        <v>3.2</v>
      </c>
      <c r="I79" s="2">
        <f t="shared" si="53"/>
        <v>6.8000000000000007</v>
      </c>
      <c r="J79" s="2">
        <f t="shared" si="54"/>
        <v>1.2</v>
      </c>
      <c r="K79" s="11">
        <f t="shared" si="19"/>
        <v>2.625</v>
      </c>
      <c r="L79" s="11">
        <v>0</v>
      </c>
      <c r="M79" s="11">
        <v>1</v>
      </c>
      <c r="N79" s="2">
        <f t="shared" si="41"/>
        <v>9.1428571428571441</v>
      </c>
      <c r="O79" s="2">
        <f>0.75*(((G79*INDEX($R$1:$R$3,$D79+2))*Q79)/R79)</f>
        <v>27</v>
      </c>
      <c r="P79" s="2">
        <f>1.25*(((G79*INDEX($R$1:$R$3,$D79+2))*Q79)/R79)</f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">
        <f t="shared" si="55"/>
        <v>45</v>
      </c>
      <c r="T79" s="2">
        <v>0</v>
      </c>
      <c r="U79" s="2"/>
    </row>
    <row r="80" spans="1:21" x14ac:dyDescent="0.25">
      <c r="A80" s="23">
        <f t="shared" si="49"/>
        <v>-2.7E-2</v>
      </c>
      <c r="C80" s="2">
        <v>4</v>
      </c>
      <c r="D80" s="2">
        <v>1</v>
      </c>
      <c r="E80" s="18" t="s">
        <v>93</v>
      </c>
      <c r="F80" s="2">
        <f t="shared" si="50"/>
        <v>10</v>
      </c>
      <c r="G80" s="2">
        <f t="shared" si="51"/>
        <v>2.8571428571428572</v>
      </c>
      <c r="H80" s="2">
        <f t="shared" si="52"/>
        <v>2</v>
      </c>
      <c r="I80" s="2">
        <f t="shared" si="53"/>
        <v>8</v>
      </c>
      <c r="J80" s="2">
        <f t="shared" si="54"/>
        <v>0.99999999999999989</v>
      </c>
      <c r="K80" s="11">
        <f t="shared" si="19"/>
        <v>7</v>
      </c>
      <c r="L80" s="11">
        <v>0</v>
      </c>
      <c r="M80" s="11">
        <v>1</v>
      </c>
      <c r="N80" s="2">
        <f t="shared" si="41"/>
        <v>11.428571428571429</v>
      </c>
      <c r="O80" s="2">
        <f>0.75*(((G80*INDEX($R$1:$R$3,$D80+2))*Q80)/R80)</f>
        <v>36</v>
      </c>
      <c r="P80" s="2">
        <f>1.25*(((G80*INDEX($R$1:$R$3,$D80+2))*Q80)/R80)</f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">
        <f t="shared" si="55"/>
        <v>54</v>
      </c>
      <c r="T80" s="2">
        <v>0</v>
      </c>
      <c r="U80" s="2"/>
    </row>
    <row r="81" spans="1:21" x14ac:dyDescent="0.25">
      <c r="A81" s="23">
        <f t="shared" si="49"/>
        <v>2.7E-2</v>
      </c>
      <c r="C81" s="2">
        <v>5</v>
      </c>
      <c r="D81" s="2">
        <v>-1</v>
      </c>
      <c r="E81" s="18" t="s">
        <v>94</v>
      </c>
      <c r="F81" s="2">
        <f t="shared" si="50"/>
        <v>12.5</v>
      </c>
      <c r="G81" s="2">
        <f t="shared" si="51"/>
        <v>8.8000000000000007</v>
      </c>
      <c r="H81" s="2">
        <f t="shared" si="52"/>
        <v>5.5</v>
      </c>
      <c r="I81" s="2">
        <f t="shared" si="53"/>
        <v>7.0000000000000009</v>
      </c>
      <c r="J81" s="2">
        <f t="shared" si="54"/>
        <v>1.5</v>
      </c>
      <c r="K81" s="11">
        <f t="shared" si="19"/>
        <v>0.4545454545454547</v>
      </c>
      <c r="L81" s="11">
        <v>0</v>
      </c>
      <c r="M81" s="11">
        <v>1</v>
      </c>
      <c r="N81" s="2">
        <f t="shared" si="41"/>
        <v>8.8000000000000007</v>
      </c>
      <c r="O81" s="2">
        <f>0.75*(((G81*INDEX($R$1:$R$3,$D81+2))*Q81)/R81)</f>
        <v>25.353658536585371</v>
      </c>
      <c r="P81" s="2">
        <f>1.25*(((G81*INDEX($R$1:$R$3,$D81+2))*Q81)/R81)</f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">
        <f t="shared" si="55"/>
        <v>36</v>
      </c>
      <c r="T81" s="2">
        <v>0</v>
      </c>
      <c r="U81" s="2"/>
    </row>
    <row r="82" spans="1:21" x14ac:dyDescent="0.25">
      <c r="A82" s="23">
        <f t="shared" si="49"/>
        <v>0</v>
      </c>
      <c r="C82" s="2">
        <v>5</v>
      </c>
      <c r="D82" s="2">
        <v>0</v>
      </c>
      <c r="E82" s="18" t="s">
        <v>95</v>
      </c>
      <c r="F82" s="2">
        <f t="shared" si="50"/>
        <v>12.5</v>
      </c>
      <c r="G82" s="2">
        <f t="shared" si="51"/>
        <v>6.4</v>
      </c>
      <c r="H82" s="2">
        <f t="shared" si="52"/>
        <v>4</v>
      </c>
      <c r="I82" s="2">
        <f t="shared" si="53"/>
        <v>8.5</v>
      </c>
      <c r="J82" s="2">
        <f t="shared" si="54"/>
        <v>1.25</v>
      </c>
      <c r="K82" s="11">
        <f t="shared" si="19"/>
        <v>1.875</v>
      </c>
      <c r="L82" s="11">
        <v>0</v>
      </c>
      <c r="M82" s="11">
        <v>1</v>
      </c>
      <c r="N82" s="2">
        <f t="shared" si="41"/>
        <v>12.8</v>
      </c>
      <c r="O82" s="2">
        <f>0.75*(((G82*INDEX($R$1:$R$3,$D82+2))*Q82)/R82)</f>
        <v>37.799999999999997</v>
      </c>
      <c r="P82" s="2">
        <f>1.25*(((G82*INDEX($R$1:$R$3,$D82+2))*Q82)/R82)</f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">
        <f t="shared" si="55"/>
        <v>45</v>
      </c>
      <c r="T82" s="2">
        <v>0</v>
      </c>
      <c r="U82" s="2"/>
    </row>
    <row r="83" spans="1:21" x14ac:dyDescent="0.25">
      <c r="A83" s="23">
        <f t="shared" si="49"/>
        <v>-2.7E-2</v>
      </c>
      <c r="C83" s="2">
        <v>5</v>
      </c>
      <c r="D83" s="2">
        <v>1</v>
      </c>
      <c r="E83" s="18" t="s">
        <v>96</v>
      </c>
      <c r="F83" s="2">
        <f t="shared" si="50"/>
        <v>12.5</v>
      </c>
      <c r="G83" s="2">
        <f t="shared" si="51"/>
        <v>4</v>
      </c>
      <c r="H83" s="2">
        <f t="shared" si="52"/>
        <v>2.5</v>
      </c>
      <c r="I83" s="2">
        <f t="shared" si="53"/>
        <v>10</v>
      </c>
      <c r="J83" s="2">
        <f t="shared" si="54"/>
        <v>0.99999999999999989</v>
      </c>
      <c r="K83" s="11">
        <f t="shared" si="19"/>
        <v>5</v>
      </c>
      <c r="L83" s="11">
        <v>0</v>
      </c>
      <c r="M83" s="11">
        <v>1</v>
      </c>
      <c r="N83" s="2">
        <f t="shared" si="41"/>
        <v>16.000000000000004</v>
      </c>
      <c r="O83" s="2">
        <f>0.75*(((G83*INDEX($R$1:$R$3,$D83+2))*Q83)/R83)</f>
        <v>50.400000000000006</v>
      </c>
      <c r="P83" s="2">
        <f>1.25*(((G83*INDEX($R$1:$R$3,$D83+2))*Q83)/R83)</f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">
        <f t="shared" si="55"/>
        <v>54</v>
      </c>
      <c r="T83" s="2">
        <v>0</v>
      </c>
      <c r="U83" s="2"/>
    </row>
    <row r="84" spans="1:21" x14ac:dyDescent="0.25">
      <c r="A84" s="23">
        <f t="shared" si="49"/>
        <v>0.13500000000000001</v>
      </c>
      <c r="E84" s="3" t="s">
        <v>97</v>
      </c>
      <c r="F84" s="2" t="s">
        <v>140</v>
      </c>
      <c r="G84" s="2">
        <v>0</v>
      </c>
      <c r="H84" s="2"/>
      <c r="I84" s="2"/>
      <c r="J84" s="2"/>
      <c r="K84" s="11"/>
      <c r="L84" s="11"/>
      <c r="M84" s="11"/>
      <c r="N84" s="2"/>
      <c r="O84" s="2"/>
      <c r="P84" s="2"/>
      <c r="Q84" s="2"/>
      <c r="R84" s="15" t="s">
        <v>250</v>
      </c>
      <c r="S84" s="2"/>
      <c r="T84" s="2">
        <v>0</v>
      </c>
      <c r="U84" s="2"/>
    </row>
    <row r="85" spans="1:21" x14ac:dyDescent="0.25">
      <c r="A85" s="23">
        <f t="shared" si="49"/>
        <v>2.7E-2</v>
      </c>
      <c r="C85">
        <v>4</v>
      </c>
      <c r="D85">
        <v>1</v>
      </c>
      <c r="E85" s="5" t="s">
        <v>98</v>
      </c>
      <c r="F85" s="2">
        <f t="shared" si="50"/>
        <v>10</v>
      </c>
      <c r="G85" s="2">
        <f>IF(G$84=1,H85,H85/(1-INDEX($O$2:$O$6,C85)))</f>
        <v>21.428571428571431</v>
      </c>
      <c r="H85" s="2">
        <f t="shared" si="54"/>
        <v>15</v>
      </c>
      <c r="I85" s="2">
        <f t="shared" si="54"/>
        <v>3.9999999999999996</v>
      </c>
      <c r="J85" s="2">
        <f t="shared" si="54"/>
        <v>0.99999999999999989</v>
      </c>
      <c r="K85" s="11">
        <f t="shared" si="19"/>
        <v>-1.7111111111111112</v>
      </c>
      <c r="L85" s="11">
        <f t="shared" ref="L27:L86" si="56">J85/F85</f>
        <v>9.9999999999999992E-2</v>
      </c>
      <c r="M85" s="11">
        <v>0</v>
      </c>
      <c r="N85" s="2">
        <f t="shared" si="41"/>
        <v>85.714285714285722</v>
      </c>
      <c r="O85" s="2">
        <f>0.75*(((G85*INDEX($R$1:$R$3,$D85+2))*Q85)/R85)</f>
        <v>240</v>
      </c>
      <c r="P85" s="2">
        <f>1.25*(((G85*INDEX($R$1:$R$3,$D85+2))*Q85)/R85)</f>
        <v>400</v>
      </c>
      <c r="Q85" s="2">
        <f>(AVERAGE(VLOOKUP(E85,weapon_components!$A$8:$M$178,9,0),VLOOKUP(E85,weapon_components!$A$8:$M$178,10,0))+VLOOKUP(E85,weapon_components!$A$8:$M$178,11,0))/10</f>
        <v>2.8</v>
      </c>
      <c r="R85" s="2">
        <f>VLOOKUP(E85,weapon_components!$A$8:$M$178,13,0)</f>
        <v>0.75</v>
      </c>
      <c r="S85" s="2">
        <f t="shared" ref="S76:S115" si="57">$S$9*(1+(D85*$F$8))</f>
        <v>36</v>
      </c>
      <c r="T85" s="2">
        <v>0</v>
      </c>
      <c r="U85" s="2"/>
    </row>
    <row r="86" spans="1:21" x14ac:dyDescent="0.25">
      <c r="A86" s="23">
        <f t="shared" si="49"/>
        <v>2.7E-2</v>
      </c>
      <c r="C86">
        <v>5</v>
      </c>
      <c r="D86">
        <v>1</v>
      </c>
      <c r="E86" s="5" t="s">
        <v>99</v>
      </c>
      <c r="F86" s="2">
        <f t="shared" si="50"/>
        <v>12.5</v>
      </c>
      <c r="G86" s="2">
        <f>IF(G$84=1,H86,H86/(1-INDEX($O$2:$O$6,C86)))</f>
        <v>32</v>
      </c>
      <c r="H86" s="2">
        <f t="shared" si="54"/>
        <v>20</v>
      </c>
      <c r="I86" s="2">
        <f t="shared" si="54"/>
        <v>3.9999999999999996</v>
      </c>
      <c r="J86" s="2">
        <f t="shared" si="54"/>
        <v>0.99999999999999989</v>
      </c>
      <c r="K86" s="11">
        <f t="shared" si="19"/>
        <v>-1.3333333333333335</v>
      </c>
      <c r="L86" s="11">
        <f t="shared" si="56"/>
        <v>7.9999999999999988E-2</v>
      </c>
      <c r="M86" s="11">
        <v>0</v>
      </c>
      <c r="N86" s="2">
        <f t="shared" si="41"/>
        <v>128</v>
      </c>
      <c r="O86" s="2">
        <f>0.75*(((G86*INDEX($R$1:$R$3,$D86+2))*Q86)/R86)</f>
        <v>358.4</v>
      </c>
      <c r="P86" s="2">
        <f>1.25*(((G86*INDEX($R$1:$R$3,$D86+2))*Q86)/R86)</f>
        <v>597.33333333333326</v>
      </c>
      <c r="Q86" s="2">
        <f>(AVERAGE(VLOOKUP(E86,weapon_components!$A$8:$M$178,9,0),VLOOKUP(E86,weapon_components!$A$8:$M$178,10,0))+VLOOKUP(E86,weapon_components!$A$8:$M$178,11,0))/10</f>
        <v>2.8</v>
      </c>
      <c r="R86" s="2">
        <f>VLOOKUP(E86,weapon_components!$A$8:$M$178,13,0)</f>
        <v>0.75</v>
      </c>
      <c r="S86" s="2">
        <f t="shared" si="57"/>
        <v>36</v>
      </c>
      <c r="T86" s="2">
        <v>0</v>
      </c>
      <c r="U86" s="2"/>
    </row>
    <row r="87" spans="1:21" s="16" customFormat="1" x14ac:dyDescent="0.25">
      <c r="A87" s="23">
        <f t="shared" si="49"/>
        <v>-4.4999999999999998E-2</v>
      </c>
      <c r="B87" s="15"/>
      <c r="C87" s="15"/>
      <c r="D87" s="15"/>
      <c r="E87" s="19" t="s">
        <v>100</v>
      </c>
      <c r="F87" s="15" t="s">
        <v>140</v>
      </c>
      <c r="G87" s="15">
        <v>1</v>
      </c>
      <c r="H87" s="15">
        <v>1</v>
      </c>
      <c r="I87" s="15">
        <v>2</v>
      </c>
      <c r="J87" s="15">
        <v>1</v>
      </c>
      <c r="K87" s="20"/>
      <c r="L87" s="20"/>
      <c r="M87" s="20"/>
      <c r="N87" s="15"/>
      <c r="O87" s="15"/>
      <c r="P87" s="15"/>
      <c r="R87" s="15" t="s">
        <v>250</v>
      </c>
      <c r="S87" s="2">
        <v>60</v>
      </c>
      <c r="T87" s="2">
        <v>0</v>
      </c>
    </row>
    <row r="88" spans="1:21" x14ac:dyDescent="0.25">
      <c r="A88" s="23">
        <f t="shared" si="49"/>
        <v>-9.0000000000000011E-3</v>
      </c>
      <c r="C88" s="2">
        <v>1</v>
      </c>
      <c r="D88" s="2">
        <v>-1</v>
      </c>
      <c r="E88" s="5" t="s">
        <v>101</v>
      </c>
      <c r="F88" s="2">
        <f t="shared" si="50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58">$F88*(INDEX($F$3:$F$5,I$87)+(($C88+($D88*$F$7))*INDEX($G$3:$G$5,I$9)))</f>
        <v>2</v>
      </c>
      <c r="J88" s="2">
        <f>$F88*(INDEX($F$3:$F$5,J$87)+(($C88+($D88*$F$7))*INDEX($G$3:$G$5,J$9)))</f>
        <v>2.5</v>
      </c>
      <c r="K88" s="11">
        <f t="shared" si="19"/>
        <v>-1.6666666666666661</v>
      </c>
      <c r="L88" s="11">
        <v>0</v>
      </c>
      <c r="M88" s="11">
        <v>1</v>
      </c>
      <c r="N88" s="2">
        <f t="shared" si="41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">
        <f>$S$87*(1+(D88*$F$8))</f>
        <v>48</v>
      </c>
      <c r="T88" s="2">
        <f>INDEX($T$2:$T$6,C88)</f>
        <v>2.5</v>
      </c>
      <c r="U88" s="2"/>
    </row>
    <row r="89" spans="1:21" x14ac:dyDescent="0.25">
      <c r="A89" s="23">
        <f t="shared" si="49"/>
        <v>-4.4999999999999998E-2</v>
      </c>
      <c r="C89" s="2">
        <v>1</v>
      </c>
      <c r="D89" s="2">
        <v>0</v>
      </c>
      <c r="E89" s="5" t="s">
        <v>102</v>
      </c>
      <c r="F89" s="2">
        <f t="shared" si="50"/>
        <v>2.5</v>
      </c>
      <c r="G89" s="2">
        <f t="shared" ref="G89:G102" si="59">IF(G$87=1,H89,H89/(1-INDEX($O$2:$O$6,C89)))</f>
        <v>2.75</v>
      </c>
      <c r="H89" s="2">
        <f t="shared" si="58"/>
        <v>2.75</v>
      </c>
      <c r="I89" s="2">
        <f t="shared" si="58"/>
        <v>1.7999999999999998</v>
      </c>
      <c r="J89" s="2">
        <f t="shared" si="58"/>
        <v>2.4500000000000002</v>
      </c>
      <c r="K89" s="11">
        <f t="shared" si="19"/>
        <v>-3.6060606060606082</v>
      </c>
      <c r="L89" s="11">
        <v>0</v>
      </c>
      <c r="M89" s="11">
        <v>1</v>
      </c>
      <c r="N89" s="2">
        <f t="shared" si="41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">
        <f t="shared" ref="S89:S102" si="60">$S$87*(1+(D89*$F$8))</f>
        <v>60</v>
      </c>
      <c r="T89" s="2">
        <f t="shared" ref="T89:T115" si="61">INDEX($T$2:$T$6,C89)</f>
        <v>2.5</v>
      </c>
      <c r="U89" s="2"/>
    </row>
    <row r="90" spans="1:21" x14ac:dyDescent="0.25">
      <c r="A90" s="23">
        <f t="shared" si="4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59"/>
        <v>3</v>
      </c>
      <c r="H90" s="2">
        <f t="shared" si="58"/>
        <v>3</v>
      </c>
      <c r="I90" s="2">
        <f t="shared" si="58"/>
        <v>1.6</v>
      </c>
      <c r="J90" s="2">
        <f t="shared" si="58"/>
        <v>2.4</v>
      </c>
      <c r="K90" s="11">
        <f>1-((1-(I90/G90))/INDEX($P$2:$P$6,C90))</f>
        <v>-5.2222222222222223</v>
      </c>
      <c r="L90" s="11">
        <v>0</v>
      </c>
      <c r="M90" s="11">
        <v>1</v>
      </c>
      <c r="N90" s="2">
        <f t="shared" ref="N90:N115" si="62">(AVERAGE(O90,P90)*R90)/Q90</f>
        <v>12</v>
      </c>
      <c r="O90" s="2">
        <f t="shared" ref="O90:O115" si="63">0.75*(((G90*INDEX($R$1:$R$3,$D90+2))*Q90)/R90)</f>
        <v>49.5</v>
      </c>
      <c r="P90" s="2">
        <f t="shared" ref="P90:P115" si="64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">
        <f t="shared" si="60"/>
        <v>72</v>
      </c>
      <c r="T90" s="2">
        <f t="shared" si="61"/>
        <v>2.5</v>
      </c>
      <c r="U90" s="2"/>
    </row>
    <row r="91" spans="1:21" x14ac:dyDescent="0.25">
      <c r="A91" s="23">
        <f t="shared" si="49"/>
        <v>-9.0000000000000011E-3</v>
      </c>
      <c r="C91" s="2">
        <v>2</v>
      </c>
      <c r="D91" s="2">
        <v>-1</v>
      </c>
      <c r="E91" s="5" t="s">
        <v>104</v>
      </c>
      <c r="F91" s="2">
        <f t="shared" si="50"/>
        <v>5</v>
      </c>
      <c r="G91" s="2">
        <f t="shared" si="59"/>
        <v>5.5</v>
      </c>
      <c r="H91" s="2">
        <f t="shared" si="58"/>
        <v>5.5</v>
      </c>
      <c r="I91" s="2">
        <f t="shared" si="58"/>
        <v>3.5999999999999996</v>
      </c>
      <c r="J91" s="2">
        <f t="shared" si="58"/>
        <v>4.9000000000000004</v>
      </c>
      <c r="K91" s="11">
        <f>1-((1-(I91/G91))/INDEX($P$2:$P$6,C91))</f>
        <v>-1.3030303030303041</v>
      </c>
      <c r="L91" s="11">
        <v>0</v>
      </c>
      <c r="M91" s="11">
        <v>1</v>
      </c>
      <c r="N91" s="2">
        <f t="shared" si="62"/>
        <v>5.5</v>
      </c>
      <c r="O91" s="2">
        <f t="shared" si="63"/>
        <v>22.6875</v>
      </c>
      <c r="P91" s="2">
        <f t="shared" si="64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">
        <f t="shared" si="60"/>
        <v>48</v>
      </c>
      <c r="T91" s="2">
        <f t="shared" si="61"/>
        <v>3.75</v>
      </c>
      <c r="U91" s="2"/>
    </row>
    <row r="92" spans="1:21" x14ac:dyDescent="0.25">
      <c r="A92" s="23">
        <f t="shared" si="49"/>
        <v>-4.4999999999999998E-2</v>
      </c>
      <c r="C92" s="2">
        <v>2</v>
      </c>
      <c r="D92" s="2">
        <v>0</v>
      </c>
      <c r="E92" s="5" t="s">
        <v>105</v>
      </c>
      <c r="F92" s="2">
        <f t="shared" si="50"/>
        <v>5</v>
      </c>
      <c r="G92" s="2">
        <f t="shared" si="59"/>
        <v>6</v>
      </c>
      <c r="H92" s="2">
        <f t="shared" si="58"/>
        <v>6</v>
      </c>
      <c r="I92" s="2">
        <f t="shared" si="58"/>
        <v>3.2</v>
      </c>
      <c r="J92" s="2">
        <f t="shared" si="58"/>
        <v>4.8</v>
      </c>
      <c r="K92" s="11">
        <f>1-((1-(I92/G92))/INDEX($P$2:$P$6,C92))</f>
        <v>-2.1111111111111112</v>
      </c>
      <c r="L92" s="11">
        <v>0</v>
      </c>
      <c r="M92" s="11">
        <v>1</v>
      </c>
      <c r="N92" s="2">
        <f t="shared" si="62"/>
        <v>12</v>
      </c>
      <c r="O92" s="2">
        <f t="shared" si="63"/>
        <v>49.5</v>
      </c>
      <c r="P92" s="2">
        <f t="shared" si="64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">
        <f t="shared" si="60"/>
        <v>60</v>
      </c>
      <c r="T92" s="2">
        <f t="shared" si="61"/>
        <v>3.75</v>
      </c>
      <c r="U92" s="2"/>
    </row>
    <row r="93" spans="1:21" x14ac:dyDescent="0.25">
      <c r="A93" s="23">
        <f t="shared" si="49"/>
        <v>-8.1000000000000003E-2</v>
      </c>
      <c r="C93" s="2">
        <v>2</v>
      </c>
      <c r="D93" s="2">
        <v>1</v>
      </c>
      <c r="E93" s="5" t="s">
        <v>106</v>
      </c>
      <c r="F93" s="2">
        <f t="shared" si="50"/>
        <v>5</v>
      </c>
      <c r="G93" s="2">
        <f t="shared" si="59"/>
        <v>6.5</v>
      </c>
      <c r="H93" s="2">
        <f t="shared" si="58"/>
        <v>6.5</v>
      </c>
      <c r="I93" s="2">
        <f t="shared" si="58"/>
        <v>2.8000000000000003</v>
      </c>
      <c r="J93" s="2">
        <f t="shared" si="58"/>
        <v>4.6999999999999993</v>
      </c>
      <c r="K93" s="11">
        <f>1-((1-(I93/G93))/INDEX($P$2:$P$6,C93))</f>
        <v>-2.7948717948717947</v>
      </c>
      <c r="L93" s="11">
        <v>0</v>
      </c>
      <c r="M93" s="11">
        <v>1</v>
      </c>
      <c r="N93" s="2">
        <f t="shared" si="62"/>
        <v>26</v>
      </c>
      <c r="O93" s="2">
        <f t="shared" si="63"/>
        <v>107.25</v>
      </c>
      <c r="P93" s="2">
        <f t="shared" si="64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">
        <f t="shared" si="60"/>
        <v>72</v>
      </c>
      <c r="T93" s="2">
        <f t="shared" si="61"/>
        <v>3.75</v>
      </c>
      <c r="U93" s="2"/>
    </row>
    <row r="94" spans="1:21" x14ac:dyDescent="0.25">
      <c r="A94" s="23">
        <f t="shared" si="49"/>
        <v>-9.0000000000000011E-3</v>
      </c>
      <c r="C94" s="2">
        <v>3</v>
      </c>
      <c r="D94" s="2">
        <v>-1</v>
      </c>
      <c r="E94" s="5" t="s">
        <v>107</v>
      </c>
      <c r="F94" s="2">
        <f t="shared" si="50"/>
        <v>7.5</v>
      </c>
      <c r="G94" s="2">
        <f t="shared" si="59"/>
        <v>9</v>
      </c>
      <c r="H94" s="2">
        <f t="shared" si="58"/>
        <v>9</v>
      </c>
      <c r="I94" s="2">
        <f t="shared" si="58"/>
        <v>4.8</v>
      </c>
      <c r="J94" s="2">
        <f t="shared" si="58"/>
        <v>7.1999999999999993</v>
      </c>
      <c r="K94" s="11">
        <f>1-((1-(I94/G94))/INDEX($P$2:$P$6,C94))</f>
        <v>-1.0740740740740744</v>
      </c>
      <c r="L94" s="11">
        <v>0</v>
      </c>
      <c r="M94" s="11">
        <v>1</v>
      </c>
      <c r="N94" s="2">
        <f t="shared" si="62"/>
        <v>9</v>
      </c>
      <c r="O94" s="2">
        <f t="shared" si="63"/>
        <v>37.125</v>
      </c>
      <c r="P94" s="2">
        <f t="shared" si="64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">
        <f t="shared" si="60"/>
        <v>48</v>
      </c>
      <c r="T94" s="2">
        <f t="shared" si="61"/>
        <v>5</v>
      </c>
      <c r="U94" s="2"/>
    </row>
    <row r="95" spans="1:21" x14ac:dyDescent="0.25">
      <c r="A95" s="23">
        <f t="shared" si="49"/>
        <v>-4.4999999999999998E-2</v>
      </c>
      <c r="C95" s="2">
        <v>3</v>
      </c>
      <c r="D95" s="2">
        <v>0</v>
      </c>
      <c r="E95" s="5" t="s">
        <v>108</v>
      </c>
      <c r="F95" s="2">
        <f t="shared" si="50"/>
        <v>7.5</v>
      </c>
      <c r="G95" s="2">
        <f t="shared" si="59"/>
        <v>9.75</v>
      </c>
      <c r="H95" s="2">
        <f t="shared" si="58"/>
        <v>9.75</v>
      </c>
      <c r="I95" s="2">
        <f t="shared" si="58"/>
        <v>4.2</v>
      </c>
      <c r="J95" s="2">
        <f t="shared" si="58"/>
        <v>7.05</v>
      </c>
      <c r="K95" s="11">
        <f>1-((1-(I95/G95))/INDEX($P$2:$P$6,C95))</f>
        <v>-1.5299145299145303</v>
      </c>
      <c r="L95" s="11">
        <v>0</v>
      </c>
      <c r="M95" s="11">
        <v>1</v>
      </c>
      <c r="N95" s="2">
        <f t="shared" si="62"/>
        <v>19.5</v>
      </c>
      <c r="O95" s="2">
        <f t="shared" si="63"/>
        <v>80.4375</v>
      </c>
      <c r="P95" s="2">
        <f t="shared" si="64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">
        <f t="shared" si="60"/>
        <v>60</v>
      </c>
      <c r="T95" s="2">
        <f t="shared" si="61"/>
        <v>5</v>
      </c>
      <c r="U95" s="2"/>
    </row>
    <row r="96" spans="1:21" x14ac:dyDescent="0.25">
      <c r="A96" s="23">
        <f t="shared" si="49"/>
        <v>-8.1000000000000003E-2</v>
      </c>
      <c r="C96" s="2">
        <v>3</v>
      </c>
      <c r="D96" s="2">
        <v>1</v>
      </c>
      <c r="E96" s="5" t="s">
        <v>109</v>
      </c>
      <c r="F96" s="2">
        <f t="shared" si="50"/>
        <v>7.5</v>
      </c>
      <c r="G96" s="2">
        <f t="shared" si="59"/>
        <v>10.5</v>
      </c>
      <c r="H96" s="2">
        <f t="shared" si="58"/>
        <v>10.5</v>
      </c>
      <c r="I96" s="2">
        <f t="shared" si="58"/>
        <v>3.5999999999999996</v>
      </c>
      <c r="J96" s="2">
        <f t="shared" si="58"/>
        <v>6.8999999999999995</v>
      </c>
      <c r="K96" s="11">
        <f>1-((1-(I96/G96))/INDEX($P$2:$P$6,C96))</f>
        <v>-1.9206349206349214</v>
      </c>
      <c r="L96" s="11">
        <v>0</v>
      </c>
      <c r="M96" s="11">
        <v>1</v>
      </c>
      <c r="N96" s="2">
        <f t="shared" si="62"/>
        <v>42</v>
      </c>
      <c r="O96" s="2">
        <f t="shared" si="63"/>
        <v>173.25</v>
      </c>
      <c r="P96" s="2">
        <f t="shared" si="64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">
        <f t="shared" si="60"/>
        <v>72</v>
      </c>
      <c r="T96" s="2">
        <f t="shared" si="61"/>
        <v>5</v>
      </c>
      <c r="U96" s="2"/>
    </row>
    <row r="97" spans="1:23" x14ac:dyDescent="0.25">
      <c r="A97" s="23">
        <f t="shared" si="49"/>
        <v>-9.0000000000000011E-3</v>
      </c>
      <c r="C97" s="2">
        <v>4</v>
      </c>
      <c r="D97" s="2">
        <v>-1</v>
      </c>
      <c r="E97" s="5" t="s">
        <v>110</v>
      </c>
      <c r="F97" s="2">
        <f t="shared" si="50"/>
        <v>10</v>
      </c>
      <c r="G97" s="2">
        <f t="shared" si="59"/>
        <v>13</v>
      </c>
      <c r="H97" s="2">
        <f t="shared" si="58"/>
        <v>13</v>
      </c>
      <c r="I97" s="2">
        <f t="shared" si="58"/>
        <v>5.6000000000000005</v>
      </c>
      <c r="J97" s="2">
        <f t="shared" si="58"/>
        <v>9.3999999999999986</v>
      </c>
      <c r="K97" s="11">
        <f>1-((1-(I97/G97))/INDEX($P$2:$P$6,C97))</f>
        <v>-0.89743589743589736</v>
      </c>
      <c r="L97" s="11">
        <v>0</v>
      </c>
      <c r="M97" s="11">
        <v>1</v>
      </c>
      <c r="N97" s="2">
        <f t="shared" si="62"/>
        <v>13</v>
      </c>
      <c r="O97" s="2">
        <f t="shared" si="63"/>
        <v>53.625</v>
      </c>
      <c r="P97" s="2">
        <f t="shared" si="64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">
        <f t="shared" si="60"/>
        <v>48</v>
      </c>
      <c r="T97" s="2">
        <f t="shared" si="61"/>
        <v>7.5</v>
      </c>
      <c r="U97" s="2"/>
    </row>
    <row r="98" spans="1:23" x14ac:dyDescent="0.25">
      <c r="A98" s="23">
        <f t="shared" si="49"/>
        <v>-4.4999999999999998E-2</v>
      </c>
      <c r="C98" s="2">
        <v>4</v>
      </c>
      <c r="D98" s="2">
        <v>0</v>
      </c>
      <c r="E98" s="5" t="s">
        <v>111</v>
      </c>
      <c r="F98" s="2">
        <f t="shared" si="50"/>
        <v>10</v>
      </c>
      <c r="G98" s="2">
        <f t="shared" si="59"/>
        <v>14</v>
      </c>
      <c r="H98" s="2">
        <f t="shared" si="58"/>
        <v>14</v>
      </c>
      <c r="I98" s="2">
        <f t="shared" si="58"/>
        <v>4.8</v>
      </c>
      <c r="J98" s="2">
        <f t="shared" si="58"/>
        <v>9.1999999999999993</v>
      </c>
      <c r="K98" s="11">
        <f>1-((1-(I98/G98))/INDEX($P$2:$P$6,C98))</f>
        <v>-1.1904761904761907</v>
      </c>
      <c r="L98" s="11">
        <v>0</v>
      </c>
      <c r="M98" s="11">
        <v>1</v>
      </c>
      <c r="N98" s="2">
        <f t="shared" si="62"/>
        <v>28</v>
      </c>
      <c r="O98" s="2">
        <f t="shared" si="63"/>
        <v>115.5</v>
      </c>
      <c r="P98" s="2">
        <f t="shared" si="64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">
        <f t="shared" si="60"/>
        <v>60</v>
      </c>
      <c r="T98" s="2">
        <f t="shared" si="61"/>
        <v>7.5</v>
      </c>
      <c r="U98" s="2"/>
    </row>
    <row r="99" spans="1:23" x14ac:dyDescent="0.25">
      <c r="A99" s="23">
        <f t="shared" si="49"/>
        <v>-8.1000000000000003E-2</v>
      </c>
      <c r="C99" s="2">
        <v>4</v>
      </c>
      <c r="D99" s="2">
        <v>1</v>
      </c>
      <c r="E99" s="5" t="s">
        <v>112</v>
      </c>
      <c r="F99" s="2">
        <f t="shared" si="50"/>
        <v>10</v>
      </c>
      <c r="G99" s="2">
        <f t="shared" si="59"/>
        <v>15</v>
      </c>
      <c r="H99" s="2">
        <f t="shared" si="58"/>
        <v>15</v>
      </c>
      <c r="I99" s="2">
        <f t="shared" si="58"/>
        <v>3.9999999999999996</v>
      </c>
      <c r="J99" s="2">
        <f t="shared" si="58"/>
        <v>9</v>
      </c>
      <c r="K99" s="11">
        <f>1-((1-(I99/G99))/INDEX($P$2:$P$6,C99))</f>
        <v>-1.4444444444444446</v>
      </c>
      <c r="L99" s="11">
        <v>0</v>
      </c>
      <c r="M99" s="11">
        <v>1</v>
      </c>
      <c r="N99" s="2">
        <f t="shared" si="62"/>
        <v>60</v>
      </c>
      <c r="O99" s="2">
        <f t="shared" si="63"/>
        <v>247.5</v>
      </c>
      <c r="P99" s="2">
        <f t="shared" si="64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">
        <f t="shared" si="60"/>
        <v>72</v>
      </c>
      <c r="T99" s="2">
        <f t="shared" si="61"/>
        <v>7.5</v>
      </c>
      <c r="U99" s="2"/>
    </row>
    <row r="100" spans="1:23" x14ac:dyDescent="0.25">
      <c r="A100" s="23">
        <f t="shared" si="49"/>
        <v>-9.0000000000000011E-3</v>
      </c>
      <c r="C100" s="2">
        <v>5</v>
      </c>
      <c r="D100" s="2">
        <v>-1</v>
      </c>
      <c r="E100" s="5" t="s">
        <v>113</v>
      </c>
      <c r="F100" s="2">
        <f t="shared" si="50"/>
        <v>12.5</v>
      </c>
      <c r="G100" s="2">
        <f t="shared" si="59"/>
        <v>17.5</v>
      </c>
      <c r="H100" s="2">
        <f t="shared" si="58"/>
        <v>17.5</v>
      </c>
      <c r="I100" s="2">
        <f t="shared" si="58"/>
        <v>6</v>
      </c>
      <c r="J100" s="2">
        <f t="shared" si="58"/>
        <v>11.5</v>
      </c>
      <c r="K100" s="11">
        <f>1-((1-(I100/G100))/INDEX($P$2:$P$6,C100))</f>
        <v>-0.75238095238095237</v>
      </c>
      <c r="L100" s="11">
        <v>0</v>
      </c>
      <c r="M100" s="11">
        <v>1</v>
      </c>
      <c r="N100" s="2">
        <f t="shared" si="62"/>
        <v>17.5</v>
      </c>
      <c r="O100" s="2">
        <f t="shared" si="63"/>
        <v>72.1875</v>
      </c>
      <c r="P100" s="2">
        <f t="shared" si="64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">
        <f t="shared" si="60"/>
        <v>48</v>
      </c>
      <c r="T100" s="2">
        <f t="shared" si="61"/>
        <v>10</v>
      </c>
      <c r="U100" s="2"/>
    </row>
    <row r="101" spans="1:23" x14ac:dyDescent="0.25">
      <c r="A101" s="23">
        <f t="shared" si="49"/>
        <v>-4.4999999999999998E-2</v>
      </c>
      <c r="C101" s="2">
        <v>5</v>
      </c>
      <c r="D101" s="2">
        <v>0</v>
      </c>
      <c r="E101" s="5" t="s">
        <v>114</v>
      </c>
      <c r="F101" s="2">
        <f t="shared" si="50"/>
        <v>12.5</v>
      </c>
      <c r="G101" s="2">
        <f t="shared" si="59"/>
        <v>18.75</v>
      </c>
      <c r="H101" s="2">
        <f t="shared" si="58"/>
        <v>18.75</v>
      </c>
      <c r="I101" s="2">
        <f t="shared" si="58"/>
        <v>5</v>
      </c>
      <c r="J101" s="2">
        <f t="shared" si="58"/>
        <v>11.25</v>
      </c>
      <c r="K101" s="11">
        <f>1-((1-(I101/G101))/INDEX($P$2:$P$6,C101))</f>
        <v>-0.95555555555555571</v>
      </c>
      <c r="L101" s="11">
        <v>0</v>
      </c>
      <c r="M101" s="11">
        <v>1</v>
      </c>
      <c r="N101" s="2">
        <f t="shared" si="62"/>
        <v>37.5</v>
      </c>
      <c r="O101" s="2">
        <f t="shared" si="63"/>
        <v>154.6875</v>
      </c>
      <c r="P101" s="2">
        <f t="shared" si="64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">
        <f t="shared" si="60"/>
        <v>60</v>
      </c>
      <c r="T101" s="2">
        <f t="shared" si="61"/>
        <v>10</v>
      </c>
      <c r="U101" s="2"/>
    </row>
    <row r="102" spans="1:23" x14ac:dyDescent="0.25">
      <c r="A102" s="23">
        <f t="shared" si="49"/>
        <v>-8.1000000000000003E-2</v>
      </c>
      <c r="C102" s="2">
        <v>5</v>
      </c>
      <c r="D102" s="2">
        <v>1</v>
      </c>
      <c r="E102" s="5" t="s">
        <v>115</v>
      </c>
      <c r="F102" s="2">
        <f t="shared" si="50"/>
        <v>12.5</v>
      </c>
      <c r="G102" s="2">
        <f t="shared" si="59"/>
        <v>20</v>
      </c>
      <c r="H102" s="2">
        <f t="shared" si="58"/>
        <v>20</v>
      </c>
      <c r="I102" s="2">
        <f t="shared" si="58"/>
        <v>3.9999999999999996</v>
      </c>
      <c r="J102" s="2">
        <f t="shared" si="58"/>
        <v>11</v>
      </c>
      <c r="K102" s="11">
        <f>1-((1-(I102/G102))/INDEX($P$2:$P$6,C102))</f>
        <v>-1.1333333333333333</v>
      </c>
      <c r="L102" s="11">
        <v>0</v>
      </c>
      <c r="M102" s="11">
        <v>1</v>
      </c>
      <c r="N102" s="2">
        <f t="shared" si="62"/>
        <v>80</v>
      </c>
      <c r="O102" s="2">
        <f t="shared" si="63"/>
        <v>330</v>
      </c>
      <c r="P102" s="2">
        <f t="shared" si="64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">
        <f t="shared" si="60"/>
        <v>72</v>
      </c>
      <c r="T102" s="2">
        <f t="shared" si="61"/>
        <v>10</v>
      </c>
      <c r="U102" s="2"/>
    </row>
    <row r="103" spans="1:23" x14ac:dyDescent="0.25">
      <c r="A103" s="23">
        <f t="shared" si="49"/>
        <v>-4.4999999999999998E-2</v>
      </c>
      <c r="E103" s="3" t="s">
        <v>116</v>
      </c>
      <c r="F103" s="2" t="s">
        <v>140</v>
      </c>
      <c r="G103" s="2">
        <v>1</v>
      </c>
      <c r="H103" s="15">
        <v>1</v>
      </c>
      <c r="I103" s="15">
        <v>1</v>
      </c>
      <c r="J103" s="15">
        <v>2</v>
      </c>
      <c r="K103" s="11"/>
      <c r="L103" s="11"/>
      <c r="M103" s="11"/>
      <c r="N103" s="2"/>
      <c r="O103" s="2"/>
      <c r="P103" s="2"/>
      <c r="Q103" s="2"/>
      <c r="R103" s="15" t="s">
        <v>250</v>
      </c>
      <c r="S103" s="2">
        <v>60</v>
      </c>
      <c r="T103" s="2">
        <v>0</v>
      </c>
      <c r="U103" s="2"/>
    </row>
    <row r="104" spans="1:23" x14ac:dyDescent="0.25">
      <c r="A104" s="23">
        <f t="shared" si="49"/>
        <v>-9.0000000000000011E-3</v>
      </c>
      <c r="C104">
        <v>3</v>
      </c>
      <c r="D104" s="2">
        <v>-1</v>
      </c>
      <c r="E104" s="5" t="s">
        <v>117</v>
      </c>
      <c r="F104" s="2">
        <f t="shared" si="50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1">
        <f>1-((1-(I104/G104))/INDEX($P$2:$P$6,C104))</f>
        <v>-0.3333333333333337</v>
      </c>
      <c r="L104" s="11">
        <v>0</v>
      </c>
      <c r="M104" s="11">
        <v>1</v>
      </c>
      <c r="N104" s="2">
        <f t="shared" si="62"/>
        <v>9</v>
      </c>
      <c r="O104" s="2">
        <f t="shared" si="63"/>
        <v>56.362499999999997</v>
      </c>
      <c r="P104" s="2">
        <f t="shared" si="64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">
        <f>$S$103*(1+(D104*$F$8))</f>
        <v>48</v>
      </c>
      <c r="T104" s="2">
        <f t="shared" si="61"/>
        <v>5</v>
      </c>
      <c r="U104" s="2"/>
      <c r="W104">
        <f>LOG(10,5)</f>
        <v>1.4306765580733933</v>
      </c>
    </row>
    <row r="105" spans="1:23" x14ac:dyDescent="0.25">
      <c r="A105" s="23">
        <f t="shared" si="49"/>
        <v>-4.4999999999999998E-2</v>
      </c>
      <c r="C105">
        <v>3</v>
      </c>
      <c r="D105" s="2">
        <v>0</v>
      </c>
      <c r="E105" s="5" t="s">
        <v>118</v>
      </c>
      <c r="F105" s="2">
        <f t="shared" si="50"/>
        <v>7.5</v>
      </c>
      <c r="G105" s="2">
        <f t="shared" ref="G105:G112" si="65">H105</f>
        <v>9.75</v>
      </c>
      <c r="H105" s="2">
        <f t="shared" ref="H105:H112" si="66">$F105*(INDEX($F$3:$F$5,H$103)+(($C105+($D105*$F$7))*INDEX($G$3:$G$5,H$9)))</f>
        <v>9.75</v>
      </c>
      <c r="I105" s="2">
        <f t="shared" ref="I105:J112" si="67">$F105*(INDEX($F$3:$F$5,I$103)+(($C105+($D105*$F$7))*INDEX($G$3:$G$5,I$9)))</f>
        <v>5.7</v>
      </c>
      <c r="J105" s="2">
        <f t="shared" si="67"/>
        <v>5.55</v>
      </c>
      <c r="K105" s="11">
        <f>1-((1-(I105/G105))/INDEX($P$2:$P$6,C105))</f>
        <v>-0.84615384615384626</v>
      </c>
      <c r="L105" s="11">
        <v>0</v>
      </c>
      <c r="M105" s="11">
        <v>1</v>
      </c>
      <c r="N105" s="2">
        <f t="shared" si="62"/>
        <v>19.5</v>
      </c>
      <c r="O105" s="2">
        <f t="shared" si="63"/>
        <v>122.11874999999999</v>
      </c>
      <c r="P105" s="2">
        <f t="shared" si="64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">
        <f t="shared" ref="S105:S112" si="68">$S$103*(1+(D105*$F$8))</f>
        <v>60</v>
      </c>
      <c r="T105" s="2">
        <f t="shared" si="61"/>
        <v>5</v>
      </c>
      <c r="U105" s="2"/>
    </row>
    <row r="106" spans="1:23" x14ac:dyDescent="0.25">
      <c r="A106" s="23">
        <f t="shared" si="49"/>
        <v>-8.1000000000000003E-2</v>
      </c>
      <c r="C106">
        <v>3</v>
      </c>
      <c r="D106" s="2">
        <v>1</v>
      </c>
      <c r="E106" s="5" t="s">
        <v>119</v>
      </c>
      <c r="F106" s="2">
        <f t="shared" si="50"/>
        <v>7.5</v>
      </c>
      <c r="G106" s="2">
        <f t="shared" si="65"/>
        <v>10.5</v>
      </c>
      <c r="H106" s="2">
        <f t="shared" si="66"/>
        <v>10.5</v>
      </c>
      <c r="I106" s="2">
        <f t="shared" si="67"/>
        <v>5.0999999999999996</v>
      </c>
      <c r="J106" s="2">
        <f t="shared" si="67"/>
        <v>5.3999999999999995</v>
      </c>
      <c r="K106" s="11">
        <f>1-((1-(I106/G106))/INDEX($P$2:$P$6,C106))</f>
        <v>-1.285714285714286</v>
      </c>
      <c r="L106" s="11">
        <v>0</v>
      </c>
      <c r="M106" s="11">
        <v>1</v>
      </c>
      <c r="N106" s="2">
        <f t="shared" si="62"/>
        <v>42</v>
      </c>
      <c r="O106" s="2">
        <f t="shared" si="63"/>
        <v>263.02499999999998</v>
      </c>
      <c r="P106" s="2">
        <f t="shared" si="64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">
        <f t="shared" si="68"/>
        <v>72</v>
      </c>
      <c r="T106" s="2">
        <f t="shared" si="61"/>
        <v>5</v>
      </c>
      <c r="U106" s="2"/>
    </row>
    <row r="107" spans="1:23" x14ac:dyDescent="0.25">
      <c r="A107" s="23">
        <f t="shared" si="49"/>
        <v>-9.0000000000000011E-3</v>
      </c>
      <c r="C107">
        <v>4</v>
      </c>
      <c r="D107" s="2">
        <v>-1</v>
      </c>
      <c r="E107" s="5" t="s">
        <v>120</v>
      </c>
      <c r="F107" s="2">
        <f t="shared" si="50"/>
        <v>10</v>
      </c>
      <c r="G107" s="2">
        <f t="shared" si="65"/>
        <v>13</v>
      </c>
      <c r="H107" s="2">
        <f t="shared" si="66"/>
        <v>13</v>
      </c>
      <c r="I107" s="2">
        <f t="shared" si="67"/>
        <v>7.6</v>
      </c>
      <c r="J107" s="2">
        <f t="shared" si="67"/>
        <v>7.4</v>
      </c>
      <c r="K107" s="11">
        <f>1-((1-(I107/G107))/INDEX($P$2:$P$6,C107))</f>
        <v>-0.38461538461538503</v>
      </c>
      <c r="L107" s="11">
        <v>0</v>
      </c>
      <c r="M107" s="11">
        <v>1</v>
      </c>
      <c r="N107" s="2">
        <f t="shared" si="62"/>
        <v>13</v>
      </c>
      <c r="O107" s="2">
        <f t="shared" si="63"/>
        <v>81.412499999999994</v>
      </c>
      <c r="P107" s="2">
        <f t="shared" si="64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">
        <f t="shared" si="68"/>
        <v>48</v>
      </c>
      <c r="T107" s="2">
        <f t="shared" si="61"/>
        <v>7.5</v>
      </c>
      <c r="U107" s="2"/>
    </row>
    <row r="108" spans="1:23" x14ac:dyDescent="0.25">
      <c r="A108" s="23">
        <f t="shared" si="49"/>
        <v>-4.4999999999999998E-2</v>
      </c>
      <c r="C108">
        <v>4</v>
      </c>
      <c r="D108" s="2">
        <v>0</v>
      </c>
      <c r="E108" s="5" t="s">
        <v>121</v>
      </c>
      <c r="F108" s="2">
        <f t="shared" si="50"/>
        <v>10</v>
      </c>
      <c r="G108" s="2">
        <f t="shared" si="65"/>
        <v>14</v>
      </c>
      <c r="H108" s="2">
        <f t="shared" si="66"/>
        <v>14</v>
      </c>
      <c r="I108" s="2">
        <f t="shared" si="67"/>
        <v>6.7999999999999989</v>
      </c>
      <c r="J108" s="2">
        <f t="shared" si="67"/>
        <v>7.1999999999999993</v>
      </c>
      <c r="K108" s="11">
        <f>1-((1-(I108/G108))/INDEX($P$2:$P$6,C108))</f>
        <v>-0.71428571428571463</v>
      </c>
      <c r="L108" s="11">
        <v>0</v>
      </c>
      <c r="M108" s="11">
        <v>1</v>
      </c>
      <c r="N108" s="2">
        <f t="shared" si="62"/>
        <v>28.000000000000004</v>
      </c>
      <c r="O108" s="2">
        <f t="shared" si="63"/>
        <v>175.35</v>
      </c>
      <c r="P108" s="2">
        <f t="shared" si="64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">
        <f t="shared" si="68"/>
        <v>60</v>
      </c>
      <c r="T108" s="2">
        <f t="shared" si="61"/>
        <v>7.5</v>
      </c>
      <c r="U108" s="2"/>
    </row>
    <row r="109" spans="1:23" x14ac:dyDescent="0.25">
      <c r="A109" s="23">
        <f t="shared" si="49"/>
        <v>-8.1000000000000003E-2</v>
      </c>
      <c r="C109">
        <v>4</v>
      </c>
      <c r="D109" s="2">
        <v>1</v>
      </c>
      <c r="E109" s="5" t="s">
        <v>122</v>
      </c>
      <c r="F109" s="2">
        <f t="shared" si="50"/>
        <v>10</v>
      </c>
      <c r="G109" s="2">
        <f t="shared" si="65"/>
        <v>15</v>
      </c>
      <c r="H109" s="2">
        <f t="shared" si="66"/>
        <v>15</v>
      </c>
      <c r="I109" s="2">
        <f t="shared" si="67"/>
        <v>5.9999999999999982</v>
      </c>
      <c r="J109" s="2">
        <f t="shared" si="67"/>
        <v>7.0000000000000009</v>
      </c>
      <c r="K109" s="11">
        <f>1-((1-(I109/G109))/INDEX($P$2:$P$6,C109))</f>
        <v>-1.0000000000000004</v>
      </c>
      <c r="L109" s="11">
        <v>0</v>
      </c>
      <c r="M109" s="11">
        <v>1</v>
      </c>
      <c r="N109" s="2">
        <f t="shared" si="62"/>
        <v>60</v>
      </c>
      <c r="O109" s="2">
        <f t="shared" si="63"/>
        <v>375.75</v>
      </c>
      <c r="P109" s="2">
        <f t="shared" si="64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">
        <f t="shared" si="68"/>
        <v>72</v>
      </c>
      <c r="T109" s="2">
        <f t="shared" si="61"/>
        <v>7.5</v>
      </c>
      <c r="U109" s="2"/>
    </row>
    <row r="110" spans="1:23" x14ac:dyDescent="0.25">
      <c r="A110" s="23">
        <f t="shared" si="49"/>
        <v>-9.0000000000000011E-3</v>
      </c>
      <c r="C110">
        <v>5</v>
      </c>
      <c r="D110" s="2">
        <v>-1</v>
      </c>
      <c r="E110" s="5" t="s">
        <v>123</v>
      </c>
      <c r="F110" s="2">
        <f t="shared" si="50"/>
        <v>12.5</v>
      </c>
      <c r="G110" s="2">
        <f t="shared" si="65"/>
        <v>17.5</v>
      </c>
      <c r="H110" s="2">
        <f t="shared" si="66"/>
        <v>17.5</v>
      </c>
      <c r="I110" s="2">
        <f t="shared" si="67"/>
        <v>8.5</v>
      </c>
      <c r="J110" s="2">
        <f t="shared" si="67"/>
        <v>9</v>
      </c>
      <c r="K110" s="11">
        <f>1-((1-(I110/G110))/INDEX($P$2:$P$6,C110))</f>
        <v>-0.37142857142857122</v>
      </c>
      <c r="L110" s="11">
        <v>0</v>
      </c>
      <c r="M110" s="11">
        <v>1</v>
      </c>
      <c r="N110" s="2">
        <f t="shared" si="62"/>
        <v>17.5</v>
      </c>
      <c r="O110" s="2">
        <f t="shared" si="63"/>
        <v>109.59375</v>
      </c>
      <c r="P110" s="2">
        <f t="shared" si="64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">
        <f t="shared" si="68"/>
        <v>48</v>
      </c>
      <c r="T110" s="2">
        <f t="shared" si="61"/>
        <v>10</v>
      </c>
      <c r="U110" s="2"/>
    </row>
    <row r="111" spans="1:23" x14ac:dyDescent="0.25">
      <c r="A111" s="23">
        <f t="shared" si="49"/>
        <v>-4.4999999999999998E-2</v>
      </c>
      <c r="C111">
        <v>5</v>
      </c>
      <c r="D111" s="2">
        <v>0</v>
      </c>
      <c r="E111" s="5" t="s">
        <v>124</v>
      </c>
      <c r="F111" s="2">
        <f t="shared" si="50"/>
        <v>12.5</v>
      </c>
      <c r="G111" s="2">
        <f t="shared" si="65"/>
        <v>18.75</v>
      </c>
      <c r="H111" s="2">
        <f t="shared" si="66"/>
        <v>18.75</v>
      </c>
      <c r="I111" s="2">
        <f t="shared" si="67"/>
        <v>7.4999999999999982</v>
      </c>
      <c r="J111" s="2">
        <f t="shared" si="67"/>
        <v>8.75</v>
      </c>
      <c r="K111" s="11">
        <f>1-((1-(I111/G111))/INDEX($P$2:$P$6,C111))</f>
        <v>-0.60000000000000031</v>
      </c>
      <c r="L111" s="11">
        <v>0</v>
      </c>
      <c r="M111" s="11">
        <v>1</v>
      </c>
      <c r="N111" s="2">
        <f t="shared" si="62"/>
        <v>37.5</v>
      </c>
      <c r="O111" s="2">
        <f t="shared" si="63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">
        <f t="shared" si="68"/>
        <v>60</v>
      </c>
      <c r="T111" s="2">
        <f t="shared" si="61"/>
        <v>10</v>
      </c>
      <c r="U111" s="2"/>
    </row>
    <row r="112" spans="1:23" x14ac:dyDescent="0.25">
      <c r="A112" s="23">
        <f t="shared" si="49"/>
        <v>-8.1000000000000003E-2</v>
      </c>
      <c r="C112">
        <v>5</v>
      </c>
      <c r="D112" s="2">
        <v>1</v>
      </c>
      <c r="E112" s="5" t="s">
        <v>125</v>
      </c>
      <c r="F112" s="2">
        <f t="shared" si="50"/>
        <v>12.5</v>
      </c>
      <c r="G112" s="2">
        <f t="shared" si="65"/>
        <v>20</v>
      </c>
      <c r="H112" s="2">
        <f t="shared" si="66"/>
        <v>20</v>
      </c>
      <c r="I112" s="2">
        <f t="shared" si="67"/>
        <v>6.4999999999999991</v>
      </c>
      <c r="J112" s="2">
        <f t="shared" si="67"/>
        <v>8.5</v>
      </c>
      <c r="K112" s="11">
        <f>1-((1-(I112/G112))/INDEX($P$2:$P$6,C112))</f>
        <v>-0.8</v>
      </c>
      <c r="L112" s="11">
        <v>0</v>
      </c>
      <c r="M112" s="11">
        <v>1</v>
      </c>
      <c r="N112" s="2">
        <f t="shared" si="62"/>
        <v>80</v>
      </c>
      <c r="O112" s="2">
        <f t="shared" si="63"/>
        <v>501</v>
      </c>
      <c r="P112" s="2">
        <f t="shared" si="64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">
        <f t="shared" si="68"/>
        <v>72</v>
      </c>
      <c r="T112" s="2">
        <f t="shared" si="61"/>
        <v>10</v>
      </c>
    </row>
    <row r="113" spans="1:20" x14ac:dyDescent="0.25">
      <c r="A113" s="23">
        <f t="shared" si="49"/>
        <v>-4.4999999999999998E-2</v>
      </c>
      <c r="D113" s="2"/>
      <c r="E113" s="3" t="s">
        <v>126</v>
      </c>
      <c r="F113" s="2" t="s">
        <v>140</v>
      </c>
      <c r="G113" s="2">
        <v>1</v>
      </c>
      <c r="H113" s="15">
        <v>1</v>
      </c>
      <c r="I113" s="15">
        <v>2</v>
      </c>
      <c r="J113" s="15">
        <v>1</v>
      </c>
      <c r="K113" s="11"/>
      <c r="L113" s="11"/>
      <c r="M113" s="11"/>
      <c r="N113" s="2"/>
      <c r="O113" s="2"/>
      <c r="P113" s="2"/>
      <c r="Q113" s="2"/>
      <c r="R113" s="15" t="s">
        <v>250</v>
      </c>
      <c r="S113" s="2">
        <v>60</v>
      </c>
      <c r="T113" s="2"/>
    </row>
    <row r="114" spans="1:20" x14ac:dyDescent="0.25">
      <c r="A114" s="23">
        <f t="shared" si="49"/>
        <v>-4.4999999999999998E-2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50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69">$F114*(INDEX($F$3:$F$5,I$113)+(($C114+($D114*$F$7))*INDEX($G$3:$G$5,I$113)))</f>
        <v>9.6</v>
      </c>
      <c r="J114" s="2">
        <f t="shared" si="69"/>
        <v>28</v>
      </c>
      <c r="K114" s="11">
        <f>1-((1-(I114/G114))/INDEX($P$2:$P$6,C114))</f>
        <v>-1.1904761904761907</v>
      </c>
      <c r="L114" s="11">
        <v>0</v>
      </c>
      <c r="M114" s="11">
        <v>1</v>
      </c>
      <c r="N114" s="2">
        <f t="shared" si="62"/>
        <v>56</v>
      </c>
      <c r="O114" s="2">
        <f t="shared" si="63"/>
        <v>105</v>
      </c>
      <c r="P114" s="2">
        <f t="shared" si="64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">
        <f>$S$113*(1+(D114*$F$8))</f>
        <v>60</v>
      </c>
      <c r="T114" s="2">
        <f t="shared" si="61"/>
        <v>7.5</v>
      </c>
    </row>
    <row r="115" spans="1:20" x14ac:dyDescent="0.25">
      <c r="A115" s="23">
        <f t="shared" si="49"/>
        <v>-4.4999999999999998E-2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50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69"/>
        <v>10</v>
      </c>
      <c r="J115" s="2">
        <f t="shared" si="69"/>
        <v>37.5</v>
      </c>
      <c r="K115" s="11">
        <f>1-((1-(I115/G115))/INDEX($P$2:$P$6,C115))</f>
        <v>-0.95555555555555571</v>
      </c>
      <c r="L115" s="11">
        <v>0</v>
      </c>
      <c r="M115" s="11">
        <v>1</v>
      </c>
      <c r="N115" s="2">
        <f t="shared" si="62"/>
        <v>75</v>
      </c>
      <c r="O115" s="2">
        <f t="shared" si="63"/>
        <v>140.625</v>
      </c>
      <c r="P115" s="2">
        <f t="shared" si="64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">
        <f>$S$113*(1+(D115*$F$8))</f>
        <v>60</v>
      </c>
      <c r="T115" s="2">
        <f t="shared" si="61"/>
        <v>10</v>
      </c>
    </row>
    <row r="116" spans="1:20" x14ac:dyDescent="0.25">
      <c r="A116" s="23">
        <f t="shared" si="49"/>
        <v>-0.105</v>
      </c>
      <c r="D116" s="2"/>
      <c r="E116" s="15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5" t="s">
        <v>235</v>
      </c>
      <c r="N116" s="2"/>
      <c r="O116" s="2"/>
      <c r="P116" s="2"/>
      <c r="Q116" s="2"/>
      <c r="R116" s="15" t="s">
        <v>250</v>
      </c>
      <c r="S116" s="2">
        <v>80</v>
      </c>
      <c r="T116" s="2"/>
    </row>
    <row r="117" spans="1:20" x14ac:dyDescent="0.25">
      <c r="A117" s="23">
        <f>(L124-$I$2)*$J$2</f>
        <v>0.13500000000000001</v>
      </c>
      <c r="C117">
        <v>3</v>
      </c>
      <c r="D117" s="2">
        <v>0</v>
      </c>
      <c r="E117" s="16" t="s">
        <v>220</v>
      </c>
      <c r="F117" s="2">
        <f t="shared" ref="F117:F122" si="70">($F$2+(C117*$F$1))*(B117+1)</f>
        <v>7.5</v>
      </c>
      <c r="G117" s="2">
        <f>IF(G$116=1,H117,H117/(1-INDEX($O$2:$O$6,C117)))</f>
        <v>5.4193548387096779</v>
      </c>
      <c r="H117" s="2">
        <f>$F117*(INDEX($F$3:$F$5,H$116)+(($C117+($D117*$F$7))*INDEX($G$3:$G$5,H$116)))</f>
        <v>4.2</v>
      </c>
      <c r="I117" s="2">
        <f>$F117*(INDEX($F$3:$F$5,I$116)+(($C117+($D117*$F$7))*INDEX($G$3:$G$5,I$116)))</f>
        <v>9.75</v>
      </c>
      <c r="J117" s="2">
        <f t="shared" ref="I117:J122" si="71">$F117*(INDEX($F$3:$F$5,J$116)+(($C117+($D117*$F$7))*INDEX($G$3:$G$5,J$116)))</f>
        <v>9.75</v>
      </c>
      <c r="K117" s="11">
        <f>1-((1-(I117/G117))/INDEX($P$2:$P$6,C117))</f>
        <v>4.5515873015873023</v>
      </c>
      <c r="L117" s="11">
        <v>0</v>
      </c>
      <c r="M117" s="11">
        <v>1</v>
      </c>
      <c r="N117" s="2">
        <f t="shared" ref="N116:N122" si="72">(AVERAGE(O117,P117)*R117)/Q117</f>
        <v>2.709677419354839</v>
      </c>
      <c r="O117" s="2">
        <f t="shared" ref="O117:O121" si="73">0.75*(((G117*INDEX($R$1:$R$3,$D117+2))*Q117)/R117)/4</f>
        <v>10.838709677419356</v>
      </c>
      <c r="P117" s="2">
        <f t="shared" ref="P117:P121" si="74">1.25*(((G117*INDEX($R$1:$R$3,$D117+2))*Q117)/R117)/4</f>
        <v>18.06451612903226</v>
      </c>
      <c r="Q117" s="2">
        <v>4</v>
      </c>
      <c r="R117" s="2">
        <v>0.75</v>
      </c>
      <c r="S117" s="2">
        <f>$S$116*(1+(D117*$F$8))</f>
        <v>80</v>
      </c>
      <c r="T117" s="2">
        <v>0</v>
      </c>
    </row>
    <row r="118" spans="1:20" x14ac:dyDescent="0.25">
      <c r="A118" s="23">
        <f t="shared" si="49"/>
        <v>-0.105</v>
      </c>
      <c r="C118">
        <v>4</v>
      </c>
      <c r="D118" s="2">
        <v>0</v>
      </c>
      <c r="E118" s="16" t="s">
        <v>221</v>
      </c>
      <c r="F118" s="2">
        <f t="shared" si="70"/>
        <v>10</v>
      </c>
      <c r="G118" s="2">
        <f>IF(G$116=1,H118,H118/(1-INDEX($O$2:$O$6,C118)))</f>
        <v>6.8571428571428577</v>
      </c>
      <c r="H118" s="2">
        <f t="shared" ref="H118:H122" si="75">$F118*(INDEX($F$3:$F$5,H$116)+(($C118+($D118*$F$7))*INDEX($G$3:$G$5,H$116)))</f>
        <v>4.8</v>
      </c>
      <c r="I118" s="2">
        <f t="shared" si="71"/>
        <v>14</v>
      </c>
      <c r="J118" s="2">
        <f t="shared" si="71"/>
        <v>14</v>
      </c>
      <c r="K118" s="11">
        <f>1-((1-(I118/G118))/INDEX($P$2:$P$6,C118))</f>
        <v>4.4722222222222214</v>
      </c>
      <c r="L118" s="11">
        <v>0</v>
      </c>
      <c r="M118" s="11">
        <v>1</v>
      </c>
      <c r="N118" s="2">
        <f t="shared" si="72"/>
        <v>3.4285714285714288</v>
      </c>
      <c r="O118" s="2">
        <f t="shared" si="73"/>
        <v>13.714285714285715</v>
      </c>
      <c r="P118" s="2">
        <f t="shared" si="74"/>
        <v>22.857142857142861</v>
      </c>
      <c r="Q118" s="2">
        <v>4</v>
      </c>
      <c r="R118" s="2">
        <v>0.75</v>
      </c>
      <c r="S118" s="2">
        <f t="shared" ref="S118:S122" si="76">$S$116*(1+(D118*$F$8))</f>
        <v>80</v>
      </c>
      <c r="T118" s="2">
        <v>0</v>
      </c>
    </row>
    <row r="119" spans="1:20" x14ac:dyDescent="0.25">
      <c r="A119" s="23">
        <f t="shared" si="49"/>
        <v>-0.105</v>
      </c>
      <c r="C119">
        <v>5</v>
      </c>
      <c r="D119" s="2">
        <v>0</v>
      </c>
      <c r="E119" s="16" t="s">
        <v>222</v>
      </c>
      <c r="F119" s="2">
        <f t="shared" si="70"/>
        <v>12.5</v>
      </c>
      <c r="G119" s="2">
        <f>IF(G$116=1,H119,H119/(1-INDEX($O$2:$O$6,C119)))</f>
        <v>8</v>
      </c>
      <c r="H119" s="2">
        <f t="shared" si="75"/>
        <v>5</v>
      </c>
      <c r="I119" s="2">
        <f t="shared" si="71"/>
        <v>18.75</v>
      </c>
      <c r="J119" s="2">
        <f t="shared" si="71"/>
        <v>18.75</v>
      </c>
      <c r="K119" s="11">
        <f>1-((1-(I119/G119))/INDEX($P$2:$P$6,C119))</f>
        <v>4.5833333333333339</v>
      </c>
      <c r="L119" s="11">
        <v>0</v>
      </c>
      <c r="M119" s="11">
        <v>1</v>
      </c>
      <c r="N119" s="2">
        <f t="shared" si="72"/>
        <v>4</v>
      </c>
      <c r="O119" s="2">
        <f t="shared" si="73"/>
        <v>16</v>
      </c>
      <c r="P119" s="2">
        <f t="shared" si="74"/>
        <v>26.666666666666664</v>
      </c>
      <c r="Q119" s="2">
        <v>4</v>
      </c>
      <c r="R119" s="2">
        <v>0.75</v>
      </c>
      <c r="S119" s="2">
        <f t="shared" si="76"/>
        <v>80</v>
      </c>
      <c r="T119" s="2">
        <v>0</v>
      </c>
    </row>
    <row r="120" spans="1:20" x14ac:dyDescent="0.25">
      <c r="A120" s="23">
        <f t="shared" si="49"/>
        <v>-0.153</v>
      </c>
      <c r="B120" s="2">
        <v>1</v>
      </c>
      <c r="C120">
        <v>3</v>
      </c>
      <c r="D120" s="2">
        <v>1</v>
      </c>
      <c r="E120" s="16" t="s">
        <v>237</v>
      </c>
      <c r="F120" s="2">
        <f t="shared" si="70"/>
        <v>15</v>
      </c>
      <c r="G120" s="2">
        <f t="shared" ref="G120:G122" si="77">IF(G$116=1,H120,H120/(1-INDEX($O$2:$O$6,C120)))</f>
        <v>9.2903225806451601</v>
      </c>
      <c r="H120" s="2">
        <f t="shared" si="75"/>
        <v>7.1999999999999993</v>
      </c>
      <c r="I120" s="2">
        <f t="shared" si="71"/>
        <v>21</v>
      </c>
      <c r="J120" s="2">
        <f t="shared" si="71"/>
        <v>21</v>
      </c>
      <c r="K120" s="11">
        <f t="shared" ref="K120:K122" si="78">1-((1-(I120/G120))/INDEX($P$2:$P$6,C120))</f>
        <v>6.6018518518518539</v>
      </c>
      <c r="L120" s="11">
        <v>0</v>
      </c>
      <c r="M120" s="11">
        <v>1</v>
      </c>
      <c r="N120" s="2">
        <f t="shared" si="72"/>
        <v>9.2903225806451601</v>
      </c>
      <c r="O120" s="2">
        <f t="shared" si="73"/>
        <v>37.161290322580641</v>
      </c>
      <c r="P120" s="2">
        <f t="shared" si="74"/>
        <v>61.93548387096773</v>
      </c>
      <c r="Q120" s="2">
        <v>4</v>
      </c>
      <c r="R120" s="2">
        <v>0.75</v>
      </c>
      <c r="S120" s="2">
        <f t="shared" si="76"/>
        <v>96</v>
      </c>
      <c r="T120" s="2">
        <v>0</v>
      </c>
    </row>
    <row r="121" spans="1:20" x14ac:dyDescent="0.25">
      <c r="A121" s="23">
        <f t="shared" si="49"/>
        <v>-0.153</v>
      </c>
      <c r="B121" s="2">
        <v>1</v>
      </c>
      <c r="C121">
        <v>4</v>
      </c>
      <c r="D121" s="2">
        <v>1</v>
      </c>
      <c r="E121" s="16" t="s">
        <v>238</v>
      </c>
      <c r="F121" s="2">
        <f t="shared" si="70"/>
        <v>20</v>
      </c>
      <c r="G121" s="2">
        <f t="shared" si="77"/>
        <v>11.428571428571429</v>
      </c>
      <c r="H121" s="2">
        <f t="shared" si="75"/>
        <v>7.9999999999999991</v>
      </c>
      <c r="I121" s="2">
        <f t="shared" si="71"/>
        <v>30</v>
      </c>
      <c r="J121" s="2">
        <f t="shared" si="71"/>
        <v>30</v>
      </c>
      <c r="K121" s="11">
        <f t="shared" si="78"/>
        <v>6.416666666666667</v>
      </c>
      <c r="L121" s="11">
        <v>0</v>
      </c>
      <c r="M121" s="11">
        <v>1</v>
      </c>
      <c r="N121" s="2">
        <f t="shared" si="72"/>
        <v>11.428571428571427</v>
      </c>
      <c r="O121" s="2">
        <f t="shared" si="73"/>
        <v>45.714285714285715</v>
      </c>
      <c r="P121" s="2">
        <f t="shared" si="74"/>
        <v>76.19047619047619</v>
      </c>
      <c r="Q121" s="2">
        <v>4</v>
      </c>
      <c r="R121" s="2">
        <v>0.75</v>
      </c>
      <c r="S121" s="2">
        <f t="shared" si="76"/>
        <v>96</v>
      </c>
      <c r="T121" s="2">
        <v>0</v>
      </c>
    </row>
    <row r="122" spans="1:20" x14ac:dyDescent="0.25">
      <c r="A122" s="23">
        <f t="shared" si="49"/>
        <v>-0.153</v>
      </c>
      <c r="B122" s="2">
        <v>1</v>
      </c>
      <c r="C122">
        <v>5</v>
      </c>
      <c r="D122" s="2">
        <v>1</v>
      </c>
      <c r="E122" s="16" t="s">
        <v>239</v>
      </c>
      <c r="F122" s="2">
        <f t="shared" si="70"/>
        <v>25</v>
      </c>
      <c r="G122" s="2">
        <f t="shared" si="77"/>
        <v>12.799999999999999</v>
      </c>
      <c r="H122" s="2">
        <f t="shared" si="75"/>
        <v>7.9999999999999991</v>
      </c>
      <c r="I122" s="2">
        <f t="shared" si="71"/>
        <v>40</v>
      </c>
      <c r="J122" s="2">
        <f t="shared" si="71"/>
        <v>40</v>
      </c>
      <c r="K122" s="11">
        <f t="shared" si="78"/>
        <v>6.6666666666666679</v>
      </c>
      <c r="L122" s="11">
        <v>0</v>
      </c>
      <c r="M122" s="11">
        <v>1</v>
      </c>
      <c r="N122" s="2">
        <f t="shared" si="72"/>
        <v>12.8</v>
      </c>
      <c r="O122" s="2">
        <f>0.75*(((G122*INDEX($R$1:$R$3,$D122+2))*Q122)/R122)/4</f>
        <v>51.2</v>
      </c>
      <c r="P122" s="2">
        <f>1.25*(((G122*INDEX($R$1:$R$3,$D122+2))*Q122)/R122)/4</f>
        <v>85.333333333333329</v>
      </c>
      <c r="Q122" s="2">
        <v>4</v>
      </c>
      <c r="R122" s="2">
        <v>0.75</v>
      </c>
      <c r="S122" s="2">
        <f t="shared" si="76"/>
        <v>96</v>
      </c>
      <c r="T122" s="2">
        <v>0</v>
      </c>
    </row>
    <row r="123" spans="1:20" x14ac:dyDescent="0.25">
      <c r="K123" s="15" t="s">
        <v>142</v>
      </c>
      <c r="L123" s="15" t="s">
        <v>143</v>
      </c>
      <c r="M123" s="15" t="s">
        <v>145</v>
      </c>
      <c r="N123" s="15" t="s">
        <v>240</v>
      </c>
      <c r="O123" s="15" t="s">
        <v>215</v>
      </c>
      <c r="P123" s="15" t="s">
        <v>216</v>
      </c>
      <c r="Q123" s="15" t="s">
        <v>217</v>
      </c>
      <c r="R123" s="15" t="s">
        <v>21</v>
      </c>
      <c r="S123" s="15" t="s">
        <v>241</v>
      </c>
    </row>
    <row r="124" spans="1:20" x14ac:dyDescent="0.25">
      <c r="L124" s="15"/>
      <c r="M124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37" workbookViewId="0">
      <selection activeCell="N8" sqref="N8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7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7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7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7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9"/>
      <c r="Q4" s="2"/>
    </row>
    <row r="5" spans="1:17" x14ac:dyDescent="0.25">
      <c r="A5" s="17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10"/>
      <c r="Q5" s="2"/>
    </row>
    <row r="6" spans="1:17" x14ac:dyDescent="0.25">
      <c r="A6" s="17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10"/>
      <c r="Q6" s="2"/>
    </row>
    <row r="7" spans="1:17" x14ac:dyDescent="0.25">
      <c r="A7" s="17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10"/>
      <c r="Q7" s="4"/>
    </row>
    <row r="8" spans="1:17" x14ac:dyDescent="0.25">
      <c r="A8" s="17" t="s">
        <v>24</v>
      </c>
      <c r="B8" s="5">
        <v>2.5</v>
      </c>
      <c r="C8" s="5">
        <v>-2.5</v>
      </c>
      <c r="D8" s="5">
        <f>ROUND(_xlfn.IFNA(VLOOKUP(A8,'Weapon Formulas'!$E$10:$Q$115,11,0),weapon_components!H8),2)</f>
        <v>10.45</v>
      </c>
      <c r="E8" s="5">
        <f>ROUND(_xlfn.IFNA(VLOOKUP(A8,'Weapon Formulas'!$E$10:$Q$115,12,0),weapon_components!H8),2)</f>
        <v>17.41</v>
      </c>
      <c r="F8" s="5">
        <f>ROUND(_xlfn.IFNA(VLOOKUP(A8,'Weapon Formulas'!$E$10:$L$115,8,0),weapon_components!H8),2)</f>
        <v>0.02</v>
      </c>
      <c r="G8" s="5">
        <f>ROUND(_xlfn.IFNA(VLOOKUP(A8,'Weapon Formulas'!$E$10:$P$115,9,0),weapon_components!H8),2)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Formulas'!$E$10:$Z$115,15,0),weapon_components!H8),2)</f>
        <v>24</v>
      </c>
      <c r="M8" s="2">
        <v>0.69</v>
      </c>
      <c r="N8" s="5">
        <v>0</v>
      </c>
      <c r="O8" s="5"/>
      <c r="P8" s="6"/>
      <c r="Q8" s="7"/>
    </row>
    <row r="9" spans="1:17" x14ac:dyDescent="0.25">
      <c r="A9" s="17" t="s">
        <v>25</v>
      </c>
      <c r="B9" s="5">
        <v>5</v>
      </c>
      <c r="C9" s="5">
        <v>-5</v>
      </c>
      <c r="D9" s="5">
        <f>ROUND(_xlfn.IFNA(VLOOKUP(A9,'Weapon Formulas'!$E$10:$Q$115,11,0),weapon_components!H9),2)</f>
        <v>19.68</v>
      </c>
      <c r="E9" s="5">
        <f>ROUND(_xlfn.IFNA(VLOOKUP(A9,'Weapon Formulas'!$E$10:$Q$115,12,0),weapon_components!H9),2)</f>
        <v>32.81</v>
      </c>
      <c r="F9" s="5">
        <f>ROUND(_xlfn.IFNA(VLOOKUP(A9,'Weapon Formulas'!$E$10:$L$115,8,0),weapon_components!H9),2)</f>
        <v>0.02</v>
      </c>
      <c r="G9" s="5">
        <f>ROUND(_xlfn.IFNA(VLOOKUP(A9,'Weapon Formulas'!$E$10:$P$115,9,0),weapon_components!H9),2)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Formulas'!$E$10:$Z$115,15,0),weapon_components!H9),2)</f>
        <v>30</v>
      </c>
      <c r="M9" s="2">
        <v>0.8</v>
      </c>
      <c r="N9" s="5">
        <v>0</v>
      </c>
      <c r="O9" s="5"/>
      <c r="P9" s="6"/>
      <c r="Q9" s="7"/>
    </row>
    <row r="10" spans="1:17" x14ac:dyDescent="0.25">
      <c r="A10" s="17" t="s">
        <v>26</v>
      </c>
      <c r="B10" s="5">
        <v>10</v>
      </c>
      <c r="C10" s="5">
        <v>-10</v>
      </c>
      <c r="D10" s="5">
        <f>ROUND(_xlfn.IFNA(VLOOKUP(A10,'Weapon Formulas'!$E$10:$Q$115,11,0),weapon_components!H10),2)</f>
        <v>45.49</v>
      </c>
      <c r="E10" s="5">
        <f>ROUND(_xlfn.IFNA(VLOOKUP(A10,'Weapon Formulas'!$E$10:$Q$115,12,0),weapon_components!H10),2)</f>
        <v>75.81</v>
      </c>
      <c r="F10" s="5">
        <f>ROUND(_xlfn.IFNA(VLOOKUP(A10,'Weapon Formulas'!$E$10:$L$115,8,0),weapon_components!H10),2)</f>
        <v>0.02</v>
      </c>
      <c r="G10" s="5">
        <f>ROUND(_xlfn.IFNA(VLOOKUP(A10,'Weapon Formulas'!$E$10:$P$115,9,0),weapon_components!H10),2)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Formulas'!$E$10:$Z$115,15,0),weapon_components!H10),2)</f>
        <v>36</v>
      </c>
      <c r="M10" s="2">
        <v>0.75</v>
      </c>
      <c r="N10" s="5">
        <v>0</v>
      </c>
      <c r="O10" s="5"/>
      <c r="P10" s="6"/>
      <c r="Q10" s="7"/>
    </row>
    <row r="11" spans="1:17" x14ac:dyDescent="0.25">
      <c r="A11" s="17" t="s">
        <v>27</v>
      </c>
      <c r="B11" s="5">
        <v>5</v>
      </c>
      <c r="C11" s="5">
        <v>-5</v>
      </c>
      <c r="D11" s="5">
        <f>ROUND(_xlfn.IFNA(VLOOKUP(A11,'Weapon Formulas'!$E$10:$Q$115,11,0),weapon_components!H11),2)</f>
        <v>19.100000000000001</v>
      </c>
      <c r="E11" s="5">
        <f>ROUND(_xlfn.IFNA(VLOOKUP(A11,'Weapon Formulas'!$E$10:$Q$115,12,0),weapon_components!H11),2)</f>
        <v>31.84</v>
      </c>
      <c r="F11" s="5">
        <f>ROUND(_xlfn.IFNA(VLOOKUP(A11,'Weapon Formulas'!$E$10:$L$115,8,0),weapon_components!H11),2)</f>
        <v>0.03</v>
      </c>
      <c r="G11" s="5">
        <f>ROUND(_xlfn.IFNA(VLOOKUP(A11,'Weapon Formulas'!$E$10:$P$115,9,0),weapon_components!H11),2)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Formulas'!$E$10:$Z$115,15,0),weapon_components!H11),2)</f>
        <v>24</v>
      </c>
      <c r="M11" s="2">
        <v>0.82</v>
      </c>
      <c r="N11" s="5">
        <v>0</v>
      </c>
      <c r="O11" s="5"/>
      <c r="P11" s="6"/>
      <c r="Q11" s="7"/>
    </row>
    <row r="12" spans="1:17" x14ac:dyDescent="0.25">
      <c r="A12" s="17" t="s">
        <v>28</v>
      </c>
      <c r="B12" s="5">
        <v>10</v>
      </c>
      <c r="C12" s="5">
        <v>-10</v>
      </c>
      <c r="D12" s="5">
        <f>ROUND(_xlfn.IFNA(VLOOKUP(A12,'Weapon Formulas'!$E$10:$Q$115,11,0),weapon_components!H12),2)</f>
        <v>42.57</v>
      </c>
      <c r="E12" s="5">
        <f>ROUND(_xlfn.IFNA(VLOOKUP(A12,'Weapon Formulas'!$E$10:$Q$115,12,0),weapon_components!H12),2)</f>
        <v>70.95</v>
      </c>
      <c r="F12" s="5">
        <f>ROUND(_xlfn.IFNA(VLOOKUP(A12,'Weapon Formulas'!$E$10:$L$115,8,0),weapon_components!H12),2)</f>
        <v>0.03</v>
      </c>
      <c r="G12" s="5">
        <f>ROUND(_xlfn.IFNA(VLOOKUP(A12,'Weapon Formulas'!$E$10:$P$115,9,0),weapon_components!H12),2)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Formulas'!$E$10:$Z$115,15,0),weapon_components!H12),2)</f>
        <v>30</v>
      </c>
      <c r="M12" s="2">
        <v>0.8</v>
      </c>
      <c r="N12" s="5">
        <v>0</v>
      </c>
      <c r="O12" s="5"/>
      <c r="P12" s="6"/>
      <c r="Q12" s="7"/>
    </row>
    <row r="13" spans="1:17" x14ac:dyDescent="0.25">
      <c r="A13" s="17" t="s">
        <v>29</v>
      </c>
      <c r="B13" s="5">
        <v>20</v>
      </c>
      <c r="C13" s="5">
        <v>-20</v>
      </c>
      <c r="D13" s="5">
        <f>ROUND(_xlfn.IFNA(VLOOKUP(A13,'Weapon Formulas'!$E$10:$Q$115,11,0),weapon_components!H13),2)</f>
        <v>98.03</v>
      </c>
      <c r="E13" s="5">
        <f>ROUND(_xlfn.IFNA(VLOOKUP(A13,'Weapon Formulas'!$E$10:$Q$115,12,0),weapon_components!H13),2)</f>
        <v>163.38</v>
      </c>
      <c r="F13" s="5">
        <f>ROUND(_xlfn.IFNA(VLOOKUP(A13,'Weapon Formulas'!$E$10:$L$115,8,0),weapon_components!H13),2)</f>
        <v>0.03</v>
      </c>
      <c r="G13" s="5">
        <f>ROUND(_xlfn.IFNA(VLOOKUP(A13,'Weapon Formulas'!$E$10:$P$115,9,0),weapon_components!H13),2)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Formulas'!$E$10:$Z$115,15,0),weapon_components!H13),2)</f>
        <v>36</v>
      </c>
      <c r="M13" s="2">
        <v>0.75</v>
      </c>
      <c r="N13" s="5">
        <v>0</v>
      </c>
      <c r="O13" s="5"/>
      <c r="P13" s="6"/>
      <c r="Q13" s="7"/>
    </row>
    <row r="14" spans="1:17" x14ac:dyDescent="0.25">
      <c r="A14" s="17" t="s">
        <v>30</v>
      </c>
      <c r="B14" s="5">
        <v>7.5</v>
      </c>
      <c r="C14" s="5">
        <v>-7.5</v>
      </c>
      <c r="D14" s="5">
        <f>ROUND(_xlfn.IFNA(VLOOKUP(A14,'Weapon Formulas'!$E$10:$Q$115,11,0),weapon_components!H14),2)</f>
        <v>31.13</v>
      </c>
      <c r="E14" s="5">
        <f>ROUND(_xlfn.IFNA(VLOOKUP(A14,'Weapon Formulas'!$E$10:$Q$115,12,0),weapon_components!H14),2)</f>
        <v>51.88</v>
      </c>
      <c r="F14" s="5">
        <f>ROUND(_xlfn.IFNA(VLOOKUP(A14,'Weapon Formulas'!$E$10:$L$115,8,0),weapon_components!H14),2)</f>
        <v>0.05</v>
      </c>
      <c r="G14" s="5">
        <f>ROUND(_xlfn.IFNA(VLOOKUP(A14,'Weapon Formulas'!$E$10:$P$115,9,0),weapon_components!H14),2)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Formulas'!$E$10:$Z$115,15,0),weapon_components!H14),2)</f>
        <v>24</v>
      </c>
      <c r="M14" s="2">
        <v>0.82</v>
      </c>
      <c r="N14" s="5">
        <v>0</v>
      </c>
      <c r="O14" s="5"/>
      <c r="P14" s="6"/>
      <c r="Q14" s="7"/>
    </row>
    <row r="15" spans="1:17" x14ac:dyDescent="0.25">
      <c r="A15" s="17" t="s">
        <v>31</v>
      </c>
      <c r="B15" s="5">
        <v>15</v>
      </c>
      <c r="C15" s="5">
        <v>-15</v>
      </c>
      <c r="D15" s="5">
        <f>ROUND(_xlfn.IFNA(VLOOKUP(A15,'Weapon Formulas'!$E$10:$Q$115,11,0),weapon_components!H15),2)</f>
        <v>68.97</v>
      </c>
      <c r="E15" s="5">
        <f>ROUND(_xlfn.IFNA(VLOOKUP(A15,'Weapon Formulas'!$E$10:$Q$115,12,0),weapon_components!H15),2)</f>
        <v>114.94</v>
      </c>
      <c r="F15" s="5">
        <f>ROUND(_xlfn.IFNA(VLOOKUP(A15,'Weapon Formulas'!$E$10:$L$115,8,0),weapon_components!H15),2)</f>
        <v>0.05</v>
      </c>
      <c r="G15" s="5">
        <f>ROUND(_xlfn.IFNA(VLOOKUP(A15,'Weapon Formulas'!$E$10:$P$115,9,0),weapon_components!H15),2)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Formulas'!$E$10:$Z$115,15,0),weapon_components!H15),2)</f>
        <v>30</v>
      </c>
      <c r="M15" s="2">
        <v>0.8</v>
      </c>
      <c r="N15" s="5">
        <v>0</v>
      </c>
      <c r="O15" s="5"/>
      <c r="P15" s="6"/>
      <c r="Q15" s="7"/>
    </row>
    <row r="16" spans="1:17" x14ac:dyDescent="0.25">
      <c r="A16" s="17" t="s">
        <v>32</v>
      </c>
      <c r="B16" s="5">
        <v>30</v>
      </c>
      <c r="C16" s="5">
        <v>-30</v>
      </c>
      <c r="D16" s="5">
        <f>ROUND(_xlfn.IFNA(VLOOKUP(A16,'Weapon Formulas'!$E$10:$Q$115,11,0),weapon_components!H16),2)</f>
        <v>158.07</v>
      </c>
      <c r="E16" s="5">
        <f>ROUND(_xlfn.IFNA(VLOOKUP(A16,'Weapon Formulas'!$E$10:$Q$115,12,0),weapon_components!H16),2)</f>
        <v>263.45</v>
      </c>
      <c r="F16" s="5">
        <f>ROUND(_xlfn.IFNA(VLOOKUP(A16,'Weapon Formulas'!$E$10:$L$115,8,0),weapon_components!H16),2)</f>
        <v>0.05</v>
      </c>
      <c r="G16" s="5">
        <f>ROUND(_xlfn.IFNA(VLOOKUP(A16,'Weapon Formulas'!$E$10:$P$115,9,0),weapon_components!H16),2)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Formulas'!$E$10:$Z$115,15,0),weapon_components!H16),2)</f>
        <v>36</v>
      </c>
      <c r="M16" s="2">
        <v>0.75</v>
      </c>
      <c r="N16" s="5">
        <v>0</v>
      </c>
      <c r="O16" s="5"/>
      <c r="P16" s="6"/>
      <c r="Q16" s="7"/>
    </row>
    <row r="17" spans="1:17" x14ac:dyDescent="0.25">
      <c r="A17" s="17" t="s">
        <v>33</v>
      </c>
      <c r="B17" s="5">
        <v>10</v>
      </c>
      <c r="C17" s="5">
        <v>-10</v>
      </c>
      <c r="D17" s="5">
        <f>ROUND(_xlfn.IFNA(VLOOKUP(A17,'Weapon Formulas'!$E$10:$Q$115,11,0),weapon_components!H17),2)</f>
        <v>44.87</v>
      </c>
      <c r="E17" s="5">
        <f>ROUND(_xlfn.IFNA(VLOOKUP(A17,'Weapon Formulas'!$E$10:$Q$115,12,0),weapon_components!H17),2)</f>
        <v>74.78</v>
      </c>
      <c r="F17" s="5">
        <f>ROUND(_xlfn.IFNA(VLOOKUP(A17,'Weapon Formulas'!$E$10:$L$115,8,0),weapon_components!H17),2)</f>
        <v>7.0000000000000007E-2</v>
      </c>
      <c r="G17" s="5">
        <f>ROUND(_xlfn.IFNA(VLOOKUP(A17,'Weapon Formulas'!$E$10:$P$115,9,0),weapon_components!H17),2)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Formulas'!$E$10:$Z$115,15,0),weapon_components!H17),2)</f>
        <v>24</v>
      </c>
      <c r="M17" s="2">
        <v>0.82</v>
      </c>
      <c r="N17" s="5">
        <v>0</v>
      </c>
      <c r="O17" s="5"/>
      <c r="P17" s="6"/>
      <c r="Q17" s="7"/>
    </row>
    <row r="18" spans="1:17" x14ac:dyDescent="0.25">
      <c r="A18" s="17" t="s">
        <v>34</v>
      </c>
      <c r="B18" s="5">
        <v>20</v>
      </c>
      <c r="C18" s="5">
        <v>-20</v>
      </c>
      <c r="D18" s="5">
        <f>ROUND(_xlfn.IFNA(VLOOKUP(A18,'Weapon Formulas'!$E$10:$Q$115,11,0),weapon_components!H18),2)</f>
        <v>98.88</v>
      </c>
      <c r="E18" s="5">
        <f>ROUND(_xlfn.IFNA(VLOOKUP(A18,'Weapon Formulas'!$E$10:$Q$115,12,0),weapon_components!H18),2)</f>
        <v>164.8</v>
      </c>
      <c r="F18" s="5">
        <f>ROUND(_xlfn.IFNA(VLOOKUP(A18,'Weapon Formulas'!$E$10:$L$115,8,0),weapon_components!H18),2)</f>
        <v>7.0000000000000007E-2</v>
      </c>
      <c r="G18" s="5">
        <f>ROUND(_xlfn.IFNA(VLOOKUP(A18,'Weapon Formulas'!$E$10:$P$115,9,0),weapon_components!H18),2)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Formulas'!$E$10:$Z$115,15,0),weapon_components!H18),2)</f>
        <v>30</v>
      </c>
      <c r="M18" s="2">
        <v>0.8</v>
      </c>
      <c r="N18" s="5">
        <v>0</v>
      </c>
      <c r="O18" s="5"/>
      <c r="P18" s="6"/>
      <c r="Q18" s="7"/>
    </row>
    <row r="19" spans="1:17" x14ac:dyDescent="0.25">
      <c r="A19" s="17" t="s">
        <v>35</v>
      </c>
      <c r="B19" s="5">
        <v>40</v>
      </c>
      <c r="C19" s="5">
        <v>-40</v>
      </c>
      <c r="D19" s="5">
        <f>ROUND(_xlfn.IFNA(VLOOKUP(A19,'Weapon Formulas'!$E$10:$Q$115,11,0),weapon_components!H19),2)</f>
        <v>225.61</v>
      </c>
      <c r="E19" s="5">
        <f>ROUND(_xlfn.IFNA(VLOOKUP(A19,'Weapon Formulas'!$E$10:$Q$115,12,0),weapon_components!H19),2)</f>
        <v>376.01</v>
      </c>
      <c r="F19" s="5">
        <f>ROUND(_xlfn.IFNA(VLOOKUP(A19,'Weapon Formulas'!$E$10:$L$115,8,0),weapon_components!H19),2)</f>
        <v>7.0000000000000007E-2</v>
      </c>
      <c r="G19" s="5">
        <f>ROUND(_xlfn.IFNA(VLOOKUP(A19,'Weapon Formulas'!$E$10:$P$115,9,0),weapon_components!H19),2)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Formulas'!$E$10:$Z$115,15,0),weapon_components!H19),2)</f>
        <v>36</v>
      </c>
      <c r="M19" s="2">
        <v>0.75</v>
      </c>
      <c r="N19" s="5">
        <v>0</v>
      </c>
      <c r="O19" s="5"/>
      <c r="P19" s="6"/>
      <c r="Q19" s="7"/>
    </row>
    <row r="20" spans="1:17" x14ac:dyDescent="0.25">
      <c r="A20" s="17" t="s">
        <v>36</v>
      </c>
      <c r="B20" s="5">
        <v>12.5</v>
      </c>
      <c r="C20" s="5">
        <v>-12.5</v>
      </c>
      <c r="D20" s="5">
        <f>ROUND(_xlfn.IFNA(VLOOKUP(A20,'Weapon Formulas'!$E$10:$Q$115,11,0),weapon_components!H20),2)</f>
        <v>60.33</v>
      </c>
      <c r="E20" s="5">
        <f>ROUND(_xlfn.IFNA(VLOOKUP(A20,'Weapon Formulas'!$E$10:$Q$115,12,0),weapon_components!H20),2)</f>
        <v>100.54</v>
      </c>
      <c r="F20" s="5">
        <f>ROUND(_xlfn.IFNA(VLOOKUP(A20,'Weapon Formulas'!$E$10:$L$115,8,0),weapon_components!H20),2)</f>
        <v>0.08</v>
      </c>
      <c r="G20" s="5">
        <f>ROUND(_xlfn.IFNA(VLOOKUP(A20,'Weapon Formulas'!$E$10:$P$115,9,0),weapon_components!H20),2)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Formulas'!$E$10:$Z$115,15,0),weapon_components!H20),2)</f>
        <v>24</v>
      </c>
      <c r="M20" s="2">
        <v>0.82</v>
      </c>
      <c r="N20" s="5">
        <v>0</v>
      </c>
      <c r="O20" s="5"/>
      <c r="P20" s="6"/>
      <c r="Q20" s="7"/>
    </row>
    <row r="21" spans="1:17" x14ac:dyDescent="0.25">
      <c r="A21" s="17" t="s">
        <v>37</v>
      </c>
      <c r="B21" s="5">
        <v>25</v>
      </c>
      <c r="C21" s="5">
        <v>-25</v>
      </c>
      <c r="D21" s="5">
        <f>ROUND(_xlfn.IFNA(VLOOKUP(A21,'Weapon Formulas'!$E$10:$Q$115,11,0),weapon_components!H21),2)</f>
        <v>132.31</v>
      </c>
      <c r="E21" s="5">
        <f>ROUND(_xlfn.IFNA(VLOOKUP(A21,'Weapon Formulas'!$E$10:$Q$115,12,0),weapon_components!H21),2)</f>
        <v>220.52</v>
      </c>
      <c r="F21" s="5">
        <f>ROUND(_xlfn.IFNA(VLOOKUP(A21,'Weapon Formulas'!$E$10:$L$115,8,0),weapon_components!H21),2)</f>
        <v>0.08</v>
      </c>
      <c r="G21" s="5">
        <f>ROUND(_xlfn.IFNA(VLOOKUP(A21,'Weapon Formulas'!$E$10:$P$115,9,0),weapon_components!H21),2)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Formulas'!$E$10:$Z$115,15,0),weapon_components!H21),2)</f>
        <v>30</v>
      </c>
      <c r="M21" s="2">
        <v>0.8</v>
      </c>
      <c r="N21" s="5">
        <v>0</v>
      </c>
      <c r="O21" s="5"/>
      <c r="P21" s="6"/>
      <c r="Q21" s="7"/>
    </row>
    <row r="22" spans="1:17" x14ac:dyDescent="0.25">
      <c r="A22" s="17" t="s">
        <v>38</v>
      </c>
      <c r="B22" s="5">
        <v>50</v>
      </c>
      <c r="C22" s="5">
        <v>-50</v>
      </c>
      <c r="D22" s="5">
        <f>ROUND(_xlfn.IFNA(VLOOKUP(A22,'Weapon Formulas'!$E$10:$Q$115,11,0),weapon_components!H22),2)</f>
        <v>300.64999999999998</v>
      </c>
      <c r="E22" s="5">
        <f>ROUND(_xlfn.IFNA(VLOOKUP(A22,'Weapon Formulas'!$E$10:$Q$115,12,0),weapon_components!H22),2)</f>
        <v>501.08</v>
      </c>
      <c r="F22" s="5">
        <f>ROUND(_xlfn.IFNA(VLOOKUP(A22,'Weapon Formulas'!$E$10:$L$115,8,0),weapon_components!H22),2)</f>
        <v>0.08</v>
      </c>
      <c r="G22" s="5">
        <f>ROUND(_xlfn.IFNA(VLOOKUP(A22,'Weapon Formulas'!$E$10:$P$115,9,0),weapon_components!H22),2)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Formulas'!$E$10:$Z$115,15,0),weapon_components!H22),2)</f>
        <v>36</v>
      </c>
      <c r="M22" s="2">
        <v>0.75</v>
      </c>
      <c r="N22" s="5">
        <v>0</v>
      </c>
      <c r="O22" s="5"/>
      <c r="P22" s="6"/>
      <c r="Q22" s="7"/>
    </row>
    <row r="23" spans="1:17" x14ac:dyDescent="0.25">
      <c r="A23" s="17" t="s">
        <v>150</v>
      </c>
      <c r="B23" s="2"/>
      <c r="C23" s="2"/>
      <c r="D23" s="5"/>
      <c r="E23" s="5"/>
      <c r="F23" s="5"/>
      <c r="G23" s="5"/>
      <c r="H23" s="5"/>
      <c r="I23" s="5"/>
      <c r="J23" s="5"/>
      <c r="K23" s="2"/>
      <c r="L23" s="5"/>
      <c r="M23" s="5"/>
      <c r="N23" s="2"/>
      <c r="O23" s="2"/>
      <c r="P23" s="6"/>
      <c r="Q23" s="2"/>
    </row>
    <row r="24" spans="1:17" x14ac:dyDescent="0.25">
      <c r="A24" s="17" t="s">
        <v>151</v>
      </c>
      <c r="B24" s="5">
        <v>0</v>
      </c>
      <c r="C24" s="5">
        <v>0</v>
      </c>
      <c r="D24" s="5">
        <f>ROUND(_xlfn.IFNA(VLOOKUP(A24,'Weapon Formulas'!$E$10:$Q$115,11,0),weapon_components!H24),2)</f>
        <v>0.5</v>
      </c>
      <c r="E24" s="5">
        <f>ROUND(_xlfn.IFNA(VLOOKUP(A24,'Weapon Formulas'!$E$10:$Q$115,12,0),weapon_components!H24),2)</f>
        <v>0.5</v>
      </c>
      <c r="F24" s="5">
        <f>ROUND(_xlfn.IFNA(VLOOKUP(A24,'Weapon Formulas'!$E$10:$L$115,8,0),weapon_components!H24),2)</f>
        <v>0.5</v>
      </c>
      <c r="G24" s="5">
        <f>ROUND(_xlfn.IFNA(VLOOKUP(A24,'Weapon Formulas'!$E$10:$P$115,9,0),weapon_components!H24),2)</f>
        <v>0.5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Formulas'!$E$10:$Z$115,15,0),weapon_components!H24),2)</f>
        <v>0.5</v>
      </c>
      <c r="M24" s="2">
        <v>0.85</v>
      </c>
      <c r="N24" s="5">
        <v>0</v>
      </c>
      <c r="O24" s="5"/>
      <c r="P24" s="6"/>
      <c r="Q24" s="2"/>
    </row>
    <row r="25" spans="1:17" x14ac:dyDescent="0.25">
      <c r="A25" s="17" t="s">
        <v>152</v>
      </c>
      <c r="B25" s="5">
        <v>0</v>
      </c>
      <c r="C25" s="5">
        <v>0</v>
      </c>
      <c r="D25" s="5">
        <f>ROUND(_xlfn.IFNA(VLOOKUP(A25,'Weapon Formulas'!$E$10:$Q$115,11,0),weapon_components!H25),2)</f>
        <v>0.5</v>
      </c>
      <c r="E25" s="5">
        <f>ROUND(_xlfn.IFNA(VLOOKUP(A25,'Weapon Formulas'!$E$10:$Q$115,12,0),weapon_components!H25),2)</f>
        <v>0.5</v>
      </c>
      <c r="F25" s="5">
        <f>ROUND(_xlfn.IFNA(VLOOKUP(A25,'Weapon Formulas'!$E$10:$L$115,8,0),weapon_components!H25),2)</f>
        <v>0.5</v>
      </c>
      <c r="G25" s="5">
        <f>ROUND(_xlfn.IFNA(VLOOKUP(A25,'Weapon Formulas'!$E$10:$P$115,9,0),weapon_components!H25),2)</f>
        <v>0.5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Formulas'!$E$10:$Z$115,15,0),weapon_components!H25),2)</f>
        <v>0.5</v>
      </c>
      <c r="M25" s="2">
        <v>0.82</v>
      </c>
      <c r="N25" s="5">
        <v>0</v>
      </c>
      <c r="O25" s="5"/>
      <c r="P25" s="6"/>
      <c r="Q25" s="2"/>
    </row>
    <row r="26" spans="1:17" x14ac:dyDescent="0.25">
      <c r="A26" s="17" t="s">
        <v>153</v>
      </c>
      <c r="B26" s="2">
        <v>0</v>
      </c>
      <c r="C26" s="2">
        <v>0</v>
      </c>
      <c r="D26" s="5">
        <f>ROUND(_xlfn.IFNA(VLOOKUP(A26,'Weapon Formulas'!$E$10:$Q$115,11,0),weapon_components!H26),2)</f>
        <v>0.5</v>
      </c>
      <c r="E26" s="5">
        <f>ROUND(_xlfn.IFNA(VLOOKUP(A26,'Weapon Formulas'!$E$10:$Q$115,12,0),weapon_components!H26),2)</f>
        <v>0.5</v>
      </c>
      <c r="F26" s="5">
        <f>ROUND(_xlfn.IFNA(VLOOKUP(A26,'Weapon Formulas'!$E$10:$L$115,8,0),weapon_components!H26),2)</f>
        <v>0.5</v>
      </c>
      <c r="G26" s="5">
        <f>ROUND(_xlfn.IFNA(VLOOKUP(A26,'Weapon Formulas'!$E$10:$P$115,9,0),weapon_components!H26),2)</f>
        <v>0.5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Formulas'!$E$10:$Z$115,15,0),weapon_components!H26),2)</f>
        <v>0.5</v>
      </c>
      <c r="M26" s="5">
        <v>0.79</v>
      </c>
      <c r="N26" s="2">
        <v>0</v>
      </c>
      <c r="O26" s="2"/>
      <c r="P26" s="6"/>
      <c r="Q26" s="2"/>
    </row>
    <row r="27" spans="1:17" x14ac:dyDescent="0.25">
      <c r="A27" s="17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7" t="s">
        <v>40</v>
      </c>
      <c r="B28" s="5">
        <v>100</v>
      </c>
      <c r="C28" s="5">
        <v>-100</v>
      </c>
      <c r="D28" s="5">
        <f>ROUND(_xlfn.IFNA(VLOOKUP(A28,'Weapon Formulas'!$E$10:$Q$115,11,0),weapon_components!H28),2)</f>
        <v>337.6</v>
      </c>
      <c r="E28" s="5">
        <f>ROUND(_xlfn.IFNA(VLOOKUP(A28,'Weapon Formulas'!$E$10:$Q$115,12,0),weapon_components!H28),2)</f>
        <v>562.66</v>
      </c>
      <c r="F28" s="5">
        <f>ROUND(_xlfn.IFNA(VLOOKUP(A28,'Weapon Formulas'!$E$10:$L$115,8,0),weapon_components!H28),2)</f>
        <v>7.0000000000000007E-2</v>
      </c>
      <c r="G28" s="5">
        <f>ROUND(_xlfn.IFNA(VLOOKUP(A28,'Weapon Formulas'!$E$10:$P$115,9,0),weapon_components!H28),2)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Formulas'!$E$10:$Z$115,15,0),weapon_components!H28),2)</f>
        <v>36</v>
      </c>
      <c r="M28" s="2">
        <v>0.9</v>
      </c>
      <c r="N28" s="5">
        <v>0</v>
      </c>
      <c r="O28" s="5"/>
      <c r="P28" s="6"/>
      <c r="Q28" s="2"/>
    </row>
    <row r="29" spans="1:17" x14ac:dyDescent="0.25">
      <c r="A29" s="17" t="s">
        <v>41</v>
      </c>
      <c r="B29" s="5">
        <v>120</v>
      </c>
      <c r="C29" s="5">
        <v>-120</v>
      </c>
      <c r="D29" s="5">
        <f>ROUND(_xlfn.IFNA(VLOOKUP(A29,'Weapon Formulas'!$E$10:$Q$115,11,0),weapon_components!H29),2)</f>
        <v>378.01</v>
      </c>
      <c r="E29" s="5">
        <f>ROUND(_xlfn.IFNA(VLOOKUP(A29,'Weapon Formulas'!$E$10:$Q$115,12,0),weapon_components!H29),2)</f>
        <v>630.01</v>
      </c>
      <c r="F29" s="5">
        <f>ROUND(_xlfn.IFNA(VLOOKUP(A29,'Weapon Formulas'!$E$10:$L$115,8,0),weapon_components!H29),2)</f>
        <v>0.08</v>
      </c>
      <c r="G29" s="5">
        <f>ROUND(_xlfn.IFNA(VLOOKUP(A29,'Weapon Formulas'!$E$10:$P$115,9,0),weapon_components!H29),2)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Formulas'!$E$10:$Z$115,15,0),weapon_components!H29),2)</f>
        <v>36</v>
      </c>
      <c r="M29" s="2">
        <v>0.9</v>
      </c>
      <c r="N29" s="5">
        <v>0</v>
      </c>
      <c r="O29" s="5"/>
      <c r="P29" s="6"/>
      <c r="Q29" s="2"/>
    </row>
    <row r="30" spans="1:17" x14ac:dyDescent="0.25">
      <c r="A30" s="17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7" t="s">
        <v>43</v>
      </c>
      <c r="B31" s="5">
        <v>7.5</v>
      </c>
      <c r="C31" s="5">
        <v>-7.5</v>
      </c>
      <c r="D31" s="5">
        <f>ROUND(_xlfn.IFNA(VLOOKUP(A31,'Weapon Formulas'!$E$10:$Q$115,11,0),weapon_components!H31),2)</f>
        <v>24.85</v>
      </c>
      <c r="E31" s="5">
        <f>ROUND(_xlfn.IFNA(VLOOKUP(A31,'Weapon Formulas'!$E$10:$Q$115,12,0),weapon_components!H31),2)</f>
        <v>41.42</v>
      </c>
      <c r="F31" s="5">
        <f>ROUND(_xlfn.IFNA(VLOOKUP(A31,'Weapon Formulas'!$E$10:$L$115,8,0),weapon_components!H31),2)</f>
        <v>0.05</v>
      </c>
      <c r="G31" s="5">
        <f>ROUND(_xlfn.IFNA(VLOOKUP(A31,'Weapon Formulas'!$E$10:$P$115,9,0),weapon_components!H31),2)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Formulas'!$E$10:$Z$115,15,0),weapon_components!H31),2)</f>
        <v>24</v>
      </c>
      <c r="M31" s="2">
        <v>0.82</v>
      </c>
      <c r="N31" s="5">
        <v>0</v>
      </c>
      <c r="O31" s="5"/>
      <c r="P31" s="6"/>
      <c r="Q31" s="2"/>
    </row>
    <row r="32" spans="1:17" x14ac:dyDescent="0.25">
      <c r="A32" s="17" t="s">
        <v>44</v>
      </c>
      <c r="B32" s="5">
        <v>15</v>
      </c>
      <c r="C32" s="5">
        <v>-15</v>
      </c>
      <c r="D32" s="5">
        <f>ROUND(_xlfn.IFNA(VLOOKUP(A32,'Weapon Formulas'!$E$10:$Q$115,11,0),weapon_components!H32),2)</f>
        <v>44.47</v>
      </c>
      <c r="E32" s="5">
        <f>ROUND(_xlfn.IFNA(VLOOKUP(A32,'Weapon Formulas'!$E$10:$Q$115,12,0),weapon_components!H32),2)</f>
        <v>74.11</v>
      </c>
      <c r="F32" s="5">
        <f>ROUND(_xlfn.IFNA(VLOOKUP(A32,'Weapon Formulas'!$E$10:$L$115,8,0),weapon_components!H32),2)</f>
        <v>0.05</v>
      </c>
      <c r="G32" s="5">
        <f>ROUND(_xlfn.IFNA(VLOOKUP(A32,'Weapon Formulas'!$E$10:$P$115,9,0),weapon_components!H32),2)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Formulas'!$E$10:$Z$115,15,0),weapon_components!H32),2)</f>
        <v>30</v>
      </c>
      <c r="M32" s="2">
        <v>0.8</v>
      </c>
      <c r="N32" s="5">
        <v>0</v>
      </c>
      <c r="O32" s="5"/>
      <c r="P32" s="6"/>
      <c r="Q32" s="2"/>
    </row>
    <row r="33" spans="1:17" x14ac:dyDescent="0.25">
      <c r="A33" s="17" t="s">
        <v>45</v>
      </c>
      <c r="B33" s="5">
        <v>30</v>
      </c>
      <c r="C33" s="5">
        <v>-30</v>
      </c>
      <c r="D33" s="5">
        <f>ROUND(_xlfn.IFNA(VLOOKUP(A33,'Weapon Formulas'!$E$10:$Q$115,11,0),weapon_components!H33),2)</f>
        <v>81.12</v>
      </c>
      <c r="E33" s="5">
        <f>ROUND(_xlfn.IFNA(VLOOKUP(A33,'Weapon Formulas'!$E$10:$Q$115,12,0),weapon_components!H33),2)</f>
        <v>135.19</v>
      </c>
      <c r="F33" s="5">
        <f>ROUND(_xlfn.IFNA(VLOOKUP(A33,'Weapon Formulas'!$E$10:$L$115,8,0),weapon_components!H33),2)</f>
        <v>0.05</v>
      </c>
      <c r="G33" s="5">
        <f>ROUND(_xlfn.IFNA(VLOOKUP(A33,'Weapon Formulas'!$E$10:$P$115,9,0),weapon_components!H33),2)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Formulas'!$E$10:$Z$115,15,0),weapon_components!H33),2)</f>
        <v>36</v>
      </c>
      <c r="M33" s="2">
        <v>0.75</v>
      </c>
      <c r="N33" s="5">
        <v>0</v>
      </c>
      <c r="O33" s="5"/>
      <c r="P33" s="6"/>
      <c r="Q33" s="2"/>
    </row>
    <row r="34" spans="1:17" x14ac:dyDescent="0.25">
      <c r="A34" s="17" t="s">
        <v>46</v>
      </c>
      <c r="B34" s="5">
        <v>10</v>
      </c>
      <c r="C34" s="5">
        <v>-10</v>
      </c>
      <c r="D34" s="5">
        <f>ROUND(_xlfn.IFNA(VLOOKUP(A34,'Weapon Formulas'!$E$10:$Q$115,11,0),weapon_components!H34),2)</f>
        <v>32.03</v>
      </c>
      <c r="E34" s="5">
        <f>ROUND(_xlfn.IFNA(VLOOKUP(A34,'Weapon Formulas'!$E$10:$Q$115,12,0),weapon_components!H34),2)</f>
        <v>53.38</v>
      </c>
      <c r="F34" s="5">
        <f>ROUND(_xlfn.IFNA(VLOOKUP(A34,'Weapon Formulas'!$E$10:$L$115,8,0),weapon_components!H34),2)</f>
        <v>7.0000000000000007E-2</v>
      </c>
      <c r="G34" s="5">
        <f>ROUND(_xlfn.IFNA(VLOOKUP(A34,'Weapon Formulas'!$E$10:$P$115,9,0),weapon_components!H34),2)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Formulas'!$E$10:$Z$115,15,0),weapon_components!H34),2)</f>
        <v>24</v>
      </c>
      <c r="M34" s="2">
        <v>0.82</v>
      </c>
      <c r="N34" s="5">
        <v>0</v>
      </c>
      <c r="O34" s="5"/>
      <c r="P34" s="6"/>
      <c r="Q34" s="2"/>
    </row>
    <row r="35" spans="1:17" x14ac:dyDescent="0.25">
      <c r="A35" s="17" t="s">
        <v>47</v>
      </c>
      <c r="B35" s="5">
        <v>20</v>
      </c>
      <c r="C35" s="5">
        <v>-20</v>
      </c>
      <c r="D35" s="5">
        <f>ROUND(_xlfn.IFNA(VLOOKUP(A35,'Weapon Formulas'!$E$10:$Q$115,11,0),weapon_components!H35),2)</f>
        <v>56.18</v>
      </c>
      <c r="E35" s="5">
        <f>ROUND(_xlfn.IFNA(VLOOKUP(A35,'Weapon Formulas'!$E$10:$Q$115,12,0),weapon_components!H35),2)</f>
        <v>93.63</v>
      </c>
      <c r="F35" s="5">
        <f>ROUND(_xlfn.IFNA(VLOOKUP(A35,'Weapon Formulas'!$E$10:$L$115,8,0),weapon_components!H35),2)</f>
        <v>7.0000000000000007E-2</v>
      </c>
      <c r="G35" s="5">
        <f>ROUND(_xlfn.IFNA(VLOOKUP(A35,'Weapon Formulas'!$E$10:$P$115,9,0),weapon_components!H35),2)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Formulas'!$E$10:$Z$115,15,0),weapon_components!H35),2)</f>
        <v>30</v>
      </c>
      <c r="M35" s="2">
        <v>0.8</v>
      </c>
      <c r="N35" s="5">
        <v>0</v>
      </c>
      <c r="O35" s="5"/>
      <c r="P35" s="6"/>
      <c r="Q35" s="2"/>
    </row>
    <row r="36" spans="1:17" x14ac:dyDescent="0.25">
      <c r="A36" s="17" t="s">
        <v>48</v>
      </c>
      <c r="B36" s="2">
        <v>40</v>
      </c>
      <c r="C36" s="2">
        <v>-40</v>
      </c>
      <c r="D36" s="5">
        <f>ROUND(_xlfn.IFNA(VLOOKUP(A36,'Weapon Formulas'!$E$10:$Q$115,11,0),weapon_components!H36),2)</f>
        <v>99.7</v>
      </c>
      <c r="E36" s="5">
        <f>ROUND(_xlfn.IFNA(VLOOKUP(A36,'Weapon Formulas'!$E$10:$Q$115,12,0),weapon_components!H36),2)</f>
        <v>166.16</v>
      </c>
      <c r="F36" s="5">
        <f>ROUND(_xlfn.IFNA(VLOOKUP(A36,'Weapon Formulas'!$E$10:$L$115,8,0),weapon_components!H36),2)</f>
        <v>7.0000000000000007E-2</v>
      </c>
      <c r="G36" s="5">
        <f>ROUND(_xlfn.IFNA(VLOOKUP(A36,'Weapon Formulas'!$E$10:$P$115,9,0),weapon_components!H36),2)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Formulas'!$E$10:$Z$115,15,0),weapon_components!H36),2)</f>
        <v>36</v>
      </c>
      <c r="M36" s="5">
        <v>0.75</v>
      </c>
      <c r="N36" s="2">
        <v>0</v>
      </c>
      <c r="O36" s="2"/>
      <c r="P36" s="6"/>
      <c r="Q36" s="2"/>
    </row>
    <row r="37" spans="1:17" x14ac:dyDescent="0.25">
      <c r="A37" s="17" t="s">
        <v>49</v>
      </c>
      <c r="B37" s="5">
        <v>12.5</v>
      </c>
      <c r="C37" s="5">
        <v>-12.5</v>
      </c>
      <c r="D37" s="5">
        <f>ROUND(_xlfn.IFNA(VLOOKUP(A37,'Weapon Formulas'!$E$10:$Q$115,11,0),weapon_components!H37),2)</f>
        <v>38.39</v>
      </c>
      <c r="E37" s="5">
        <f>ROUND(_xlfn.IFNA(VLOOKUP(A37,'Weapon Formulas'!$E$10:$Q$115,12,0),weapon_components!H37),2)</f>
        <v>63.98</v>
      </c>
      <c r="F37" s="5">
        <f>ROUND(_xlfn.IFNA(VLOOKUP(A37,'Weapon Formulas'!$E$10:$L$115,8,0),weapon_components!H37),2)</f>
        <v>0.08</v>
      </c>
      <c r="G37" s="5">
        <f>ROUND(_xlfn.IFNA(VLOOKUP(A37,'Weapon Formulas'!$E$10:$P$115,9,0),weapon_components!H37),2)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Formulas'!$E$10:$Z$115,15,0),weapon_components!H37),2)</f>
        <v>24</v>
      </c>
      <c r="M37" s="2">
        <v>0.82</v>
      </c>
      <c r="N37" s="5">
        <v>0</v>
      </c>
      <c r="O37" s="5"/>
      <c r="P37" s="6"/>
      <c r="Q37" s="2"/>
    </row>
    <row r="38" spans="1:17" x14ac:dyDescent="0.25">
      <c r="A38" s="17" t="s">
        <v>50</v>
      </c>
      <c r="B38" s="5">
        <v>25</v>
      </c>
      <c r="C38" s="5">
        <v>-25</v>
      </c>
      <c r="D38" s="5">
        <f>ROUND(_xlfn.IFNA(VLOOKUP(A38,'Weapon Formulas'!$E$10:$Q$115,11,0),weapon_components!H38),2)</f>
        <v>65.48</v>
      </c>
      <c r="E38" s="5">
        <f>ROUND(_xlfn.IFNA(VLOOKUP(A38,'Weapon Formulas'!$E$10:$Q$115,12,0),weapon_components!H38),2)</f>
        <v>109.14</v>
      </c>
      <c r="F38" s="5">
        <f>ROUND(_xlfn.IFNA(VLOOKUP(A38,'Weapon Formulas'!$E$10:$L$115,8,0),weapon_components!H38),2)</f>
        <v>0.08</v>
      </c>
      <c r="G38" s="5">
        <f>ROUND(_xlfn.IFNA(VLOOKUP(A38,'Weapon Formulas'!$E$10:$P$115,9,0),weapon_components!H38),2)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Formulas'!$E$10:$Z$115,15,0),weapon_components!H38),2)</f>
        <v>30</v>
      </c>
      <c r="M38" s="2">
        <v>0.8</v>
      </c>
      <c r="N38" s="5">
        <v>0</v>
      </c>
      <c r="O38" s="5"/>
      <c r="P38" s="6"/>
      <c r="Q38" s="2"/>
    </row>
    <row r="39" spans="1:17" x14ac:dyDescent="0.25">
      <c r="A39" s="17" t="s">
        <v>51</v>
      </c>
      <c r="B39" s="2">
        <v>50</v>
      </c>
      <c r="C39" s="2">
        <v>-50</v>
      </c>
      <c r="D39" s="5">
        <f>ROUND(_xlfn.IFNA(VLOOKUP(A39,'Weapon Formulas'!$E$10:$Q$115,11,0),weapon_components!H39),2)</f>
        <v>111.6</v>
      </c>
      <c r="E39" s="5">
        <f>ROUND(_xlfn.IFNA(VLOOKUP(A39,'Weapon Formulas'!$E$10:$Q$115,12,0),weapon_components!H39),2)</f>
        <v>186</v>
      </c>
      <c r="F39" s="5">
        <f>ROUND(_xlfn.IFNA(VLOOKUP(A39,'Weapon Formulas'!$E$10:$L$115,8,0),weapon_components!H39),2)</f>
        <v>0.08</v>
      </c>
      <c r="G39" s="5">
        <f>ROUND(_xlfn.IFNA(VLOOKUP(A39,'Weapon Formulas'!$E$10:$P$115,9,0),weapon_components!H39),2)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Formulas'!$E$10:$Z$115,15,0),weapon_components!H39),2)</f>
        <v>36</v>
      </c>
      <c r="M39" s="5">
        <v>0.75</v>
      </c>
      <c r="N39" s="2">
        <v>0</v>
      </c>
      <c r="O39" s="2"/>
      <c r="P39" s="6"/>
      <c r="Q39" s="2"/>
    </row>
    <row r="40" spans="1:17" x14ac:dyDescent="0.25">
      <c r="A40" s="17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7" t="s">
        <v>53</v>
      </c>
      <c r="B41" s="5">
        <v>100</v>
      </c>
      <c r="C41" s="5">
        <v>-100</v>
      </c>
      <c r="D41" s="5">
        <f>ROUND(_xlfn.IFNA(VLOOKUP(A41,'Weapon Formulas'!$E$10:$Q$115,11,0),weapon_components!H41),2)</f>
        <v>849.72</v>
      </c>
      <c r="E41" s="5">
        <f>ROUND(_xlfn.IFNA(VLOOKUP(A41,'Weapon Formulas'!$E$10:$Q$115,12,0),weapon_components!H41),2)</f>
        <v>1416.2</v>
      </c>
      <c r="F41" s="5">
        <f>ROUND(_xlfn.IFNA(VLOOKUP(A41,'Weapon Formulas'!$E$10:$L$115,8,0),weapon_components!H41),2)</f>
        <v>7.0000000000000007E-2</v>
      </c>
      <c r="G41" s="5">
        <f>ROUND(_xlfn.IFNA(VLOOKUP(A41,'Weapon Formulas'!$E$10:$P$115,9,0),weapon_components!H41),2)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Formulas'!$E$10:$Z$115,15,0),weapon_components!H41),2)</f>
        <v>36</v>
      </c>
      <c r="M41" s="2">
        <v>1</v>
      </c>
      <c r="N41" s="5">
        <v>0</v>
      </c>
      <c r="O41" s="5"/>
      <c r="P41" s="6"/>
      <c r="Q41" s="2"/>
    </row>
    <row r="42" spans="1:17" x14ac:dyDescent="0.25">
      <c r="A42" s="17" t="s">
        <v>54</v>
      </c>
      <c r="B42" s="5">
        <v>120</v>
      </c>
      <c r="C42" s="5">
        <v>-120</v>
      </c>
      <c r="D42" s="5">
        <f>ROUND(_xlfn.IFNA(VLOOKUP(A42,'Weapon Formulas'!$E$10:$Q$115,11,0),weapon_components!H42),2)</f>
        <v>1268.57</v>
      </c>
      <c r="E42" s="5">
        <f>ROUND(_xlfn.IFNA(VLOOKUP(A42,'Weapon Formulas'!$E$10:$Q$115,12,0),weapon_components!H42),2)</f>
        <v>2114.2800000000002</v>
      </c>
      <c r="F42" s="5">
        <f>ROUND(_xlfn.IFNA(VLOOKUP(A42,'Weapon Formulas'!$E$10:$L$115,8,0),weapon_components!H42),2)</f>
        <v>0.08</v>
      </c>
      <c r="G42" s="5">
        <f>ROUND(_xlfn.IFNA(VLOOKUP(A42,'Weapon Formulas'!$E$10:$P$115,9,0),weapon_components!H42),2)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Formulas'!$E$10:$Z$115,15,0),weapon_components!H42),2)</f>
        <v>36</v>
      </c>
      <c r="M42" s="2">
        <v>1</v>
      </c>
      <c r="N42" s="5">
        <v>0</v>
      </c>
      <c r="O42" s="5"/>
      <c r="P42" s="6"/>
      <c r="Q42" s="2"/>
    </row>
    <row r="43" spans="1:17" x14ac:dyDescent="0.25">
      <c r="A43" s="17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7" t="s">
        <v>56</v>
      </c>
      <c r="B44" s="5">
        <v>7.5</v>
      </c>
      <c r="C44" s="5">
        <v>-7.5</v>
      </c>
      <c r="D44" s="5">
        <f>ROUND(_xlfn.IFNA(VLOOKUP(A44,'Weapon Formulas'!$E$10:$Q$115,11,0),weapon_components!H44),2)</f>
        <v>61.84</v>
      </c>
      <c r="E44" s="5">
        <f>ROUND(_xlfn.IFNA(VLOOKUP(A44,'Weapon Formulas'!$E$10:$Q$115,12,0),weapon_components!H44),2)</f>
        <v>103.07</v>
      </c>
      <c r="F44" s="5">
        <f>ROUND(_xlfn.IFNA(VLOOKUP(A44,'Weapon Formulas'!$E$10:$L$115,8,0),weapon_components!H44),2)</f>
        <v>1.8</v>
      </c>
      <c r="G44" s="5">
        <f>ROUND(_xlfn.IFNA(VLOOKUP(A44,'Weapon Formulas'!$E$10:$P$115,9,0),weapon_components!H44),2)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Formulas'!$E$10:$Z$115,15,0),weapon_components!H44),2)</f>
        <v>18</v>
      </c>
      <c r="M44" s="2">
        <v>0.82</v>
      </c>
      <c r="N44" s="5">
        <v>0</v>
      </c>
      <c r="O44" s="5"/>
      <c r="P44" s="6"/>
      <c r="Q44" s="2"/>
    </row>
    <row r="45" spans="1:17" x14ac:dyDescent="0.25">
      <c r="A45" s="17" t="s">
        <v>57</v>
      </c>
      <c r="B45" s="5">
        <v>15</v>
      </c>
      <c r="C45" s="5">
        <v>-15</v>
      </c>
      <c r="D45" s="5">
        <f>ROUND(_xlfn.IFNA(VLOOKUP(A45,'Weapon Formulas'!$E$10:$Q$115,11,0),weapon_components!H45),2)</f>
        <v>26.38</v>
      </c>
      <c r="E45" s="5">
        <f>ROUND(_xlfn.IFNA(VLOOKUP(A45,'Weapon Formulas'!$E$10:$Q$115,12,0),weapon_components!H45),2)</f>
        <v>43.97</v>
      </c>
      <c r="F45" s="5">
        <f>ROUND(_xlfn.IFNA(VLOOKUP(A45,'Weapon Formulas'!$E$10:$L$115,8,0),weapon_components!H45),2)</f>
        <v>1.8</v>
      </c>
      <c r="G45" s="5">
        <f>ROUND(_xlfn.IFNA(VLOOKUP(A45,'Weapon Formulas'!$E$10:$P$115,9,0),weapon_components!H45),2)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Formulas'!$E$10:$Z$115,15,0),weapon_components!H45),2)</f>
        <v>21</v>
      </c>
      <c r="M45" s="2">
        <v>0.8</v>
      </c>
      <c r="N45" s="5">
        <v>0</v>
      </c>
      <c r="O45" s="5"/>
      <c r="P45" s="6"/>
      <c r="Q45" s="2"/>
    </row>
    <row r="46" spans="1:17" x14ac:dyDescent="0.25">
      <c r="A46" s="17" t="s">
        <v>58</v>
      </c>
      <c r="B46" s="5">
        <v>30</v>
      </c>
      <c r="C46" s="5">
        <v>-30</v>
      </c>
      <c r="D46" s="5">
        <f>ROUND(_xlfn.IFNA(VLOOKUP(A46,'Weapon Formulas'!$E$10:$Q$115,11,0),weapon_components!H46),2)</f>
        <v>44.97</v>
      </c>
      <c r="E46" s="5">
        <f>ROUND(_xlfn.IFNA(VLOOKUP(A46,'Weapon Formulas'!$E$10:$Q$115,12,0),weapon_components!H46),2)</f>
        <v>74.95</v>
      </c>
      <c r="F46" s="5">
        <f>ROUND(_xlfn.IFNA(VLOOKUP(A46,'Weapon Formulas'!$E$10:$L$115,8,0),weapon_components!H46),2)</f>
        <v>1.8</v>
      </c>
      <c r="G46" s="5">
        <f>ROUND(_xlfn.IFNA(VLOOKUP(A46,'Weapon Formulas'!$E$10:$P$115,9,0),weapon_components!H46),2)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Formulas'!$E$10:$Z$115,15,0),weapon_components!H46),2)</f>
        <v>24</v>
      </c>
      <c r="M46" s="2">
        <v>0.75</v>
      </c>
      <c r="N46" s="5">
        <v>0</v>
      </c>
      <c r="O46" s="5"/>
      <c r="P46" s="6"/>
      <c r="Q46" s="2"/>
    </row>
    <row r="47" spans="1:17" x14ac:dyDescent="0.25">
      <c r="A47" s="17" t="s">
        <v>59</v>
      </c>
      <c r="B47" s="5">
        <v>10</v>
      </c>
      <c r="C47" s="5">
        <v>-10</v>
      </c>
      <c r="D47" s="5">
        <f>ROUND(_xlfn.IFNA(VLOOKUP(A47,'Weapon Formulas'!$E$10:$Q$115,11,0),weapon_components!H47),2)</f>
        <v>18.97</v>
      </c>
      <c r="E47" s="5">
        <f>ROUND(_xlfn.IFNA(VLOOKUP(A47,'Weapon Formulas'!$E$10:$Q$115,12,0),weapon_components!H47),2)</f>
        <v>31.61</v>
      </c>
      <c r="F47" s="5">
        <f>ROUND(_xlfn.IFNA(VLOOKUP(A47,'Weapon Formulas'!$E$10:$L$115,8,0),weapon_components!H47),2)</f>
        <v>2.4</v>
      </c>
      <c r="G47" s="5">
        <f>ROUND(_xlfn.IFNA(VLOOKUP(A47,'Weapon Formulas'!$E$10:$P$115,9,0),weapon_components!H47),2)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Formulas'!$E$10:$Z$115,15,0),weapon_components!H47),2)</f>
        <v>18</v>
      </c>
      <c r="M47" s="2">
        <v>0.82</v>
      </c>
      <c r="N47" s="5">
        <v>0</v>
      </c>
      <c r="O47" s="5"/>
      <c r="P47" s="6"/>
      <c r="Q47" s="2"/>
    </row>
    <row r="48" spans="1:17" x14ac:dyDescent="0.25">
      <c r="A48" s="17" t="s">
        <v>60</v>
      </c>
      <c r="B48" s="5">
        <v>20</v>
      </c>
      <c r="C48" s="5">
        <v>-20</v>
      </c>
      <c r="D48" s="5">
        <f>ROUND(_xlfn.IFNA(VLOOKUP(A48,'Weapon Formulas'!$E$10:$Q$115,11,0),weapon_components!H48),2)</f>
        <v>31.08</v>
      </c>
      <c r="E48" s="5">
        <f>ROUND(_xlfn.IFNA(VLOOKUP(A48,'Weapon Formulas'!$E$10:$Q$115,12,0),weapon_components!H48),2)</f>
        <v>51.8</v>
      </c>
      <c r="F48" s="5">
        <f>ROUND(_xlfn.IFNA(VLOOKUP(A48,'Weapon Formulas'!$E$10:$L$115,8,0),weapon_components!H48),2)</f>
        <v>2.4</v>
      </c>
      <c r="G48" s="5">
        <f>ROUND(_xlfn.IFNA(VLOOKUP(A48,'Weapon Formulas'!$E$10:$P$115,9,0),weapon_components!H48),2)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Formulas'!$E$10:$Z$115,15,0),weapon_components!H48),2)</f>
        <v>21</v>
      </c>
      <c r="M48" s="2">
        <v>0.8</v>
      </c>
      <c r="N48" s="5">
        <v>0</v>
      </c>
      <c r="O48" s="5"/>
      <c r="P48" s="6"/>
      <c r="Q48" s="2"/>
    </row>
    <row r="49" spans="1:17" x14ac:dyDescent="0.25">
      <c r="A49" s="17" t="s">
        <v>61</v>
      </c>
      <c r="B49" s="2">
        <v>40</v>
      </c>
      <c r="C49" s="2">
        <v>-40</v>
      </c>
      <c r="D49" s="5">
        <f>ROUND(_xlfn.IFNA(VLOOKUP(A49,'Weapon Formulas'!$E$10:$Q$115,11,0),weapon_components!H49),2)</f>
        <v>49.68</v>
      </c>
      <c r="E49" s="5">
        <f>ROUND(_xlfn.IFNA(VLOOKUP(A49,'Weapon Formulas'!$E$10:$Q$115,12,0),weapon_components!H49),2)</f>
        <v>82.8</v>
      </c>
      <c r="F49" s="5">
        <f>ROUND(_xlfn.IFNA(VLOOKUP(A49,'Weapon Formulas'!$E$10:$L$115,8,0),weapon_components!H49),2)</f>
        <v>2.4</v>
      </c>
      <c r="G49" s="5">
        <f>ROUND(_xlfn.IFNA(VLOOKUP(A49,'Weapon Formulas'!$E$10:$P$115,9,0),weapon_components!H49),2)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Formulas'!$E$10:$Z$115,15,0),weapon_components!H49),2)</f>
        <v>24</v>
      </c>
      <c r="M49" s="5">
        <v>0.75</v>
      </c>
      <c r="N49" s="2">
        <v>0</v>
      </c>
      <c r="O49" s="2"/>
      <c r="P49" s="6"/>
      <c r="Q49" s="2"/>
    </row>
    <row r="50" spans="1:17" x14ac:dyDescent="0.25">
      <c r="A50" s="17" t="s">
        <v>62</v>
      </c>
      <c r="B50" s="5">
        <v>12.5</v>
      </c>
      <c r="C50" s="5">
        <v>-12.5</v>
      </c>
      <c r="D50" s="5">
        <f>ROUND(_xlfn.IFNA(VLOOKUP(A50,'Weapon Formulas'!$E$10:$Q$115,11,0),weapon_components!H50),2)</f>
        <v>21.21</v>
      </c>
      <c r="E50" s="5">
        <f>ROUND(_xlfn.IFNA(VLOOKUP(A50,'Weapon Formulas'!$E$10:$Q$115,12,0),weapon_components!H50),2)</f>
        <v>35.35</v>
      </c>
      <c r="F50" s="5">
        <f>ROUND(_xlfn.IFNA(VLOOKUP(A50,'Weapon Formulas'!$E$10:$L$115,8,0),weapon_components!H50),2)</f>
        <v>3</v>
      </c>
      <c r="G50" s="5">
        <f>ROUND(_xlfn.IFNA(VLOOKUP(A50,'Weapon Formulas'!$E$10:$P$115,9,0),weapon_components!H50),2)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Formulas'!$E$10:$Z$115,15,0),weapon_components!H50),2)</f>
        <v>18</v>
      </c>
      <c r="M50" s="2">
        <v>0.82</v>
      </c>
      <c r="N50" s="5">
        <v>0</v>
      </c>
      <c r="O50" s="5"/>
      <c r="P50" s="6"/>
      <c r="Q50" s="2"/>
    </row>
    <row r="51" spans="1:17" x14ac:dyDescent="0.25">
      <c r="A51" s="17" t="s">
        <v>63</v>
      </c>
      <c r="B51" s="5">
        <v>25</v>
      </c>
      <c r="C51" s="5">
        <v>-25</v>
      </c>
      <c r="D51" s="5">
        <f>ROUND(_xlfn.IFNA(VLOOKUP(A51,'Weapon Formulas'!$E$10:$Q$115,11,0),weapon_components!H51),2)</f>
        <v>32.590000000000003</v>
      </c>
      <c r="E51" s="5">
        <f>ROUND(_xlfn.IFNA(VLOOKUP(A51,'Weapon Formulas'!$E$10:$Q$115,12,0),weapon_components!H51),2)</f>
        <v>54.31</v>
      </c>
      <c r="F51" s="5">
        <f>ROUND(_xlfn.IFNA(VLOOKUP(A51,'Weapon Formulas'!$E$10:$L$115,8,0),weapon_components!H51),2)</f>
        <v>3</v>
      </c>
      <c r="G51" s="5">
        <f>ROUND(_xlfn.IFNA(VLOOKUP(A51,'Weapon Formulas'!$E$10:$P$115,9,0),weapon_components!H51),2)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Formulas'!$E$10:$Z$115,15,0),weapon_components!H51),2)</f>
        <v>21</v>
      </c>
      <c r="M51" s="2">
        <v>0.8</v>
      </c>
      <c r="N51" s="5">
        <v>0</v>
      </c>
      <c r="O51" s="5"/>
      <c r="P51" s="6"/>
      <c r="Q51" s="2"/>
    </row>
    <row r="52" spans="1:17" x14ac:dyDescent="0.25">
      <c r="A52" s="17" t="s">
        <v>64</v>
      </c>
      <c r="B52" s="2">
        <v>50</v>
      </c>
      <c r="C52" s="2">
        <v>-50</v>
      </c>
      <c r="D52" s="5">
        <f>ROUND(_xlfn.IFNA(VLOOKUP(A52,'Weapon Formulas'!$E$10:$Q$115,11,0),weapon_components!H52),2)</f>
        <v>46.31</v>
      </c>
      <c r="E52" s="5">
        <f>ROUND(_xlfn.IFNA(VLOOKUP(A52,'Weapon Formulas'!$E$10:$Q$115,12,0),weapon_components!H52),2)</f>
        <v>77.19</v>
      </c>
      <c r="F52" s="5">
        <f>ROUND(_xlfn.IFNA(VLOOKUP(A52,'Weapon Formulas'!$E$10:$L$115,8,0),weapon_components!H52),2)</f>
        <v>3</v>
      </c>
      <c r="G52" s="5">
        <f>ROUND(_xlfn.IFNA(VLOOKUP(A52,'Weapon Formulas'!$E$10:$P$115,9,0),weapon_components!H52),2)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Formulas'!$E$10:$Z$115,15,0),weapon_components!H52),2)</f>
        <v>24</v>
      </c>
      <c r="M52" s="5">
        <v>0.75</v>
      </c>
      <c r="N52" s="2">
        <v>0</v>
      </c>
      <c r="O52" s="2"/>
      <c r="P52" s="6"/>
      <c r="Q52" s="2"/>
    </row>
    <row r="53" spans="1:17" x14ac:dyDescent="0.25">
      <c r="A53" s="17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7" t="s">
        <v>66</v>
      </c>
      <c r="B54" s="5">
        <v>100</v>
      </c>
      <c r="C54" s="5">
        <v>-100</v>
      </c>
      <c r="D54" s="5">
        <f>ROUND(_xlfn.IFNA(VLOOKUP(A54,'Weapon Formulas'!$E$10:$Q$115,11,0),weapon_components!H54),2)</f>
        <v>636.88</v>
      </c>
      <c r="E54" s="5">
        <f>ROUND(_xlfn.IFNA(VLOOKUP(A54,'Weapon Formulas'!$E$10:$Q$115,12,0),weapon_components!H54),2)</f>
        <v>1061.47</v>
      </c>
      <c r="F54" s="5">
        <f>ROUND(_xlfn.IFNA(VLOOKUP(A54,'Weapon Formulas'!$E$10:$L$115,8,0),weapon_components!H54),2)</f>
        <v>7.0000000000000007E-2</v>
      </c>
      <c r="G54" s="5">
        <f>ROUND(_xlfn.IFNA(VLOOKUP(A54,'Weapon Formulas'!$E$10:$P$115,9,0),weapon_components!H54),2)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Formulas'!$E$10:$Z$115,15,0),weapon_components!H54),2)</f>
        <v>72</v>
      </c>
      <c r="M54" s="2">
        <v>0.95</v>
      </c>
      <c r="N54" s="5">
        <v>5</v>
      </c>
      <c r="O54" s="5"/>
      <c r="P54" s="6"/>
      <c r="Q54" s="2"/>
    </row>
    <row r="55" spans="1:17" x14ac:dyDescent="0.25">
      <c r="A55" s="17" t="s">
        <v>67</v>
      </c>
      <c r="B55" s="5">
        <v>120</v>
      </c>
      <c r="C55" s="5">
        <v>-120</v>
      </c>
      <c r="D55" s="5">
        <f>ROUND(_xlfn.IFNA(VLOOKUP(A55,'Weapon Formulas'!$E$10:$Q$115,11,0),weapon_components!H55),2)</f>
        <v>849.87</v>
      </c>
      <c r="E55" s="5">
        <f>ROUND(_xlfn.IFNA(VLOOKUP(A55,'Weapon Formulas'!$E$10:$Q$115,12,0),weapon_components!H55),2)</f>
        <v>1416.45</v>
      </c>
      <c r="F55" s="5">
        <f>ROUND(_xlfn.IFNA(VLOOKUP(A55,'Weapon Formulas'!$E$10:$L$115,8,0),weapon_components!H55),2)</f>
        <v>0.08</v>
      </c>
      <c r="G55" s="5">
        <f>ROUND(_xlfn.IFNA(VLOOKUP(A55,'Weapon Formulas'!$E$10:$P$115,9,0),weapon_components!H55),2)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Formulas'!$E$10:$Z$115,15,0),weapon_components!H55),2)</f>
        <v>72</v>
      </c>
      <c r="M55" s="2">
        <v>0.95</v>
      </c>
      <c r="N55" s="5">
        <v>5</v>
      </c>
      <c r="O55" s="5"/>
      <c r="P55" s="6"/>
      <c r="Q55" s="2"/>
    </row>
    <row r="56" spans="1:17" x14ac:dyDescent="0.25">
      <c r="A56" s="17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7" t="s">
        <v>69</v>
      </c>
      <c r="B57" s="5">
        <v>2.5</v>
      </c>
      <c r="C57" s="5">
        <v>-2.5</v>
      </c>
      <c r="D57" s="5">
        <f>ROUND(_xlfn.IFNA(VLOOKUP(A57,'Weapon Formulas'!$E$10:$Q$115,11,0),weapon_components!H57),2)</f>
        <v>8.09</v>
      </c>
      <c r="E57" s="5">
        <f>ROUND(_xlfn.IFNA(VLOOKUP(A57,'Weapon Formulas'!$E$10:$Q$115,12,0),weapon_components!H57),2)</f>
        <v>13.48</v>
      </c>
      <c r="F57" s="5">
        <f>ROUND(_xlfn.IFNA(VLOOKUP(A57,'Weapon Formulas'!$E$10:$L$115,8,0),weapon_components!H57),2)</f>
        <v>0</v>
      </c>
      <c r="G57" s="5">
        <f>ROUND(_xlfn.IFNA(VLOOKUP(A57,'Weapon Formulas'!$E$10:$P$115,9,0),weapon_components!H57),2)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Formulas'!$E$10:$Z$115,15,0),weapon_components!H57),2)</f>
        <v>36</v>
      </c>
      <c r="M57" s="2">
        <v>0.76</v>
      </c>
      <c r="N57" s="5">
        <v>0</v>
      </c>
      <c r="O57" s="5"/>
      <c r="P57" s="6"/>
      <c r="Q57" s="2"/>
    </row>
    <row r="58" spans="1:17" x14ac:dyDescent="0.25">
      <c r="A58" s="17" t="s">
        <v>70</v>
      </c>
      <c r="B58" s="5">
        <v>5</v>
      </c>
      <c r="C58" s="5">
        <v>-5</v>
      </c>
      <c r="D58" s="5">
        <f>ROUND(_xlfn.IFNA(VLOOKUP(A58,'Weapon Formulas'!$E$10:$Q$115,11,0),weapon_components!H58),2)</f>
        <v>14.36</v>
      </c>
      <c r="E58" s="5">
        <f>ROUND(_xlfn.IFNA(VLOOKUP(A58,'Weapon Formulas'!$E$10:$Q$115,12,0),weapon_components!H58),2)</f>
        <v>23.93</v>
      </c>
      <c r="F58" s="5">
        <f>ROUND(_xlfn.IFNA(VLOOKUP(A58,'Weapon Formulas'!$E$10:$L$115,8,0),weapon_components!H58),2)</f>
        <v>0</v>
      </c>
      <c r="G58" s="5">
        <f>ROUND(_xlfn.IFNA(VLOOKUP(A58,'Weapon Formulas'!$E$10:$P$115,9,0),weapon_components!H58),2)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Formulas'!$E$10:$Z$115,15,0),weapon_components!H58),2)</f>
        <v>45</v>
      </c>
      <c r="M58" s="2">
        <v>0.72</v>
      </c>
      <c r="N58" s="5">
        <v>0</v>
      </c>
      <c r="O58" s="5"/>
      <c r="P58" s="6"/>
      <c r="Q58" s="2"/>
    </row>
    <row r="59" spans="1:17" x14ac:dyDescent="0.25">
      <c r="A59" s="17" t="s">
        <v>71</v>
      </c>
      <c r="B59" s="5">
        <v>10</v>
      </c>
      <c r="C59" s="5">
        <v>-10</v>
      </c>
      <c r="D59" s="5">
        <f>ROUND(_xlfn.IFNA(VLOOKUP(A59,'Weapon Formulas'!$E$10:$Q$115,11,0),weapon_components!H59),2)</f>
        <v>25.14</v>
      </c>
      <c r="E59" s="5">
        <f>ROUND(_xlfn.IFNA(VLOOKUP(A59,'Weapon Formulas'!$E$10:$Q$115,12,0),weapon_components!H59),2)</f>
        <v>41.9</v>
      </c>
      <c r="F59" s="5">
        <f>ROUND(_xlfn.IFNA(VLOOKUP(A59,'Weapon Formulas'!$E$10:$L$115,8,0),weapon_components!H59),2)</f>
        <v>0</v>
      </c>
      <c r="G59" s="5">
        <f>ROUND(_xlfn.IFNA(VLOOKUP(A59,'Weapon Formulas'!$E$10:$P$115,9,0),weapon_components!H59),2)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Formulas'!$E$10:$Z$115,15,0),weapon_components!H59),2)</f>
        <v>54</v>
      </c>
      <c r="M59" s="2">
        <v>0.67</v>
      </c>
      <c r="N59" s="5">
        <v>0</v>
      </c>
      <c r="O59" s="5"/>
      <c r="P59" s="6"/>
      <c r="Q59" s="2"/>
    </row>
    <row r="60" spans="1:17" x14ac:dyDescent="0.25">
      <c r="A60" s="17" t="s">
        <v>72</v>
      </c>
      <c r="B60" s="5">
        <v>5</v>
      </c>
      <c r="C60" s="5">
        <v>-5</v>
      </c>
      <c r="D60" s="5">
        <f>ROUND(_xlfn.IFNA(VLOOKUP(A60,'Weapon Formulas'!$E$10:$Q$115,11,0),weapon_components!H60),2)</f>
        <v>17.510000000000002</v>
      </c>
      <c r="E60" s="5">
        <f>ROUND(_xlfn.IFNA(VLOOKUP(A60,'Weapon Formulas'!$E$10:$Q$115,12,0),weapon_components!H60),2)</f>
        <v>29.18</v>
      </c>
      <c r="F60" s="5">
        <f>ROUND(_xlfn.IFNA(VLOOKUP(A60,'Weapon Formulas'!$E$10:$L$115,8,0),weapon_components!H60),2)</f>
        <v>0</v>
      </c>
      <c r="G60" s="5">
        <f>ROUND(_xlfn.IFNA(VLOOKUP(A60,'Weapon Formulas'!$E$10:$P$115,9,0),weapon_components!H60),2)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Formulas'!$E$10:$Z$115,15,0),weapon_components!H60),2)</f>
        <v>36</v>
      </c>
      <c r="M60" s="2">
        <v>0.76</v>
      </c>
      <c r="N60" s="5">
        <v>0</v>
      </c>
      <c r="O60" s="5"/>
      <c r="P60" s="6"/>
      <c r="Q60" s="2"/>
    </row>
    <row r="61" spans="1:17" x14ac:dyDescent="0.25">
      <c r="A61" s="17" t="s">
        <v>73</v>
      </c>
      <c r="B61" s="5">
        <v>10</v>
      </c>
      <c r="C61" s="5">
        <v>-10</v>
      </c>
      <c r="D61" s="5">
        <f>ROUND(_xlfn.IFNA(VLOOKUP(A61,'Weapon Formulas'!$E$10:$Q$115,11,0),weapon_components!H61),2)</f>
        <v>31.25</v>
      </c>
      <c r="E61" s="5">
        <f>ROUND(_xlfn.IFNA(VLOOKUP(A61,'Weapon Formulas'!$E$10:$Q$115,12,0),weapon_components!H61),2)</f>
        <v>52.08</v>
      </c>
      <c r="F61" s="5">
        <f>ROUND(_xlfn.IFNA(VLOOKUP(A61,'Weapon Formulas'!$E$10:$L$115,8,0),weapon_components!H61),2)</f>
        <v>0</v>
      </c>
      <c r="G61" s="5">
        <f>ROUND(_xlfn.IFNA(VLOOKUP(A61,'Weapon Formulas'!$E$10:$P$115,9,0),weapon_components!H61),2)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Formulas'!$E$10:$Z$115,15,0),weapon_components!H61),2)</f>
        <v>45</v>
      </c>
      <c r="M61" s="2">
        <v>0.72</v>
      </c>
      <c r="N61" s="5">
        <v>0</v>
      </c>
      <c r="O61" s="5"/>
      <c r="P61" s="6"/>
      <c r="Q61" s="2"/>
    </row>
    <row r="62" spans="1:17" x14ac:dyDescent="0.25">
      <c r="A62" s="17" t="s">
        <v>74</v>
      </c>
      <c r="B62" s="5">
        <v>20</v>
      </c>
      <c r="C62" s="5">
        <v>-20</v>
      </c>
      <c r="D62" s="5">
        <f>ROUND(_xlfn.IFNA(VLOOKUP(A62,'Weapon Formulas'!$E$10:$Q$115,11,0),weapon_components!H62),2)</f>
        <v>55.01</v>
      </c>
      <c r="E62" s="5">
        <f>ROUND(_xlfn.IFNA(VLOOKUP(A62,'Weapon Formulas'!$E$10:$Q$115,12,0),weapon_components!H62),2)</f>
        <v>91.69</v>
      </c>
      <c r="F62" s="5">
        <f>ROUND(_xlfn.IFNA(VLOOKUP(A62,'Weapon Formulas'!$E$10:$L$115,8,0),weapon_components!H62),2)</f>
        <v>0</v>
      </c>
      <c r="G62" s="5">
        <f>ROUND(_xlfn.IFNA(VLOOKUP(A62,'Weapon Formulas'!$E$10:$P$115,9,0),weapon_components!H62),2)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Formulas'!$E$10:$Z$115,15,0),weapon_components!H62),2)</f>
        <v>54</v>
      </c>
      <c r="M62" s="2">
        <v>0.67</v>
      </c>
      <c r="N62" s="5">
        <v>0</v>
      </c>
      <c r="O62" s="5"/>
      <c r="P62" s="6"/>
      <c r="Q62" s="2"/>
    </row>
    <row r="63" spans="1:17" x14ac:dyDescent="0.25">
      <c r="A63" s="17" t="s">
        <v>75</v>
      </c>
      <c r="B63" s="5">
        <v>7.5</v>
      </c>
      <c r="C63" s="5">
        <v>-7.5</v>
      </c>
      <c r="D63" s="5">
        <f>ROUND(_xlfn.IFNA(VLOOKUP(A63,'Weapon Formulas'!$E$10:$Q$115,11,0),weapon_components!H63),2)</f>
        <v>28.75</v>
      </c>
      <c r="E63" s="5">
        <f>ROUND(_xlfn.IFNA(VLOOKUP(A63,'Weapon Formulas'!$E$10:$Q$115,12,0),weapon_components!H63),2)</f>
        <v>47.92</v>
      </c>
      <c r="F63" s="5">
        <f>ROUND(_xlfn.IFNA(VLOOKUP(A63,'Weapon Formulas'!$E$10:$L$115,8,0),weapon_components!H63),2)</f>
        <v>0</v>
      </c>
      <c r="G63" s="5">
        <f>ROUND(_xlfn.IFNA(VLOOKUP(A63,'Weapon Formulas'!$E$10:$P$115,9,0),weapon_components!H63),2)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Formulas'!$E$10:$Z$115,15,0),weapon_components!H63),2)</f>
        <v>36</v>
      </c>
      <c r="M63" s="2">
        <v>0.76</v>
      </c>
      <c r="N63" s="5">
        <v>0</v>
      </c>
      <c r="O63" s="5"/>
      <c r="P63" s="6"/>
      <c r="Q63" s="2"/>
    </row>
    <row r="64" spans="1:17" x14ac:dyDescent="0.25">
      <c r="A64" s="17" t="s">
        <v>76</v>
      </c>
      <c r="B64" s="5">
        <v>15</v>
      </c>
      <c r="C64" s="5">
        <v>-15</v>
      </c>
      <c r="D64" s="5">
        <f>ROUND(_xlfn.IFNA(VLOOKUP(A64,'Weapon Formulas'!$E$10:$Q$115,11,0),weapon_components!H64),2)</f>
        <v>51.41</v>
      </c>
      <c r="E64" s="5">
        <f>ROUND(_xlfn.IFNA(VLOOKUP(A64,'Weapon Formulas'!$E$10:$Q$115,12,0),weapon_components!H64),2)</f>
        <v>85.69</v>
      </c>
      <c r="F64" s="5">
        <f>ROUND(_xlfn.IFNA(VLOOKUP(A64,'Weapon Formulas'!$E$10:$L$115,8,0),weapon_components!H64),2)</f>
        <v>0</v>
      </c>
      <c r="G64" s="5">
        <f>ROUND(_xlfn.IFNA(VLOOKUP(A64,'Weapon Formulas'!$E$10:$P$115,9,0),weapon_components!H64),2)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Formulas'!$E$10:$Z$115,15,0),weapon_components!H64),2)</f>
        <v>45</v>
      </c>
      <c r="M64" s="2">
        <v>0.72</v>
      </c>
      <c r="N64" s="5">
        <v>0</v>
      </c>
      <c r="O64" s="5"/>
      <c r="P64" s="6"/>
      <c r="Q64" s="2"/>
    </row>
    <row r="65" spans="1:17" x14ac:dyDescent="0.25">
      <c r="A65" s="17" t="s">
        <v>77</v>
      </c>
      <c r="B65" s="5">
        <v>30</v>
      </c>
      <c r="C65" s="5">
        <v>-30</v>
      </c>
      <c r="D65" s="5">
        <f>ROUND(_xlfn.IFNA(VLOOKUP(A65,'Weapon Formulas'!$E$10:$Q$115,11,0),weapon_components!H65),2)</f>
        <v>90.67</v>
      </c>
      <c r="E65" s="5">
        <f>ROUND(_xlfn.IFNA(VLOOKUP(A65,'Weapon Formulas'!$E$10:$Q$115,12,0),weapon_components!H65),2)</f>
        <v>151.12</v>
      </c>
      <c r="F65" s="5">
        <f>ROUND(_xlfn.IFNA(VLOOKUP(A65,'Weapon Formulas'!$E$10:$L$115,8,0),weapon_components!H65),2)</f>
        <v>0</v>
      </c>
      <c r="G65" s="5">
        <f>ROUND(_xlfn.IFNA(VLOOKUP(A65,'Weapon Formulas'!$E$10:$P$115,9,0),weapon_components!H65),2)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Formulas'!$E$10:$Z$115,15,0),weapon_components!H65),2)</f>
        <v>54</v>
      </c>
      <c r="M65" s="2">
        <v>0.67</v>
      </c>
      <c r="N65" s="5">
        <v>0</v>
      </c>
      <c r="O65" s="5"/>
      <c r="P65" s="6"/>
      <c r="Q65" s="2"/>
    </row>
    <row r="66" spans="1:17" x14ac:dyDescent="0.25">
      <c r="A66" s="17" t="s">
        <v>78</v>
      </c>
      <c r="B66" s="5">
        <v>10</v>
      </c>
      <c r="C66" s="5">
        <v>-10</v>
      </c>
      <c r="D66" s="5">
        <f>ROUND(_xlfn.IFNA(VLOOKUP(A66,'Weapon Formulas'!$E$10:$Q$115,11,0),weapon_components!H66),2)</f>
        <v>42.41</v>
      </c>
      <c r="E66" s="5">
        <f>ROUND(_xlfn.IFNA(VLOOKUP(A66,'Weapon Formulas'!$E$10:$Q$115,12,0),weapon_components!H66),2)</f>
        <v>70.680000000000007</v>
      </c>
      <c r="F66" s="5">
        <f>ROUND(_xlfn.IFNA(VLOOKUP(A66,'Weapon Formulas'!$E$10:$L$115,8,0),weapon_components!H66),2)</f>
        <v>0</v>
      </c>
      <c r="G66" s="5">
        <f>ROUND(_xlfn.IFNA(VLOOKUP(A66,'Weapon Formulas'!$E$10:$P$115,9,0),weapon_components!H66),2)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Formulas'!$E$10:$Z$115,15,0),weapon_components!H66),2)</f>
        <v>36</v>
      </c>
      <c r="M66" s="2">
        <v>0.76</v>
      </c>
      <c r="N66" s="5">
        <v>0</v>
      </c>
      <c r="O66" s="5"/>
      <c r="P66" s="6"/>
      <c r="Q66" s="2"/>
    </row>
    <row r="67" spans="1:17" x14ac:dyDescent="0.25">
      <c r="A67" s="17" t="s">
        <v>79</v>
      </c>
      <c r="B67" s="5">
        <v>20</v>
      </c>
      <c r="C67" s="5">
        <v>-20</v>
      </c>
      <c r="D67" s="5">
        <f>ROUND(_xlfn.IFNA(VLOOKUP(A67,'Weapon Formulas'!$E$10:$Q$115,11,0),weapon_components!H67),2)</f>
        <v>75.89</v>
      </c>
      <c r="E67" s="5">
        <f>ROUND(_xlfn.IFNA(VLOOKUP(A67,'Weapon Formulas'!$E$10:$Q$115,12,0),weapon_components!H67),2)</f>
        <v>126.49</v>
      </c>
      <c r="F67" s="5">
        <f>ROUND(_xlfn.IFNA(VLOOKUP(A67,'Weapon Formulas'!$E$10:$L$115,8,0),weapon_components!H67),2)</f>
        <v>0</v>
      </c>
      <c r="G67" s="5">
        <f>ROUND(_xlfn.IFNA(VLOOKUP(A67,'Weapon Formulas'!$E$10:$P$115,9,0),weapon_components!H67),2)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Formulas'!$E$10:$Z$115,15,0),weapon_components!H67),2)</f>
        <v>45</v>
      </c>
      <c r="M67" s="2">
        <v>0.72</v>
      </c>
      <c r="N67" s="5">
        <v>0</v>
      </c>
      <c r="O67" s="5"/>
      <c r="P67" s="6"/>
      <c r="Q67" s="2"/>
    </row>
    <row r="68" spans="1:17" x14ac:dyDescent="0.25">
      <c r="A68" s="17" t="s">
        <v>80</v>
      </c>
      <c r="B68" s="2">
        <v>40</v>
      </c>
      <c r="C68" s="2">
        <v>-40</v>
      </c>
      <c r="D68" s="5">
        <f>ROUND(_xlfn.IFNA(VLOOKUP(A68,'Weapon Formulas'!$E$10:$Q$115,11,0),weapon_components!H68),2)</f>
        <v>133.97</v>
      </c>
      <c r="E68" s="5">
        <f>ROUND(_xlfn.IFNA(VLOOKUP(A68,'Weapon Formulas'!$E$10:$Q$115,12,0),weapon_components!H68),2)</f>
        <v>223.28</v>
      </c>
      <c r="F68" s="5">
        <f>ROUND(_xlfn.IFNA(VLOOKUP(A68,'Weapon Formulas'!$E$10:$L$115,8,0),weapon_components!H68),2)</f>
        <v>0</v>
      </c>
      <c r="G68" s="5">
        <f>ROUND(_xlfn.IFNA(VLOOKUP(A68,'Weapon Formulas'!$E$10:$P$115,9,0),weapon_components!H68),2)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Formulas'!$E$10:$Z$115,15,0),weapon_components!H68),2)</f>
        <v>54</v>
      </c>
      <c r="M68" s="5">
        <v>0.67</v>
      </c>
      <c r="N68" s="2">
        <v>0</v>
      </c>
      <c r="O68" s="2"/>
      <c r="P68" s="6"/>
      <c r="Q68" s="2"/>
    </row>
    <row r="69" spans="1:17" x14ac:dyDescent="0.25">
      <c r="A69" s="17" t="s">
        <v>81</v>
      </c>
      <c r="B69" s="5">
        <v>12.5</v>
      </c>
      <c r="C69" s="5">
        <v>-12.5</v>
      </c>
      <c r="D69" s="5">
        <f>ROUND(_xlfn.IFNA(VLOOKUP(A69,'Weapon Formulas'!$E$10:$Q$115,11,0),weapon_components!H69),2)</f>
        <v>59.34</v>
      </c>
      <c r="E69" s="5">
        <f>ROUND(_xlfn.IFNA(VLOOKUP(A69,'Weapon Formulas'!$E$10:$Q$115,12,0),weapon_components!H69),2)</f>
        <v>98.9</v>
      </c>
      <c r="F69" s="5">
        <f>ROUND(_xlfn.IFNA(VLOOKUP(A69,'Weapon Formulas'!$E$10:$L$115,8,0),weapon_components!H69),2)</f>
        <v>0</v>
      </c>
      <c r="G69" s="5">
        <f>ROUND(_xlfn.IFNA(VLOOKUP(A69,'Weapon Formulas'!$E$10:$P$115,9,0),weapon_components!H69),2)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Formulas'!$E$10:$Z$115,15,0),weapon_components!H69),2)</f>
        <v>36</v>
      </c>
      <c r="M69" s="2">
        <v>0.76</v>
      </c>
      <c r="N69" s="5">
        <v>0</v>
      </c>
      <c r="O69" s="5"/>
      <c r="P69" s="6"/>
      <c r="Q69" s="2"/>
    </row>
    <row r="70" spans="1:17" x14ac:dyDescent="0.25">
      <c r="A70" s="17" t="s">
        <v>82</v>
      </c>
      <c r="B70" s="5">
        <v>25</v>
      </c>
      <c r="C70" s="5">
        <v>-25</v>
      </c>
      <c r="D70" s="5">
        <f>ROUND(_xlfn.IFNA(VLOOKUP(A70,'Weapon Formulas'!$E$10:$Q$115,11,0),weapon_components!H70),2)</f>
        <v>106.25</v>
      </c>
      <c r="E70" s="5">
        <f>ROUND(_xlfn.IFNA(VLOOKUP(A70,'Weapon Formulas'!$E$10:$Q$115,12,0),weapon_components!H70),2)</f>
        <v>177.08</v>
      </c>
      <c r="F70" s="5">
        <f>ROUND(_xlfn.IFNA(VLOOKUP(A70,'Weapon Formulas'!$E$10:$L$115,8,0),weapon_components!H70),2)</f>
        <v>0</v>
      </c>
      <c r="G70" s="5">
        <f>ROUND(_xlfn.IFNA(VLOOKUP(A70,'Weapon Formulas'!$E$10:$P$115,9,0),weapon_components!H70),2)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Formulas'!$E$10:$Z$115,15,0),weapon_components!H70),2)</f>
        <v>45</v>
      </c>
      <c r="M70" s="2">
        <v>0.72</v>
      </c>
      <c r="N70" s="5">
        <v>0</v>
      </c>
      <c r="O70" s="5"/>
      <c r="P70" s="6"/>
      <c r="Q70" s="2"/>
    </row>
    <row r="71" spans="1:17" x14ac:dyDescent="0.25">
      <c r="A71" s="17" t="s">
        <v>83</v>
      </c>
      <c r="B71" s="2">
        <v>50</v>
      </c>
      <c r="C71" s="2">
        <v>-50</v>
      </c>
      <c r="D71" s="5">
        <f>ROUND(_xlfn.IFNA(VLOOKUP(A71,'Weapon Formulas'!$E$10:$Q$115,11,0),weapon_components!H71),2)</f>
        <v>187.65</v>
      </c>
      <c r="E71" s="5">
        <f>ROUND(_xlfn.IFNA(VLOOKUP(A71,'Weapon Formulas'!$E$10:$Q$115,12,0),weapon_components!H71),2)</f>
        <v>312.76</v>
      </c>
      <c r="F71" s="5">
        <f>ROUND(_xlfn.IFNA(VLOOKUP(A71,'Weapon Formulas'!$E$10:$L$115,8,0),weapon_components!H71),2)</f>
        <v>0</v>
      </c>
      <c r="G71" s="5">
        <f>ROUND(_xlfn.IFNA(VLOOKUP(A71,'Weapon Formulas'!$E$10:$P$115,9,0),weapon_components!H71),2)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Formulas'!$E$10:$Z$115,15,0),weapon_components!H71),2)</f>
        <v>54</v>
      </c>
      <c r="M71" s="5">
        <v>0.67</v>
      </c>
      <c r="N71" s="2">
        <v>0</v>
      </c>
      <c r="O71" s="2"/>
      <c r="P71" s="6"/>
      <c r="Q71" s="2"/>
    </row>
    <row r="72" spans="1:17" x14ac:dyDescent="0.25">
      <c r="A72" s="17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7" t="s">
        <v>154</v>
      </c>
      <c r="B73" s="5">
        <v>0</v>
      </c>
      <c r="C73" s="5">
        <v>0</v>
      </c>
      <c r="D73" s="5">
        <f>ROUND(_xlfn.IFNA(VLOOKUP(A73,'Weapon Formulas'!$E$10:$Q$115,11,0),weapon_components!H73),2)</f>
        <v>0</v>
      </c>
      <c r="E73" s="5">
        <f>ROUND(_xlfn.IFNA(VLOOKUP(A73,'Weapon Formulas'!$E$10:$Q$115,12,0),weapon_components!H73),2)</f>
        <v>0</v>
      </c>
      <c r="F73" s="5">
        <f>ROUND(_xlfn.IFNA(VLOOKUP(A73,'Weapon Formulas'!$E$10:$L$115,8,0),weapon_components!H73),2)</f>
        <v>0</v>
      </c>
      <c r="G73" s="5">
        <f>ROUND(_xlfn.IFNA(VLOOKUP(A73,'Weapon Formulas'!$E$10:$P$115,9,0),weapon_components!H73),2)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Formulas'!$E$10:$Z$115,15,0),weapon_components!H73),2)</f>
        <v>0</v>
      </c>
      <c r="M73" s="2">
        <v>0.82</v>
      </c>
      <c r="N73" s="5">
        <v>0</v>
      </c>
      <c r="O73" s="5"/>
      <c r="P73" s="6"/>
      <c r="Q73" s="2"/>
    </row>
    <row r="74" spans="1:17" x14ac:dyDescent="0.25">
      <c r="A74" s="17" t="s">
        <v>155</v>
      </c>
      <c r="B74" s="5">
        <v>0</v>
      </c>
      <c r="C74" s="5">
        <v>0</v>
      </c>
      <c r="D74" s="5">
        <f>ROUND(_xlfn.IFNA(VLOOKUP(A74,'Weapon Formulas'!$E$10:$Q$115,11,0),weapon_components!H74),2)</f>
        <v>0</v>
      </c>
      <c r="E74" s="5">
        <f>ROUND(_xlfn.IFNA(VLOOKUP(A74,'Weapon Formulas'!$E$10:$Q$115,12,0),weapon_components!H74),2)</f>
        <v>0</v>
      </c>
      <c r="F74" s="5">
        <f>ROUND(_xlfn.IFNA(VLOOKUP(A74,'Weapon Formulas'!$E$10:$L$115,8,0),weapon_components!H74),2)</f>
        <v>0</v>
      </c>
      <c r="G74" s="5">
        <f>ROUND(_xlfn.IFNA(VLOOKUP(A74,'Weapon Formulas'!$E$10:$P$115,9,0),weapon_components!H74),2)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Formulas'!$E$10:$Z$115,15,0),weapon_components!H74),2)</f>
        <v>0</v>
      </c>
      <c r="M74" s="2">
        <v>0.8</v>
      </c>
      <c r="N74" s="5">
        <v>0</v>
      </c>
      <c r="O74" s="5"/>
      <c r="P74" s="6"/>
      <c r="Q74" s="2"/>
    </row>
    <row r="75" spans="1:17" x14ac:dyDescent="0.25">
      <c r="A75" s="17" t="s">
        <v>156</v>
      </c>
      <c r="B75" s="5">
        <v>0</v>
      </c>
      <c r="C75" s="5">
        <v>0</v>
      </c>
      <c r="D75" s="5">
        <f>ROUND(_xlfn.IFNA(VLOOKUP(A75,'Weapon Formulas'!$E$10:$Q$115,11,0),weapon_components!H75),2)</f>
        <v>0</v>
      </c>
      <c r="E75" s="5">
        <f>ROUND(_xlfn.IFNA(VLOOKUP(A75,'Weapon Formulas'!$E$10:$Q$115,12,0),weapon_components!H75),2)</f>
        <v>0</v>
      </c>
      <c r="F75" s="5">
        <f>ROUND(_xlfn.IFNA(VLOOKUP(A75,'Weapon Formulas'!$E$10:$L$115,8,0),weapon_components!H75),2)</f>
        <v>0</v>
      </c>
      <c r="G75" s="5">
        <f>ROUND(_xlfn.IFNA(VLOOKUP(A75,'Weapon Formulas'!$E$10:$P$115,9,0),weapon_components!H75),2)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Formulas'!$E$10:$Z$115,15,0),weapon_components!H75),2)</f>
        <v>0</v>
      </c>
      <c r="M75" s="2">
        <v>0.75</v>
      </c>
      <c r="N75" s="5">
        <v>0</v>
      </c>
      <c r="O75" s="5"/>
      <c r="P75" s="6"/>
      <c r="Q75" s="2"/>
    </row>
    <row r="76" spans="1:17" x14ac:dyDescent="0.25">
      <c r="A76" s="17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7" t="s">
        <v>85</v>
      </c>
      <c r="B77" s="5">
        <v>100</v>
      </c>
      <c r="C77" s="5">
        <v>-100</v>
      </c>
      <c r="D77" s="5">
        <f>ROUND(_xlfn.IFNA(VLOOKUP(A77,'Weapon Formulas'!$E$10:$Q$115,11,0),weapon_components!H77),2)</f>
        <v>489.8</v>
      </c>
      <c r="E77" s="5">
        <f>ROUND(_xlfn.IFNA(VLOOKUP(A77,'Weapon Formulas'!$E$10:$Q$115,12,0),weapon_components!H77),2)</f>
        <v>816.33</v>
      </c>
      <c r="F77" s="5">
        <f>ROUND(_xlfn.IFNA(VLOOKUP(A77,'Weapon Formulas'!$E$10:$L$115,8,0),weapon_components!H77),2)</f>
        <v>1</v>
      </c>
      <c r="G77" s="5">
        <f>ROUND(_xlfn.IFNA(VLOOKUP(A77,'Weapon Formulas'!$E$10:$P$115,9,0),weapon_components!H77),2)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Formulas'!$E$10:$Z$115,15,0),weapon_components!H77),2)</f>
        <v>72</v>
      </c>
      <c r="M77" s="2">
        <v>0.7</v>
      </c>
      <c r="N77" s="5">
        <v>0</v>
      </c>
      <c r="O77" s="5"/>
      <c r="P77" s="6"/>
      <c r="Q77" s="2"/>
    </row>
    <row r="78" spans="1:17" x14ac:dyDescent="0.25">
      <c r="A78" s="17" t="s">
        <v>86</v>
      </c>
      <c r="B78" s="5">
        <v>120</v>
      </c>
      <c r="C78" s="5">
        <v>-120</v>
      </c>
      <c r="D78" s="5">
        <f>ROUND(_xlfn.IFNA(VLOOKUP(A78,'Weapon Formulas'!$E$10:$Q$115,11,0),weapon_components!H78),2)</f>
        <v>685.71</v>
      </c>
      <c r="E78" s="5">
        <f>ROUND(_xlfn.IFNA(VLOOKUP(A78,'Weapon Formulas'!$E$10:$Q$115,12,0),weapon_components!H78),2)</f>
        <v>1142.8599999999999</v>
      </c>
      <c r="F78" s="5">
        <f>ROUND(_xlfn.IFNA(VLOOKUP(A78,'Weapon Formulas'!$E$10:$L$115,8,0),weapon_components!H78),2)</f>
        <v>0</v>
      </c>
      <c r="G78" s="5">
        <f>ROUND(_xlfn.IFNA(VLOOKUP(A78,'Weapon Formulas'!$E$10:$P$115,9,0),weapon_components!H78),2)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Formulas'!$E$10:$Z$115,15,0),weapon_components!H78),2)</f>
        <v>72</v>
      </c>
      <c r="M78" s="2">
        <v>0.7</v>
      </c>
      <c r="N78" s="5">
        <v>0</v>
      </c>
      <c r="O78" s="5"/>
      <c r="P78" s="6"/>
      <c r="Q78" s="2"/>
    </row>
    <row r="79" spans="1:17" x14ac:dyDescent="0.25">
      <c r="A79" s="17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7" t="s">
        <v>88</v>
      </c>
      <c r="B80" s="5">
        <v>5</v>
      </c>
      <c r="C80" s="5">
        <v>-5</v>
      </c>
      <c r="D80" s="5">
        <f>ROUND(_xlfn.IFNA(VLOOKUP(A80,'Weapon Formulas'!$E$10:$Q$115,11,0),weapon_components!H80),2)</f>
        <v>12.27</v>
      </c>
      <c r="E80" s="5">
        <f>ROUND(_xlfn.IFNA(VLOOKUP(A80,'Weapon Formulas'!$E$10:$Q$115,12,0),weapon_components!H80),2)</f>
        <v>20.45</v>
      </c>
      <c r="F80" s="5">
        <f>ROUND(_xlfn.IFNA(VLOOKUP(A80,'Weapon Formulas'!$E$10:$L$115,8,0),weapon_components!H80),2)</f>
        <v>0</v>
      </c>
      <c r="G80" s="5">
        <f>ROUND(_xlfn.IFNA(VLOOKUP(A80,'Weapon Formulas'!$E$10:$P$115,9,0),weapon_components!H80),2)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Formulas'!$E$10:$Z$115,15,0),weapon_components!H80),2)</f>
        <v>36</v>
      </c>
      <c r="M80" s="2">
        <v>0.82</v>
      </c>
      <c r="N80" s="5">
        <v>0</v>
      </c>
      <c r="O80" s="5"/>
      <c r="P80" s="6"/>
      <c r="Q80" s="2"/>
    </row>
    <row r="81" spans="1:17" x14ac:dyDescent="0.25">
      <c r="A81" s="17" t="s">
        <v>89</v>
      </c>
      <c r="B81" s="2">
        <v>10</v>
      </c>
      <c r="C81" s="2">
        <v>-10</v>
      </c>
      <c r="D81" s="5">
        <f>ROUND(_xlfn.IFNA(VLOOKUP(A81,'Weapon Formulas'!$E$10:$Q$115,11,0),weapon_components!H81),2)</f>
        <v>18.29</v>
      </c>
      <c r="E81" s="5">
        <f>ROUND(_xlfn.IFNA(VLOOKUP(A81,'Weapon Formulas'!$E$10:$Q$115,12,0),weapon_components!H81),2)</f>
        <v>30.48</v>
      </c>
      <c r="F81" s="5">
        <f>ROUND(_xlfn.IFNA(VLOOKUP(A81,'Weapon Formulas'!$E$10:$L$115,8,0),weapon_components!H81),2)</f>
        <v>0</v>
      </c>
      <c r="G81" s="5">
        <f>ROUND(_xlfn.IFNA(VLOOKUP(A81,'Weapon Formulas'!$E$10:$P$115,9,0),weapon_components!H81),2)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Formulas'!$E$10:$Z$115,15,0),weapon_components!H81),2)</f>
        <v>45</v>
      </c>
      <c r="M81" s="5">
        <v>0.8</v>
      </c>
      <c r="N81" s="2">
        <v>0</v>
      </c>
      <c r="O81" s="2"/>
      <c r="P81" s="6"/>
      <c r="Q81" s="2"/>
    </row>
    <row r="82" spans="1:17" x14ac:dyDescent="0.25">
      <c r="A82" s="17" t="s">
        <v>90</v>
      </c>
      <c r="B82" s="5">
        <v>20</v>
      </c>
      <c r="C82" s="5">
        <v>-20</v>
      </c>
      <c r="D82" s="5">
        <f>ROUND(_xlfn.IFNA(VLOOKUP(A82,'Weapon Formulas'!$E$10:$Q$115,11,0),weapon_components!H82),2)</f>
        <v>24.39</v>
      </c>
      <c r="E82" s="5">
        <f>ROUND(_xlfn.IFNA(VLOOKUP(A82,'Weapon Formulas'!$E$10:$Q$115,12,0),weapon_components!H82),2)</f>
        <v>40.65</v>
      </c>
      <c r="F82" s="5">
        <f>ROUND(_xlfn.IFNA(VLOOKUP(A82,'Weapon Formulas'!$E$10:$L$115,8,0),weapon_components!H82),2)</f>
        <v>0</v>
      </c>
      <c r="G82" s="5">
        <f>ROUND(_xlfn.IFNA(VLOOKUP(A82,'Weapon Formulas'!$E$10:$P$115,9,0),weapon_components!H82),2)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Formulas'!$E$10:$Z$115,15,0),weapon_components!H82),2)</f>
        <v>54</v>
      </c>
      <c r="M82" s="2">
        <v>0.75</v>
      </c>
      <c r="N82" s="5">
        <v>0</v>
      </c>
      <c r="O82" s="5"/>
      <c r="P82" s="6"/>
      <c r="Q82" s="2"/>
    </row>
    <row r="83" spans="1:17" x14ac:dyDescent="0.25">
      <c r="A83" s="17" t="s">
        <v>91</v>
      </c>
      <c r="B83" s="5">
        <v>7.5</v>
      </c>
      <c r="C83" s="5">
        <v>-7.5</v>
      </c>
      <c r="D83" s="5">
        <f>ROUND(_xlfn.IFNA(VLOOKUP(A83,'Weapon Formulas'!$E$10:$Q$115,11,0),weapon_components!H83),2)</f>
        <v>18.11</v>
      </c>
      <c r="E83" s="5">
        <f>ROUND(_xlfn.IFNA(VLOOKUP(A83,'Weapon Formulas'!$E$10:$Q$115,12,0),weapon_components!H83),2)</f>
        <v>30.18</v>
      </c>
      <c r="F83" s="5">
        <f>ROUND(_xlfn.IFNA(VLOOKUP(A83,'Weapon Formulas'!$E$10:$L$115,8,0),weapon_components!H83),2)</f>
        <v>0</v>
      </c>
      <c r="G83" s="5">
        <f>ROUND(_xlfn.IFNA(VLOOKUP(A83,'Weapon Formulas'!$E$10:$P$115,9,0),weapon_components!H83),2)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Formulas'!$E$10:$Z$115,15,0),weapon_components!H83),2)</f>
        <v>36</v>
      </c>
      <c r="M83" s="2">
        <v>0.82</v>
      </c>
      <c r="N83" s="5">
        <v>0</v>
      </c>
      <c r="O83" s="5"/>
      <c r="P83" s="6"/>
      <c r="Q83" s="2"/>
    </row>
    <row r="84" spans="1:17" x14ac:dyDescent="0.25">
      <c r="A84" s="17" t="s">
        <v>92</v>
      </c>
      <c r="B84" s="2">
        <v>15</v>
      </c>
      <c r="C84" s="2">
        <v>-15</v>
      </c>
      <c r="D84" s="5">
        <f>ROUND(_xlfn.IFNA(VLOOKUP(A84,'Weapon Formulas'!$E$10:$Q$115,11,0),weapon_components!H84),2)</f>
        <v>27</v>
      </c>
      <c r="E84" s="5">
        <f>ROUND(_xlfn.IFNA(VLOOKUP(A84,'Weapon Formulas'!$E$10:$Q$115,12,0),weapon_components!H84),2)</f>
        <v>45</v>
      </c>
      <c r="F84" s="5">
        <f>ROUND(_xlfn.IFNA(VLOOKUP(A84,'Weapon Formulas'!$E$10:$L$115,8,0),weapon_components!H84),2)</f>
        <v>0</v>
      </c>
      <c r="G84" s="5">
        <f>ROUND(_xlfn.IFNA(VLOOKUP(A84,'Weapon Formulas'!$E$10:$P$115,9,0),weapon_components!H84),2)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Formulas'!$E$10:$Z$115,15,0),weapon_components!H84),2)</f>
        <v>45</v>
      </c>
      <c r="M84" s="5">
        <v>0.8</v>
      </c>
      <c r="N84" s="2">
        <v>0</v>
      </c>
      <c r="O84" s="2"/>
      <c r="P84" s="6"/>
      <c r="Q84" s="2"/>
    </row>
    <row r="85" spans="1:17" x14ac:dyDescent="0.25">
      <c r="A85" s="17" t="s">
        <v>93</v>
      </c>
      <c r="B85" s="5">
        <v>30</v>
      </c>
      <c r="C85" s="5">
        <v>-30</v>
      </c>
      <c r="D85" s="5">
        <f>ROUND(_xlfn.IFNA(VLOOKUP(A85,'Weapon Formulas'!$E$10:$Q$115,11,0),weapon_components!H85),2)</f>
        <v>36</v>
      </c>
      <c r="E85" s="5">
        <f>ROUND(_xlfn.IFNA(VLOOKUP(A85,'Weapon Formulas'!$E$10:$Q$115,12,0),weapon_components!H85),2)</f>
        <v>60</v>
      </c>
      <c r="F85" s="5">
        <f>ROUND(_xlfn.IFNA(VLOOKUP(A85,'Weapon Formulas'!$E$10:$L$115,8,0),weapon_components!H85),2)</f>
        <v>0</v>
      </c>
      <c r="G85" s="5">
        <f>ROUND(_xlfn.IFNA(VLOOKUP(A85,'Weapon Formulas'!$E$10:$P$115,9,0),weapon_components!H85),2)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Formulas'!$E$10:$Z$115,15,0),weapon_components!H85),2)</f>
        <v>54</v>
      </c>
      <c r="M85" s="2">
        <v>0.75</v>
      </c>
      <c r="N85" s="5">
        <v>0</v>
      </c>
      <c r="O85" s="5"/>
      <c r="P85" s="6"/>
      <c r="Q85" s="2"/>
    </row>
    <row r="86" spans="1:17" x14ac:dyDescent="0.25">
      <c r="A86" s="17" t="s">
        <v>94</v>
      </c>
      <c r="B86" s="5">
        <v>10</v>
      </c>
      <c r="C86" s="5">
        <v>-10</v>
      </c>
      <c r="D86" s="5">
        <f>ROUND(_xlfn.IFNA(VLOOKUP(A86,'Weapon Formulas'!$E$10:$Q$115,11,0),weapon_components!H86),2)</f>
        <v>25.35</v>
      </c>
      <c r="E86" s="5">
        <f>ROUND(_xlfn.IFNA(VLOOKUP(A86,'Weapon Formulas'!$E$10:$Q$115,12,0),weapon_components!H86),2)</f>
        <v>42.26</v>
      </c>
      <c r="F86" s="5">
        <f>ROUND(_xlfn.IFNA(VLOOKUP(A86,'Weapon Formulas'!$E$10:$L$115,8,0),weapon_components!H86),2)</f>
        <v>0</v>
      </c>
      <c r="G86" s="5">
        <f>ROUND(_xlfn.IFNA(VLOOKUP(A86,'Weapon Formulas'!$E$10:$P$115,9,0),weapon_components!H86),2)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Formulas'!$E$10:$Z$115,15,0),weapon_components!H86),2)</f>
        <v>36</v>
      </c>
      <c r="M86" s="2">
        <v>0.82</v>
      </c>
      <c r="N86" s="5">
        <v>0</v>
      </c>
      <c r="O86" s="5"/>
      <c r="P86" s="6"/>
      <c r="Q86" s="2"/>
    </row>
    <row r="87" spans="1:17" x14ac:dyDescent="0.25">
      <c r="A87" s="17" t="s">
        <v>95</v>
      </c>
      <c r="B87" s="5">
        <v>20</v>
      </c>
      <c r="C87" s="5">
        <v>-20</v>
      </c>
      <c r="D87" s="5">
        <f>ROUND(_xlfn.IFNA(VLOOKUP(A87,'Weapon Formulas'!$E$10:$Q$115,11,0),weapon_components!H87),2)</f>
        <v>37.799999999999997</v>
      </c>
      <c r="E87" s="5">
        <f>ROUND(_xlfn.IFNA(VLOOKUP(A87,'Weapon Formulas'!$E$10:$Q$115,12,0),weapon_components!H87),2)</f>
        <v>63</v>
      </c>
      <c r="F87" s="5">
        <f>ROUND(_xlfn.IFNA(VLOOKUP(A87,'Weapon Formulas'!$E$10:$L$115,8,0),weapon_components!H87),2)</f>
        <v>0</v>
      </c>
      <c r="G87" s="5">
        <f>ROUND(_xlfn.IFNA(VLOOKUP(A87,'Weapon Formulas'!$E$10:$P$115,9,0),weapon_components!H87),2)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Formulas'!$E$10:$Z$115,15,0),weapon_components!H87),2)</f>
        <v>45</v>
      </c>
      <c r="M87" s="2">
        <v>0.8</v>
      </c>
      <c r="N87" s="5">
        <v>0</v>
      </c>
      <c r="O87" s="5"/>
      <c r="P87" s="6"/>
      <c r="Q87" s="2"/>
    </row>
    <row r="88" spans="1:17" x14ac:dyDescent="0.25">
      <c r="A88" s="17" t="s">
        <v>96</v>
      </c>
      <c r="B88" s="5">
        <v>40</v>
      </c>
      <c r="C88" s="5">
        <v>-40</v>
      </c>
      <c r="D88" s="5">
        <f>ROUND(_xlfn.IFNA(VLOOKUP(A88,'Weapon Formulas'!$E$10:$Q$115,11,0),weapon_components!H88),2)</f>
        <v>50.4</v>
      </c>
      <c r="E88" s="5">
        <f>ROUND(_xlfn.IFNA(VLOOKUP(A88,'Weapon Formulas'!$E$10:$Q$115,12,0),weapon_components!H88),2)</f>
        <v>84</v>
      </c>
      <c r="F88" s="5">
        <f>ROUND(_xlfn.IFNA(VLOOKUP(A88,'Weapon Formulas'!$E$10:$L$115,8,0),weapon_components!H88),2)</f>
        <v>0</v>
      </c>
      <c r="G88" s="5">
        <f>ROUND(_xlfn.IFNA(VLOOKUP(A88,'Weapon Formulas'!$E$10:$P$115,9,0),weapon_components!H88),2)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Formulas'!$E$10:$Z$115,15,0),weapon_components!H88),2)</f>
        <v>54</v>
      </c>
      <c r="M88" s="2">
        <v>0.75</v>
      </c>
      <c r="N88" s="5">
        <v>0</v>
      </c>
      <c r="O88" s="5"/>
      <c r="P88" s="6"/>
      <c r="Q88" s="2"/>
    </row>
    <row r="89" spans="1:17" x14ac:dyDescent="0.25">
      <c r="A89" s="17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7" t="s">
        <v>98</v>
      </c>
      <c r="B90" s="5">
        <v>50</v>
      </c>
      <c r="C90" s="5">
        <v>-50</v>
      </c>
      <c r="D90" s="5">
        <f>ROUND(_xlfn.IFNA(VLOOKUP(A90,'Weapon Formulas'!$E$10:$Q$115,11,0),weapon_components!H90),2)</f>
        <v>240</v>
      </c>
      <c r="E90" s="5">
        <f>ROUND(_xlfn.IFNA(VLOOKUP(A90,'Weapon Formulas'!$E$10:$Q$115,12,0),weapon_components!H90),2)</f>
        <v>400</v>
      </c>
      <c r="F90" s="5">
        <f>ROUND(_xlfn.IFNA(VLOOKUP(A90,'Weapon Formulas'!$E$10:$L$115,8,0),weapon_components!H90),2)</f>
        <v>0.1</v>
      </c>
      <c r="G90" s="5">
        <f>ROUND(_xlfn.IFNA(VLOOKUP(A90,'Weapon Formulas'!$E$10:$P$115,9,0),weapon_components!H90),2)</f>
        <v>0</v>
      </c>
      <c r="H90" s="5">
        <f>ROUND(_xlfn.IFNA(VLOOKUP(A90,'Weapon Formulas'!$E$10:$L$115,7,0),weapon_components!H90),2)</f>
        <v>-1.71</v>
      </c>
      <c r="I90" s="5">
        <v>2</v>
      </c>
      <c r="J90" s="5">
        <v>18</v>
      </c>
      <c r="K90" s="5">
        <v>18</v>
      </c>
      <c r="L90" s="5">
        <f>ROUND(_xlfn.IFNA(VLOOKUP(A90,'Weapon Formulas'!$E$10:$Z$115,15,0),weapon_components!H90),2)</f>
        <v>36</v>
      </c>
      <c r="M90" s="2">
        <v>0.75</v>
      </c>
      <c r="N90" s="5">
        <v>0</v>
      </c>
      <c r="O90" s="5"/>
      <c r="P90" s="6"/>
      <c r="Q90" s="2"/>
    </row>
    <row r="91" spans="1:17" x14ac:dyDescent="0.25">
      <c r="A91" s="17" t="s">
        <v>99</v>
      </c>
      <c r="B91" s="5">
        <v>60</v>
      </c>
      <c r="C91" s="5">
        <v>-60</v>
      </c>
      <c r="D91" s="5">
        <f>ROUND(_xlfn.IFNA(VLOOKUP(A91,'Weapon Formulas'!$E$10:$Q$115,11,0),weapon_components!H91),2)</f>
        <v>358.4</v>
      </c>
      <c r="E91" s="5">
        <f>ROUND(_xlfn.IFNA(VLOOKUP(A91,'Weapon Formulas'!$E$10:$Q$115,12,0),weapon_components!H91),2)</f>
        <v>597.33000000000004</v>
      </c>
      <c r="F91" s="5">
        <f>ROUND(_xlfn.IFNA(VLOOKUP(A91,'Weapon Formulas'!$E$10:$L$115,8,0),weapon_components!H91),2)</f>
        <v>0.08</v>
      </c>
      <c r="G91" s="5">
        <f>ROUND(_xlfn.IFNA(VLOOKUP(A91,'Weapon Formulas'!$E$10:$P$115,9,0),weapon_components!H91),2)</f>
        <v>0</v>
      </c>
      <c r="H91" s="5">
        <f>ROUND(_xlfn.IFNA(VLOOKUP(A91,'Weapon Formulas'!$E$10:$L$115,7,0),weapon_components!H91),2)</f>
        <v>-1.33</v>
      </c>
      <c r="I91" s="5">
        <v>2</v>
      </c>
      <c r="J91" s="5">
        <v>18</v>
      </c>
      <c r="K91" s="5">
        <v>18</v>
      </c>
      <c r="L91" s="5">
        <f>ROUND(_xlfn.IFNA(VLOOKUP(A91,'Weapon Formulas'!$E$10:$Z$115,15,0),weapon_components!H91),2)</f>
        <v>36</v>
      </c>
      <c r="M91" s="2">
        <v>0.75</v>
      </c>
      <c r="N91" s="5">
        <v>0</v>
      </c>
      <c r="O91" s="5"/>
      <c r="P91" s="6"/>
      <c r="Q91" s="2"/>
    </row>
    <row r="92" spans="1:17" x14ac:dyDescent="0.25">
      <c r="A92" s="17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7" t="s">
        <v>101</v>
      </c>
      <c r="B93" s="5">
        <v>2.5</v>
      </c>
      <c r="C93" s="5">
        <v>-2.5</v>
      </c>
      <c r="D93" s="5">
        <f>ROUND(_xlfn.IFNA(VLOOKUP(A93,'Weapon Formulas'!$E$10:$Q$115,11,0),weapon_components!H93),2)</f>
        <v>10.31</v>
      </c>
      <c r="E93" s="5">
        <f>ROUND(_xlfn.IFNA(VLOOKUP(A93,'Weapon Formulas'!$E$10:$Q$115,12,0),weapon_components!H93),2)</f>
        <v>17.190000000000001</v>
      </c>
      <c r="F93" s="5">
        <f>ROUND(_xlfn.IFNA(VLOOKUP(A93,'Weapon Formulas'!$E$10:$L$115,8,0),weapon_components!H93),2)</f>
        <v>0</v>
      </c>
      <c r="G93" s="5">
        <f>ROUND(_xlfn.IFNA(VLOOKUP(A93,'Weapon Formulas'!$E$10:$P$115,9,0),weapon_components!H93),2)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Formulas'!$E$10:$Z$115,15,0),weapon_components!H93),2)</f>
        <v>48</v>
      </c>
      <c r="M93" s="2">
        <v>1</v>
      </c>
      <c r="N93" s="5">
        <v>5</v>
      </c>
      <c r="O93" s="5"/>
      <c r="P93" s="6"/>
      <c r="Q93" s="2"/>
    </row>
    <row r="94" spans="1:17" x14ac:dyDescent="0.25">
      <c r="A94" s="17" t="s">
        <v>102</v>
      </c>
      <c r="B94" s="5">
        <v>5</v>
      </c>
      <c r="C94" s="5">
        <v>-5</v>
      </c>
      <c r="D94" s="5">
        <f>ROUND(_xlfn.IFNA(VLOOKUP(A94,'Weapon Formulas'!$E$10:$Q$115,11,0),weapon_components!H94),2)</f>
        <v>22.69</v>
      </c>
      <c r="E94" s="5">
        <f>ROUND(_xlfn.IFNA(VLOOKUP(A94,'Weapon Formulas'!$E$10:$Q$115,12,0),weapon_components!H94),2)</f>
        <v>37.81</v>
      </c>
      <c r="F94" s="5">
        <f>ROUND(_xlfn.IFNA(VLOOKUP(A94,'Weapon Formulas'!$E$10:$L$115,8,0),weapon_components!H94),2)</f>
        <v>0</v>
      </c>
      <c r="G94" s="5">
        <f>ROUND(_xlfn.IFNA(VLOOKUP(A94,'Weapon Formulas'!$E$10:$P$115,9,0),weapon_components!H94),2)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Formulas'!$E$10:$Z$115,15,0),weapon_components!H94),2)</f>
        <v>60</v>
      </c>
      <c r="M94" s="2">
        <v>1</v>
      </c>
      <c r="N94" s="5">
        <v>5</v>
      </c>
      <c r="O94" s="5"/>
      <c r="P94" s="6"/>
      <c r="Q94" s="2"/>
    </row>
    <row r="95" spans="1:17" x14ac:dyDescent="0.25">
      <c r="A95" s="17" t="s">
        <v>103</v>
      </c>
      <c r="B95" s="5">
        <v>10</v>
      </c>
      <c r="C95" s="5">
        <v>-10</v>
      </c>
      <c r="D95" s="5">
        <f>ROUND(_xlfn.IFNA(VLOOKUP(A95,'Weapon Formulas'!$E$10:$Q$115,11,0),weapon_components!H95),2)</f>
        <v>49.5</v>
      </c>
      <c r="E95" s="5">
        <f>ROUND(_xlfn.IFNA(VLOOKUP(A95,'Weapon Formulas'!$E$10:$Q$115,12,0),weapon_components!H95),2)</f>
        <v>82.5</v>
      </c>
      <c r="F95" s="5">
        <f>ROUND(_xlfn.IFNA(VLOOKUP(A95,'Weapon Formulas'!$E$10:$L$115,8,0),weapon_components!H95),2)</f>
        <v>0</v>
      </c>
      <c r="G95" s="5">
        <f>ROUND(_xlfn.IFNA(VLOOKUP(A95,'Weapon Formulas'!$E$10:$P$115,9,0),weapon_components!H95),2)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Formulas'!$E$10:$Z$115,15,0),weapon_components!H95),2)</f>
        <v>72</v>
      </c>
      <c r="M95" s="2">
        <v>1</v>
      </c>
      <c r="N95" s="5">
        <v>5</v>
      </c>
      <c r="O95" s="5"/>
      <c r="P95" s="6"/>
      <c r="Q95" s="2"/>
    </row>
    <row r="96" spans="1:17" x14ac:dyDescent="0.25">
      <c r="A96" s="17" t="s">
        <v>104</v>
      </c>
      <c r="B96" s="5">
        <v>5</v>
      </c>
      <c r="C96" s="5">
        <v>-5</v>
      </c>
      <c r="D96" s="5">
        <f>ROUND(_xlfn.IFNA(VLOOKUP(A96,'Weapon Formulas'!$E$10:$Q$115,11,0),weapon_components!H96),2)</f>
        <v>22.69</v>
      </c>
      <c r="E96" s="5">
        <f>ROUND(_xlfn.IFNA(VLOOKUP(A96,'Weapon Formulas'!$E$10:$Q$115,12,0),weapon_components!H96),2)</f>
        <v>37.81</v>
      </c>
      <c r="F96" s="5">
        <f>ROUND(_xlfn.IFNA(VLOOKUP(A96,'Weapon Formulas'!$E$10:$L$115,8,0),weapon_components!H96),2)</f>
        <v>0</v>
      </c>
      <c r="G96" s="5">
        <f>ROUND(_xlfn.IFNA(VLOOKUP(A96,'Weapon Formulas'!$E$10:$P$115,9,0),weapon_components!H96),2)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Formulas'!$E$10:$Z$115,15,0),weapon_components!H96),2)</f>
        <v>48</v>
      </c>
      <c r="M96" s="2">
        <v>1</v>
      </c>
      <c r="N96" s="5">
        <v>5</v>
      </c>
      <c r="O96" s="5"/>
      <c r="P96" s="6"/>
      <c r="Q96" s="2"/>
    </row>
    <row r="97" spans="1:17" x14ac:dyDescent="0.25">
      <c r="A97" s="17" t="s">
        <v>105</v>
      </c>
      <c r="B97" s="5">
        <v>10</v>
      </c>
      <c r="C97" s="5">
        <v>-10</v>
      </c>
      <c r="D97" s="5">
        <f>ROUND(_xlfn.IFNA(VLOOKUP(A97,'Weapon Formulas'!$E$10:$Q$115,11,0),weapon_components!H97),2)</f>
        <v>49.5</v>
      </c>
      <c r="E97" s="5">
        <f>ROUND(_xlfn.IFNA(VLOOKUP(A97,'Weapon Formulas'!$E$10:$Q$115,12,0),weapon_components!H97),2)</f>
        <v>82.5</v>
      </c>
      <c r="F97" s="5">
        <f>ROUND(_xlfn.IFNA(VLOOKUP(A97,'Weapon Formulas'!$E$10:$L$115,8,0),weapon_components!H97),2)</f>
        <v>0</v>
      </c>
      <c r="G97" s="5">
        <f>ROUND(_xlfn.IFNA(VLOOKUP(A97,'Weapon Formulas'!$E$10:$P$115,9,0),weapon_components!H97),2)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Formulas'!$E$10:$Z$115,15,0),weapon_components!H97),2)</f>
        <v>60</v>
      </c>
      <c r="M97" s="2">
        <v>1</v>
      </c>
      <c r="N97" s="5">
        <v>5</v>
      </c>
      <c r="O97" s="5"/>
      <c r="P97" s="6"/>
      <c r="Q97" s="2"/>
    </row>
    <row r="98" spans="1:17" x14ac:dyDescent="0.25">
      <c r="A98" s="17" t="s">
        <v>106</v>
      </c>
      <c r="B98" s="5">
        <v>20</v>
      </c>
      <c r="C98" s="5">
        <v>-20</v>
      </c>
      <c r="D98" s="5">
        <f>ROUND(_xlfn.IFNA(VLOOKUP(A98,'Weapon Formulas'!$E$10:$Q$115,11,0),weapon_components!H98),2)</f>
        <v>107.25</v>
      </c>
      <c r="E98" s="5">
        <f>ROUND(_xlfn.IFNA(VLOOKUP(A98,'Weapon Formulas'!$E$10:$Q$115,12,0),weapon_components!H98),2)</f>
        <v>178.75</v>
      </c>
      <c r="F98" s="5">
        <f>ROUND(_xlfn.IFNA(VLOOKUP(A98,'Weapon Formulas'!$E$10:$L$115,8,0),weapon_components!H98),2)</f>
        <v>0</v>
      </c>
      <c r="G98" s="5">
        <f>ROUND(_xlfn.IFNA(VLOOKUP(A98,'Weapon Formulas'!$E$10:$P$115,9,0),weapon_components!H98),2)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Formulas'!$E$10:$Z$115,15,0),weapon_components!H98),2)</f>
        <v>72</v>
      </c>
      <c r="M98" s="2">
        <v>1</v>
      </c>
      <c r="N98" s="5">
        <v>5</v>
      </c>
      <c r="O98" s="5"/>
      <c r="P98" s="6"/>
      <c r="Q98" s="2"/>
    </row>
    <row r="99" spans="1:17" x14ac:dyDescent="0.25">
      <c r="A99" s="17" t="s">
        <v>107</v>
      </c>
      <c r="B99" s="5">
        <v>7.5</v>
      </c>
      <c r="C99" s="5">
        <v>-7.5</v>
      </c>
      <c r="D99" s="5">
        <f>ROUND(_xlfn.IFNA(VLOOKUP(A99,'Weapon Formulas'!$E$10:$Q$115,11,0),weapon_components!H99),2)</f>
        <v>37.130000000000003</v>
      </c>
      <c r="E99" s="5">
        <f>ROUND(_xlfn.IFNA(VLOOKUP(A99,'Weapon Formulas'!$E$10:$Q$115,12,0),weapon_components!H99),2)</f>
        <v>61.88</v>
      </c>
      <c r="F99" s="5">
        <f>ROUND(_xlfn.IFNA(VLOOKUP(A99,'Weapon Formulas'!$E$10:$L$115,8,0),weapon_components!H99),2)</f>
        <v>0</v>
      </c>
      <c r="G99" s="5">
        <f>ROUND(_xlfn.IFNA(VLOOKUP(A99,'Weapon Formulas'!$E$10:$P$115,9,0),weapon_components!H99),2)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Formulas'!$E$10:$Z$115,15,0),weapon_components!H99),2)</f>
        <v>48</v>
      </c>
      <c r="M99" s="2">
        <v>1</v>
      </c>
      <c r="N99" s="5">
        <v>5</v>
      </c>
      <c r="O99" s="5"/>
      <c r="P99" s="6"/>
      <c r="Q99" s="2"/>
    </row>
    <row r="100" spans="1:17" x14ac:dyDescent="0.25">
      <c r="A100" s="17" t="s">
        <v>108</v>
      </c>
      <c r="B100" s="2">
        <v>15</v>
      </c>
      <c r="C100" s="2">
        <v>-15</v>
      </c>
      <c r="D100" s="5">
        <f>ROUND(_xlfn.IFNA(VLOOKUP(A100,'Weapon Formulas'!$E$10:$Q$115,11,0),weapon_components!H100),2)</f>
        <v>80.44</v>
      </c>
      <c r="E100" s="5">
        <f>ROUND(_xlfn.IFNA(VLOOKUP(A100,'Weapon Formulas'!$E$10:$Q$115,12,0),weapon_components!H100),2)</f>
        <v>134.06</v>
      </c>
      <c r="F100" s="5">
        <f>ROUND(_xlfn.IFNA(VLOOKUP(A100,'Weapon Formulas'!$E$10:$L$115,8,0),weapon_components!H100),2)</f>
        <v>0</v>
      </c>
      <c r="G100" s="5">
        <f>ROUND(_xlfn.IFNA(VLOOKUP(A100,'Weapon Formulas'!$E$10:$P$115,9,0),weapon_components!H100),2)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Formulas'!$E$10:$Z$115,15,0),weapon_components!H100),2)</f>
        <v>60</v>
      </c>
      <c r="M100" s="5">
        <v>1</v>
      </c>
      <c r="N100" s="2">
        <v>5</v>
      </c>
      <c r="O100" s="2"/>
      <c r="P100" s="6"/>
      <c r="Q100" s="2"/>
    </row>
    <row r="101" spans="1:17" x14ac:dyDescent="0.25">
      <c r="A101" s="17" t="s">
        <v>109</v>
      </c>
      <c r="B101" s="5">
        <v>30</v>
      </c>
      <c r="C101" s="5">
        <v>-30</v>
      </c>
      <c r="D101" s="5">
        <f>ROUND(_xlfn.IFNA(VLOOKUP(A101,'Weapon Formulas'!$E$10:$Q$115,11,0),weapon_components!H101),2)</f>
        <v>173.25</v>
      </c>
      <c r="E101" s="5">
        <f>ROUND(_xlfn.IFNA(VLOOKUP(A101,'Weapon Formulas'!$E$10:$Q$115,12,0),weapon_components!H101),2)</f>
        <v>288.75</v>
      </c>
      <c r="F101" s="5">
        <f>ROUND(_xlfn.IFNA(VLOOKUP(A101,'Weapon Formulas'!$E$10:$L$115,8,0),weapon_components!H101),2)</f>
        <v>0</v>
      </c>
      <c r="G101" s="5">
        <f>ROUND(_xlfn.IFNA(VLOOKUP(A101,'Weapon Formulas'!$E$10:$P$115,9,0),weapon_components!H101),2)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Formulas'!$E$10:$Z$115,15,0),weapon_components!H101),2)</f>
        <v>72</v>
      </c>
      <c r="M101" s="2">
        <v>1</v>
      </c>
      <c r="N101" s="5">
        <v>5</v>
      </c>
      <c r="O101" s="5"/>
      <c r="P101" s="6"/>
      <c r="Q101" s="2"/>
    </row>
    <row r="102" spans="1:17" x14ac:dyDescent="0.25">
      <c r="A102" s="17" t="s">
        <v>110</v>
      </c>
      <c r="B102" s="5">
        <v>10</v>
      </c>
      <c r="C102" s="5">
        <v>-10</v>
      </c>
      <c r="D102" s="5">
        <f>ROUND(_xlfn.IFNA(VLOOKUP(A102,'Weapon Formulas'!$E$10:$Q$115,11,0),weapon_components!H102),2)</f>
        <v>53.63</v>
      </c>
      <c r="E102" s="5">
        <f>ROUND(_xlfn.IFNA(VLOOKUP(A102,'Weapon Formulas'!$E$10:$Q$115,12,0),weapon_components!H102),2)</f>
        <v>89.38</v>
      </c>
      <c r="F102" s="5">
        <f>ROUND(_xlfn.IFNA(VLOOKUP(A102,'Weapon Formulas'!$E$10:$L$115,8,0),weapon_components!H102),2)</f>
        <v>0</v>
      </c>
      <c r="G102" s="5">
        <f>ROUND(_xlfn.IFNA(VLOOKUP(A102,'Weapon Formulas'!$E$10:$P$115,9,0),weapon_components!H102),2)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Formulas'!$E$10:$Z$115,15,0),weapon_components!H102),2)</f>
        <v>48</v>
      </c>
      <c r="M102" s="2">
        <v>1</v>
      </c>
      <c r="N102" s="5">
        <v>5</v>
      </c>
      <c r="O102" s="5"/>
      <c r="P102" s="6"/>
      <c r="Q102" s="2"/>
    </row>
    <row r="103" spans="1:17" x14ac:dyDescent="0.25">
      <c r="A103" s="17" t="s">
        <v>111</v>
      </c>
      <c r="B103" s="5">
        <v>20</v>
      </c>
      <c r="C103" s="5">
        <v>-20</v>
      </c>
      <c r="D103" s="5">
        <f>ROUND(_xlfn.IFNA(VLOOKUP(A103,'Weapon Formulas'!$E$10:$Q$115,11,0),weapon_components!H103),2)</f>
        <v>115.5</v>
      </c>
      <c r="E103" s="5">
        <f>ROUND(_xlfn.IFNA(VLOOKUP(A103,'Weapon Formulas'!$E$10:$Q$115,12,0),weapon_components!H103),2)</f>
        <v>192.5</v>
      </c>
      <c r="F103" s="5">
        <f>ROUND(_xlfn.IFNA(VLOOKUP(A103,'Weapon Formulas'!$E$10:$L$115,8,0),weapon_components!H103),2)</f>
        <v>0</v>
      </c>
      <c r="G103" s="5">
        <f>ROUND(_xlfn.IFNA(VLOOKUP(A103,'Weapon Formulas'!$E$10:$P$115,9,0),weapon_components!H103),2)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Formulas'!$E$10:$Z$115,15,0),weapon_components!H103),2)</f>
        <v>60</v>
      </c>
      <c r="M103" s="2">
        <v>1</v>
      </c>
      <c r="N103" s="5">
        <v>5</v>
      </c>
      <c r="O103" s="5"/>
      <c r="P103" s="6"/>
      <c r="Q103" s="2"/>
    </row>
    <row r="104" spans="1:17" x14ac:dyDescent="0.25">
      <c r="A104" s="17" t="s">
        <v>112</v>
      </c>
      <c r="B104" s="5">
        <v>40</v>
      </c>
      <c r="C104" s="5">
        <v>-40</v>
      </c>
      <c r="D104" s="5">
        <f>ROUND(_xlfn.IFNA(VLOOKUP(A104,'Weapon Formulas'!$E$10:$Q$115,11,0),weapon_components!H104),2)</f>
        <v>247.5</v>
      </c>
      <c r="E104" s="5">
        <f>ROUND(_xlfn.IFNA(VLOOKUP(A104,'Weapon Formulas'!$E$10:$Q$115,12,0),weapon_components!H104),2)</f>
        <v>412.5</v>
      </c>
      <c r="F104" s="5">
        <f>ROUND(_xlfn.IFNA(VLOOKUP(A104,'Weapon Formulas'!$E$10:$L$115,8,0),weapon_components!H104),2)</f>
        <v>0</v>
      </c>
      <c r="G104" s="5">
        <f>ROUND(_xlfn.IFNA(VLOOKUP(A104,'Weapon Formulas'!$E$10:$P$115,9,0),weapon_components!H104),2)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Formulas'!$E$10:$Z$115,15,0),weapon_components!H104),2)</f>
        <v>72</v>
      </c>
      <c r="M104" s="2">
        <v>1</v>
      </c>
      <c r="N104" s="5">
        <v>5</v>
      </c>
      <c r="O104" s="5"/>
      <c r="P104" s="6"/>
      <c r="Q104" s="2"/>
    </row>
    <row r="105" spans="1:17" x14ac:dyDescent="0.25">
      <c r="A105" s="17" t="s">
        <v>113</v>
      </c>
      <c r="B105" s="5">
        <v>12.5</v>
      </c>
      <c r="C105" s="5">
        <v>-12.5</v>
      </c>
      <c r="D105" s="5">
        <f>ROUND(_xlfn.IFNA(VLOOKUP(A105,'Weapon Formulas'!$E$10:$Q$115,11,0),weapon_components!H105),2)</f>
        <v>72.19</v>
      </c>
      <c r="E105" s="5">
        <f>ROUND(_xlfn.IFNA(VLOOKUP(A105,'Weapon Formulas'!$E$10:$Q$115,12,0),weapon_components!H105),2)</f>
        <v>120.31</v>
      </c>
      <c r="F105" s="5">
        <f>ROUND(_xlfn.IFNA(VLOOKUP(A105,'Weapon Formulas'!$E$10:$L$115,8,0),weapon_components!H105),2)</f>
        <v>0</v>
      </c>
      <c r="G105" s="5">
        <f>ROUND(_xlfn.IFNA(VLOOKUP(A105,'Weapon Formulas'!$E$10:$P$115,9,0),weapon_components!H105),2)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Formulas'!$E$10:$Z$115,15,0),weapon_components!H105),2)</f>
        <v>48</v>
      </c>
      <c r="M105" s="2">
        <v>1</v>
      </c>
      <c r="N105" s="5">
        <v>5</v>
      </c>
      <c r="O105" s="5"/>
      <c r="P105" s="6"/>
      <c r="Q105" s="2"/>
    </row>
    <row r="106" spans="1:17" x14ac:dyDescent="0.25">
      <c r="A106" s="17" t="s">
        <v>114</v>
      </c>
      <c r="B106" s="5">
        <v>25</v>
      </c>
      <c r="C106" s="5">
        <v>-25</v>
      </c>
      <c r="D106" s="5">
        <f>ROUND(_xlfn.IFNA(VLOOKUP(A106,'Weapon Formulas'!$E$10:$Q$115,11,0),weapon_components!H106),2)</f>
        <v>154.69</v>
      </c>
      <c r="E106" s="5">
        <f>ROUND(_xlfn.IFNA(VLOOKUP(A106,'Weapon Formulas'!$E$10:$Q$115,12,0),weapon_components!H106),2)</f>
        <v>257.81</v>
      </c>
      <c r="F106" s="5">
        <f>ROUND(_xlfn.IFNA(VLOOKUP(A106,'Weapon Formulas'!$E$10:$L$115,8,0),weapon_components!H106),2)</f>
        <v>0</v>
      </c>
      <c r="G106" s="5">
        <f>ROUND(_xlfn.IFNA(VLOOKUP(A106,'Weapon Formulas'!$E$10:$P$115,9,0),weapon_components!H106),2)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Formulas'!$E$10:$Z$115,15,0),weapon_components!H106),2)</f>
        <v>60</v>
      </c>
      <c r="M106" s="2">
        <v>1</v>
      </c>
      <c r="N106" s="5">
        <v>5</v>
      </c>
      <c r="O106" s="5"/>
      <c r="P106" s="6"/>
      <c r="Q106" s="2"/>
    </row>
    <row r="107" spans="1:17" x14ac:dyDescent="0.25">
      <c r="A107" s="17" t="s">
        <v>115</v>
      </c>
      <c r="B107" s="5">
        <v>50</v>
      </c>
      <c r="C107" s="5">
        <v>-50</v>
      </c>
      <c r="D107" s="5">
        <f>ROUND(_xlfn.IFNA(VLOOKUP(A107,'Weapon Formulas'!$E$10:$Q$115,11,0),weapon_components!H107),2)</f>
        <v>330</v>
      </c>
      <c r="E107" s="5">
        <f>ROUND(_xlfn.IFNA(VLOOKUP(A107,'Weapon Formulas'!$E$10:$Q$115,12,0),weapon_components!H107),2)</f>
        <v>550</v>
      </c>
      <c r="F107" s="5">
        <f>ROUND(_xlfn.IFNA(VLOOKUP(A107,'Weapon Formulas'!$E$10:$L$115,8,0),weapon_components!H107),2)</f>
        <v>0</v>
      </c>
      <c r="G107" s="5">
        <f>ROUND(_xlfn.IFNA(VLOOKUP(A107,'Weapon Formulas'!$E$10:$P$115,9,0),weapon_components!H107),2)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Formulas'!$E$10:$Z$115,15,0),weapon_components!H107),2)</f>
        <v>72</v>
      </c>
      <c r="M107" s="2">
        <v>1</v>
      </c>
      <c r="N107" s="5">
        <v>5</v>
      </c>
      <c r="O107" s="5"/>
      <c r="P107" s="6"/>
      <c r="Q107" s="2"/>
    </row>
    <row r="108" spans="1:17" x14ac:dyDescent="0.25">
      <c r="A108" s="17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17" x14ac:dyDescent="0.25">
      <c r="A109" s="17" t="s">
        <v>158</v>
      </c>
      <c r="B109" s="5">
        <v>0</v>
      </c>
      <c r="C109" s="5">
        <v>0</v>
      </c>
      <c r="D109" s="5">
        <f>ROUND(_xlfn.IFNA(VLOOKUP(A109,'Weapon Formulas'!$E$10:$Q$115,11,0),weapon_components!H109),2)</f>
        <v>0</v>
      </c>
      <c r="E109" s="5">
        <f>ROUND(_xlfn.IFNA(VLOOKUP(A109,'Weapon Formulas'!$E$10:$Q$115,12,0),weapon_components!H109),2)</f>
        <v>0</v>
      </c>
      <c r="F109" s="5">
        <f>ROUND(_xlfn.IFNA(VLOOKUP(A109,'Weapon Formulas'!$E$10:$L$115,8,0),weapon_components!H109),2)</f>
        <v>0</v>
      </c>
      <c r="G109" s="5">
        <f>ROUND(_xlfn.IFNA(VLOOKUP(A109,'Weapon Formulas'!$E$10:$P$115,9,0),weapon_components!H109),2)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Formulas'!$E$10:$Z$115,15,0),weapon_components!H109),2)</f>
        <v>0</v>
      </c>
      <c r="M109" s="2">
        <v>1</v>
      </c>
      <c r="N109" s="5">
        <v>5</v>
      </c>
      <c r="O109" s="5"/>
      <c r="P109" s="6"/>
      <c r="Q109" s="2"/>
    </row>
    <row r="110" spans="1:17" x14ac:dyDescent="0.25">
      <c r="A110" s="17" t="s">
        <v>159</v>
      </c>
      <c r="B110" s="2">
        <v>0</v>
      </c>
      <c r="C110" s="2">
        <v>0</v>
      </c>
      <c r="D110" s="5">
        <f>ROUND(_xlfn.IFNA(VLOOKUP(A110,'Weapon Formulas'!$E$10:$Q$115,11,0),weapon_components!H110),2)</f>
        <v>0</v>
      </c>
      <c r="E110" s="5">
        <f>ROUND(_xlfn.IFNA(VLOOKUP(A110,'Weapon Formulas'!$E$10:$Q$115,12,0),weapon_components!H110),2)</f>
        <v>0</v>
      </c>
      <c r="F110" s="5">
        <f>ROUND(_xlfn.IFNA(VLOOKUP(A110,'Weapon Formulas'!$E$10:$L$115,8,0),weapon_components!H110),2)</f>
        <v>0</v>
      </c>
      <c r="G110" s="5">
        <f>ROUND(_xlfn.IFNA(VLOOKUP(A110,'Weapon Formulas'!$E$10:$P$115,9,0),weapon_components!H110),2)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Formulas'!$E$10:$Z$115,15,0),weapon_components!H110),2)</f>
        <v>0</v>
      </c>
      <c r="M110" s="5">
        <v>1</v>
      </c>
      <c r="N110" s="2">
        <v>5</v>
      </c>
      <c r="O110" s="2"/>
      <c r="P110" s="6"/>
      <c r="Q110" s="2"/>
    </row>
    <row r="111" spans="1:17" x14ac:dyDescent="0.25">
      <c r="A111" s="17" t="s">
        <v>160</v>
      </c>
      <c r="B111" s="5">
        <v>0</v>
      </c>
      <c r="C111" s="5">
        <v>0</v>
      </c>
      <c r="D111" s="5">
        <f>ROUND(_xlfn.IFNA(VLOOKUP(A111,'Weapon Formulas'!$E$10:$Q$115,11,0),weapon_components!H111),2)</f>
        <v>0</v>
      </c>
      <c r="E111" s="5">
        <f>ROUND(_xlfn.IFNA(VLOOKUP(A111,'Weapon Formulas'!$E$10:$Q$115,12,0),weapon_components!H111),2)</f>
        <v>0</v>
      </c>
      <c r="F111" s="5">
        <f>ROUND(_xlfn.IFNA(VLOOKUP(A111,'Weapon Formulas'!$E$10:$L$115,8,0),weapon_components!H111),2)</f>
        <v>0</v>
      </c>
      <c r="G111" s="5">
        <f>ROUND(_xlfn.IFNA(VLOOKUP(A111,'Weapon Formulas'!$E$10:$P$115,9,0),weapon_components!H111),2)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Formulas'!$E$10:$Z$115,15,0),weapon_components!H111),2)</f>
        <v>0</v>
      </c>
      <c r="M111" s="2">
        <v>1</v>
      </c>
      <c r="N111" s="5">
        <v>5</v>
      </c>
      <c r="O111" s="5"/>
      <c r="P111" s="6"/>
      <c r="Q111" s="2"/>
    </row>
    <row r="112" spans="1:17" x14ac:dyDescent="0.25">
      <c r="A112" s="17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7" t="s">
        <v>117</v>
      </c>
      <c r="B113">
        <v>7.5</v>
      </c>
      <c r="C113">
        <v>-7.5</v>
      </c>
      <c r="D113" s="5">
        <f>ROUND(_xlfn.IFNA(VLOOKUP(A113,'Weapon Formulas'!$E$10:$Q$115,11,0),weapon_components!H113),2)</f>
        <v>56.36</v>
      </c>
      <c r="E113" s="5">
        <f>ROUND(_xlfn.IFNA(VLOOKUP(A113,'Weapon Formulas'!$E$10:$Q$115,12,0),weapon_components!H113),2)</f>
        <v>93.94</v>
      </c>
      <c r="F113" s="5">
        <f>ROUND(_xlfn.IFNA(VLOOKUP(A113,'Weapon Formulas'!$E$10:$L$115,8,0),weapon_components!H113),2)</f>
        <v>0</v>
      </c>
      <c r="G113" s="5">
        <f>ROUND(_xlfn.IFNA(VLOOKUP(A113,'Weapon Formulas'!$E$10:$P$115,9,0),weapon_components!H113),2)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Formulas'!$E$10:$Z$115,15,0),weapon_components!H113),2)</f>
        <v>48</v>
      </c>
      <c r="M113">
        <v>1</v>
      </c>
      <c r="N113">
        <v>5</v>
      </c>
    </row>
    <row r="114" spans="1:14" x14ac:dyDescent="0.25">
      <c r="A114" s="17" t="s">
        <v>118</v>
      </c>
      <c r="B114">
        <v>15</v>
      </c>
      <c r="C114">
        <v>-15</v>
      </c>
      <c r="D114" s="5">
        <f>ROUND(_xlfn.IFNA(VLOOKUP(A114,'Weapon Formulas'!$E$10:$Q$115,11,0),weapon_components!H114),2)</f>
        <v>122.12</v>
      </c>
      <c r="E114" s="5">
        <f>ROUND(_xlfn.IFNA(VLOOKUP(A114,'Weapon Formulas'!$E$10:$Q$115,12,0),weapon_components!H114),2)</f>
        <v>203.53</v>
      </c>
      <c r="F114" s="5">
        <f>ROUND(_xlfn.IFNA(VLOOKUP(A114,'Weapon Formulas'!$E$10:$L$115,8,0),weapon_components!H114),2)</f>
        <v>0</v>
      </c>
      <c r="G114" s="5">
        <f>ROUND(_xlfn.IFNA(VLOOKUP(A114,'Weapon Formulas'!$E$10:$P$115,9,0),weapon_components!H114),2)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Formulas'!$E$10:$Z$115,15,0),weapon_components!H114),2)</f>
        <v>60</v>
      </c>
      <c r="M114">
        <v>1</v>
      </c>
      <c r="N114">
        <v>5</v>
      </c>
    </row>
    <row r="115" spans="1:14" x14ac:dyDescent="0.25">
      <c r="A115" s="17" t="s">
        <v>119</v>
      </c>
      <c r="B115">
        <v>30</v>
      </c>
      <c r="C115">
        <v>-30</v>
      </c>
      <c r="D115" s="5">
        <f>ROUND(_xlfn.IFNA(VLOOKUP(A115,'Weapon Formulas'!$E$10:$Q$115,11,0),weapon_components!H115),2)</f>
        <v>263.02999999999997</v>
      </c>
      <c r="E115" s="5">
        <f>ROUND(_xlfn.IFNA(VLOOKUP(A115,'Weapon Formulas'!$E$10:$Q$115,12,0),weapon_components!H115),2)</f>
        <v>438.38</v>
      </c>
      <c r="F115" s="5">
        <f>ROUND(_xlfn.IFNA(VLOOKUP(A115,'Weapon Formulas'!$E$10:$L$115,8,0),weapon_components!H115),2)</f>
        <v>0</v>
      </c>
      <c r="G115" s="5">
        <f>ROUND(_xlfn.IFNA(VLOOKUP(A115,'Weapon Formulas'!$E$10:$P$115,9,0),weapon_components!H115),2)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Formulas'!$E$10:$Z$115,15,0),weapon_components!H115),2)</f>
        <v>72</v>
      </c>
      <c r="M115">
        <v>1</v>
      </c>
      <c r="N115">
        <v>5</v>
      </c>
    </row>
    <row r="116" spans="1:14" x14ac:dyDescent="0.25">
      <c r="A116" s="17" t="s">
        <v>120</v>
      </c>
      <c r="B116">
        <v>10</v>
      </c>
      <c r="C116">
        <v>-10</v>
      </c>
      <c r="D116" s="5">
        <f>ROUND(_xlfn.IFNA(VLOOKUP(A116,'Weapon Formulas'!$E$10:$Q$115,11,0),weapon_components!H116),2)</f>
        <v>81.41</v>
      </c>
      <c r="E116" s="5">
        <f>ROUND(_xlfn.IFNA(VLOOKUP(A116,'Weapon Formulas'!$E$10:$Q$115,12,0),weapon_components!H116),2)</f>
        <v>135.69</v>
      </c>
      <c r="F116" s="5">
        <f>ROUND(_xlfn.IFNA(VLOOKUP(A116,'Weapon Formulas'!$E$10:$L$115,8,0),weapon_components!H116),2)</f>
        <v>0</v>
      </c>
      <c r="G116" s="5">
        <f>ROUND(_xlfn.IFNA(VLOOKUP(A116,'Weapon Formulas'!$E$10:$P$115,9,0),weapon_components!H116),2)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Formulas'!$E$10:$Z$115,15,0),weapon_components!H116),2)</f>
        <v>48</v>
      </c>
      <c r="M116">
        <v>1</v>
      </c>
      <c r="N116">
        <v>5</v>
      </c>
    </row>
    <row r="117" spans="1:14" x14ac:dyDescent="0.25">
      <c r="A117" s="17" t="s">
        <v>121</v>
      </c>
      <c r="B117">
        <v>20</v>
      </c>
      <c r="C117">
        <v>-20</v>
      </c>
      <c r="D117" s="5">
        <f>ROUND(_xlfn.IFNA(VLOOKUP(A117,'Weapon Formulas'!$E$10:$Q$115,11,0),weapon_components!H117),2)</f>
        <v>175.35</v>
      </c>
      <c r="E117" s="5">
        <f>ROUND(_xlfn.IFNA(VLOOKUP(A117,'Weapon Formulas'!$E$10:$Q$115,12,0),weapon_components!H117),2)</f>
        <v>292.25</v>
      </c>
      <c r="F117" s="5">
        <f>ROUND(_xlfn.IFNA(VLOOKUP(A117,'Weapon Formulas'!$E$10:$L$115,8,0),weapon_components!H117),2)</f>
        <v>0</v>
      </c>
      <c r="G117" s="5">
        <f>ROUND(_xlfn.IFNA(VLOOKUP(A117,'Weapon Formulas'!$E$10:$P$115,9,0),weapon_components!H117),2)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Formulas'!$E$10:$Z$115,15,0),weapon_components!H117),2)</f>
        <v>60</v>
      </c>
      <c r="M117">
        <v>1</v>
      </c>
      <c r="N117">
        <v>5</v>
      </c>
    </row>
    <row r="118" spans="1:14" x14ac:dyDescent="0.25">
      <c r="A118" s="17" t="s">
        <v>122</v>
      </c>
      <c r="B118">
        <v>40</v>
      </c>
      <c r="C118">
        <v>-40</v>
      </c>
      <c r="D118" s="5">
        <f>ROUND(_xlfn.IFNA(VLOOKUP(A118,'Weapon Formulas'!$E$10:$Q$115,11,0),weapon_components!H118),2)</f>
        <v>375.75</v>
      </c>
      <c r="E118" s="5">
        <f>ROUND(_xlfn.IFNA(VLOOKUP(A118,'Weapon Formulas'!$E$10:$Q$115,12,0),weapon_components!H118),2)</f>
        <v>626.25</v>
      </c>
      <c r="F118" s="5">
        <f>ROUND(_xlfn.IFNA(VLOOKUP(A118,'Weapon Formulas'!$E$10:$L$115,8,0),weapon_components!H118),2)</f>
        <v>0</v>
      </c>
      <c r="G118" s="5">
        <f>ROUND(_xlfn.IFNA(VLOOKUP(A118,'Weapon Formulas'!$E$10:$P$115,9,0),weapon_components!H118),2)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Formulas'!$E$10:$Z$115,15,0),weapon_components!H118),2)</f>
        <v>72</v>
      </c>
      <c r="M118">
        <v>1</v>
      </c>
      <c r="N118">
        <v>5</v>
      </c>
    </row>
    <row r="119" spans="1:14" x14ac:dyDescent="0.25">
      <c r="A119" s="17" t="s">
        <v>123</v>
      </c>
      <c r="B119">
        <v>12.5</v>
      </c>
      <c r="C119">
        <v>-12.5</v>
      </c>
      <c r="D119" s="5">
        <f>ROUND(_xlfn.IFNA(VLOOKUP(A119,'Weapon Formulas'!$E$10:$Q$115,11,0),weapon_components!H119),2)</f>
        <v>109.59</v>
      </c>
      <c r="E119" s="5">
        <f>ROUND(_xlfn.IFNA(VLOOKUP(A119,'Weapon Formulas'!$E$10:$Q$115,12,0),weapon_components!H119),2)</f>
        <v>182.66</v>
      </c>
      <c r="F119" s="5">
        <f>ROUND(_xlfn.IFNA(VLOOKUP(A119,'Weapon Formulas'!$E$10:$L$115,8,0),weapon_components!H119),2)</f>
        <v>0</v>
      </c>
      <c r="G119" s="5">
        <f>ROUND(_xlfn.IFNA(VLOOKUP(A119,'Weapon Formulas'!$E$10:$P$115,9,0),weapon_components!H119),2)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Formulas'!$E$10:$Z$115,15,0),weapon_components!H119),2)</f>
        <v>48</v>
      </c>
      <c r="M119">
        <v>1</v>
      </c>
      <c r="N119">
        <v>5</v>
      </c>
    </row>
    <row r="120" spans="1:14" x14ac:dyDescent="0.25">
      <c r="A120" s="17" t="s">
        <v>124</v>
      </c>
      <c r="B120">
        <v>25</v>
      </c>
      <c r="C120">
        <v>-25</v>
      </c>
      <c r="D120" s="5">
        <f>ROUND(_xlfn.IFNA(VLOOKUP(A120,'Weapon Formulas'!$E$10:$Q$115,11,0),weapon_components!H120),2)</f>
        <v>234.84</v>
      </c>
      <c r="E120" s="5">
        <f>ROUND(_xlfn.IFNA(VLOOKUP(A120,'Weapon Formulas'!$E$10:$Q$115,12,0),weapon_components!H120),2)</f>
        <v>391.41</v>
      </c>
      <c r="F120" s="5">
        <f>ROUND(_xlfn.IFNA(VLOOKUP(A120,'Weapon Formulas'!$E$10:$L$115,8,0),weapon_components!H120),2)</f>
        <v>0</v>
      </c>
      <c r="G120" s="5">
        <f>ROUND(_xlfn.IFNA(VLOOKUP(A120,'Weapon Formulas'!$E$10:$P$115,9,0),weapon_components!H120),2)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Formulas'!$E$10:$Z$115,15,0),weapon_components!H120),2)</f>
        <v>60</v>
      </c>
      <c r="M120">
        <v>1</v>
      </c>
      <c r="N120">
        <v>5</v>
      </c>
    </row>
    <row r="121" spans="1:14" x14ac:dyDescent="0.25">
      <c r="A121" s="17" t="s">
        <v>125</v>
      </c>
      <c r="B121">
        <v>50</v>
      </c>
      <c r="C121">
        <v>-50</v>
      </c>
      <c r="D121" s="5">
        <f>ROUND(_xlfn.IFNA(VLOOKUP(A121,'Weapon Formulas'!$E$10:$Q$115,11,0),weapon_components!H121),2)</f>
        <v>501</v>
      </c>
      <c r="E121" s="5">
        <f>ROUND(_xlfn.IFNA(VLOOKUP(A121,'Weapon Formulas'!$E$10:$Q$115,12,0),weapon_components!H121),2)</f>
        <v>835</v>
      </c>
      <c r="F121" s="5">
        <f>ROUND(_xlfn.IFNA(VLOOKUP(A121,'Weapon Formulas'!$E$10:$L$115,8,0),weapon_components!H121),2)</f>
        <v>0</v>
      </c>
      <c r="G121" s="5">
        <f>ROUND(_xlfn.IFNA(VLOOKUP(A121,'Weapon Formulas'!$E$10:$P$115,9,0),weapon_components!H121),2)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Formulas'!$E$10:$Z$115,15,0),weapon_components!H121),2)</f>
        <v>72</v>
      </c>
      <c r="M121">
        <v>1</v>
      </c>
      <c r="N121">
        <v>5</v>
      </c>
    </row>
    <row r="122" spans="1:14" x14ac:dyDescent="0.25">
      <c r="A122" s="17" t="s">
        <v>126</v>
      </c>
      <c r="D122" s="5"/>
      <c r="E122" s="5"/>
      <c r="F122" s="5"/>
      <c r="G122" s="5"/>
      <c r="H122" s="5"/>
      <c r="L122" s="5"/>
    </row>
    <row r="123" spans="1:14" x14ac:dyDescent="0.25">
      <c r="A123" s="17" t="s">
        <v>127</v>
      </c>
      <c r="B123">
        <v>40</v>
      </c>
      <c r="C123">
        <v>-40</v>
      </c>
      <c r="D123" s="5">
        <f>ROUND(_xlfn.IFNA(VLOOKUP(A123,'Weapon Formulas'!$E$10:$Q$115,11,0),weapon_components!H123),2)</f>
        <v>105</v>
      </c>
      <c r="E123" s="5">
        <f>ROUND(_xlfn.IFNA(VLOOKUP(A123,'Weapon Formulas'!$E$10:$Q$115,12,0),weapon_components!H123),2)</f>
        <v>175</v>
      </c>
      <c r="F123" s="5">
        <f>ROUND(_xlfn.IFNA(VLOOKUP(A123,'Weapon Formulas'!$E$10:$L$115,8,0),weapon_components!H123),2)</f>
        <v>0</v>
      </c>
      <c r="G123" s="5">
        <f>ROUND(_xlfn.IFNA(VLOOKUP(A123,'Weapon Formulas'!$E$10:$P$115,9,0),weapon_components!H123),2)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Formulas'!$E$10:$Z$115,15,0),weapon_components!H123),2)</f>
        <v>60</v>
      </c>
      <c r="M123">
        <v>1</v>
      </c>
      <c r="N123">
        <v>5</v>
      </c>
    </row>
    <row r="124" spans="1:14" x14ac:dyDescent="0.25">
      <c r="A124" s="17" t="s">
        <v>128</v>
      </c>
      <c r="B124">
        <v>50</v>
      </c>
      <c r="C124">
        <v>-50</v>
      </c>
      <c r="D124" s="5">
        <f>ROUND(_xlfn.IFNA(VLOOKUP(A124,'Weapon Formulas'!$E$10:$Q$115,11,0),weapon_components!H124),2)</f>
        <v>140.63</v>
      </c>
      <c r="E124" s="5">
        <f>ROUND(_xlfn.IFNA(VLOOKUP(A124,'Weapon Formulas'!$E$10:$Q$115,12,0),weapon_components!H124),2)</f>
        <v>234.38</v>
      </c>
      <c r="F124" s="5">
        <f>ROUND(_xlfn.IFNA(VLOOKUP(A124,'Weapon Formulas'!$E$10:$L$115,8,0),weapon_components!H124),2)</f>
        <v>0</v>
      </c>
      <c r="G124" s="5">
        <f>ROUND(_xlfn.IFNA(VLOOKUP(A124,'Weapon Formulas'!$E$10:$P$115,9,0),weapon_components!H124),2)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Formulas'!$E$10:$Z$115,15,0),weapon_components!H124),2)</f>
        <v>60</v>
      </c>
      <c r="M124">
        <v>1</v>
      </c>
      <c r="N124">
        <v>5</v>
      </c>
    </row>
    <row r="125" spans="1:14" x14ac:dyDescent="0.25">
      <c r="A125" s="17" t="s">
        <v>161</v>
      </c>
      <c r="D125" s="5"/>
      <c r="E125" s="5"/>
      <c r="F125" s="5"/>
      <c r="G125" s="5"/>
      <c r="H125" s="5"/>
      <c r="L125" s="5"/>
    </row>
    <row r="126" spans="1:14" x14ac:dyDescent="0.25">
      <c r="A126" s="17" t="s">
        <v>162</v>
      </c>
      <c r="B126">
        <v>5</v>
      </c>
      <c r="C126">
        <v>-5</v>
      </c>
      <c r="D126" s="5">
        <f>ROUND(_xlfn.IFNA(VLOOKUP(A126,'Weapon Formulas'!$E$10:$Q$115,11,0),weapon_components!H126),2)</f>
        <v>0.5</v>
      </c>
      <c r="E126" s="5">
        <f>ROUND(_xlfn.IFNA(VLOOKUP(A126,'Weapon Formulas'!$E$10:$Q$115,12,0),weapon_components!H126),2)</f>
        <v>0.5</v>
      </c>
      <c r="F126" s="5">
        <f>ROUND(_xlfn.IFNA(VLOOKUP(A126,'Weapon Formulas'!$E$10:$L$115,8,0),weapon_components!H126),2)</f>
        <v>0.5</v>
      </c>
      <c r="G126" s="5">
        <f>ROUND(_xlfn.IFNA(VLOOKUP(A126,'Weapon Formulas'!$E$10:$P$115,9,0),weapon_components!H126),2)</f>
        <v>0.5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Formulas'!$E$10:$Z$115,15,0),weapon_components!H126),2)</f>
        <v>0.5</v>
      </c>
      <c r="M126">
        <v>0.75</v>
      </c>
      <c r="N126">
        <v>0</v>
      </c>
    </row>
    <row r="127" spans="1:14" x14ac:dyDescent="0.25">
      <c r="A127" s="17" t="s">
        <v>163</v>
      </c>
      <c r="B127">
        <v>20</v>
      </c>
      <c r="C127">
        <v>-20</v>
      </c>
      <c r="D127" s="5">
        <f>ROUND(_xlfn.IFNA(VLOOKUP(A127,'Weapon Formulas'!$E$10:$Q$115,11,0),weapon_components!H127),2)</f>
        <v>0.5</v>
      </c>
      <c r="E127" s="5">
        <f>ROUND(_xlfn.IFNA(VLOOKUP(A127,'Weapon Formulas'!$E$10:$Q$115,12,0),weapon_components!H127),2)</f>
        <v>0.5</v>
      </c>
      <c r="F127" s="5">
        <f>ROUND(_xlfn.IFNA(VLOOKUP(A127,'Weapon Formulas'!$E$10:$L$115,8,0),weapon_components!H127),2)</f>
        <v>0.5</v>
      </c>
      <c r="G127" s="5">
        <f>ROUND(_xlfn.IFNA(VLOOKUP(A127,'Weapon Formulas'!$E$10:$P$115,9,0),weapon_components!H127),2)</f>
        <v>0.5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Formulas'!$E$10:$Z$115,15,0),weapon_components!H127),2)</f>
        <v>0.5</v>
      </c>
      <c r="M127">
        <v>0.7</v>
      </c>
      <c r="N127">
        <v>0</v>
      </c>
    </row>
    <row r="128" spans="1:14" x14ac:dyDescent="0.25">
      <c r="A128" s="17" t="s">
        <v>164</v>
      </c>
      <c r="D128" s="5"/>
      <c r="E128" s="5"/>
      <c r="F128" s="5"/>
      <c r="G128" s="5"/>
      <c r="H128" s="5"/>
      <c r="L128" s="5"/>
    </row>
    <row r="129" spans="1:14" x14ac:dyDescent="0.25">
      <c r="A129" s="17" t="s">
        <v>165</v>
      </c>
      <c r="B129">
        <v>2.5</v>
      </c>
      <c r="C129">
        <v>-2.5</v>
      </c>
      <c r="D129" s="5">
        <f>ROUND(_xlfn.IFNA(VLOOKUP(A129,'Weapon Formulas'!$E$10:$Q$115,11,0),weapon_components!H129),2)</f>
        <v>0.5</v>
      </c>
      <c r="E129" s="5">
        <f>ROUND(_xlfn.IFNA(VLOOKUP(A129,'Weapon Formulas'!$E$10:$Q$115,12,0),weapon_components!H129),2)</f>
        <v>0.5</v>
      </c>
      <c r="F129" s="5">
        <f>ROUND(_xlfn.IFNA(VLOOKUP(A129,'Weapon Formulas'!$E$10:$L$115,8,0),weapon_components!H129),2)</f>
        <v>0.5</v>
      </c>
      <c r="G129" s="5">
        <f>ROUND(_xlfn.IFNA(VLOOKUP(A129,'Weapon Formulas'!$E$10:$P$115,9,0),weapon_components!H129),2)</f>
        <v>0.5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Formulas'!$E$10:$Z$115,15,0),weapon_components!H129),2)</f>
        <v>0.5</v>
      </c>
      <c r="M129">
        <v>0.75</v>
      </c>
      <c r="N129">
        <v>0</v>
      </c>
    </row>
    <row r="130" spans="1:14" x14ac:dyDescent="0.25">
      <c r="A130" s="17" t="s">
        <v>166</v>
      </c>
      <c r="B130">
        <v>5</v>
      </c>
      <c r="C130">
        <v>-5</v>
      </c>
      <c r="D130" s="5">
        <f>ROUND(_xlfn.IFNA(VLOOKUP(A130,'Weapon Formulas'!$E$10:$Q$115,11,0),weapon_components!H130),2)</f>
        <v>0.5</v>
      </c>
      <c r="E130" s="5">
        <f>ROUND(_xlfn.IFNA(VLOOKUP(A130,'Weapon Formulas'!$E$10:$Q$115,12,0),weapon_components!H130),2)</f>
        <v>0.5</v>
      </c>
      <c r="F130" s="5">
        <f>ROUND(_xlfn.IFNA(VLOOKUP(A130,'Weapon Formulas'!$E$10:$L$115,8,0),weapon_components!H130),2)</f>
        <v>0.5</v>
      </c>
      <c r="G130" s="5">
        <f>ROUND(_xlfn.IFNA(VLOOKUP(A130,'Weapon Formulas'!$E$10:$P$115,9,0),weapon_components!H130),2)</f>
        <v>0.5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Formulas'!$E$10:$Z$115,15,0),weapon_components!H130),2)</f>
        <v>0.5</v>
      </c>
      <c r="M130">
        <v>0.7</v>
      </c>
      <c r="N130">
        <v>0</v>
      </c>
    </row>
    <row r="131" spans="1:14" x14ac:dyDescent="0.25">
      <c r="A131" s="17" t="s">
        <v>167</v>
      </c>
      <c r="B131">
        <v>10</v>
      </c>
      <c r="C131">
        <v>-10</v>
      </c>
      <c r="D131" s="5">
        <f>ROUND(_xlfn.IFNA(VLOOKUP(A131,'Weapon Formulas'!$E$10:$Q$115,11,0),weapon_components!H131),2)</f>
        <v>0.5</v>
      </c>
      <c r="E131" s="5">
        <f>ROUND(_xlfn.IFNA(VLOOKUP(A131,'Weapon Formulas'!$E$10:$Q$115,12,0),weapon_components!H131),2)</f>
        <v>0.5</v>
      </c>
      <c r="F131" s="5">
        <f>ROUND(_xlfn.IFNA(VLOOKUP(A131,'Weapon Formulas'!$E$10:$L$115,8,0),weapon_components!H131),2)</f>
        <v>0.5</v>
      </c>
      <c r="G131" s="5">
        <f>ROUND(_xlfn.IFNA(VLOOKUP(A131,'Weapon Formulas'!$E$10:$P$115,9,0),weapon_components!H131),2)</f>
        <v>0.5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Formulas'!$E$10:$Z$115,15,0),weapon_components!H131),2)</f>
        <v>0.5</v>
      </c>
      <c r="M131">
        <v>0.65</v>
      </c>
      <c r="N131">
        <v>0</v>
      </c>
    </row>
    <row r="132" spans="1:14" x14ac:dyDescent="0.25">
      <c r="A132" s="17" t="s">
        <v>168</v>
      </c>
      <c r="B132">
        <v>5</v>
      </c>
      <c r="C132">
        <v>-5</v>
      </c>
      <c r="D132" s="5">
        <f>ROUND(_xlfn.IFNA(VLOOKUP(A132,'Weapon Formulas'!$E$10:$Q$115,11,0),weapon_components!H132),2)</f>
        <v>0.5</v>
      </c>
      <c r="E132" s="5">
        <f>ROUND(_xlfn.IFNA(VLOOKUP(A132,'Weapon Formulas'!$E$10:$Q$115,12,0),weapon_components!H132),2)</f>
        <v>0.5</v>
      </c>
      <c r="F132" s="5">
        <f>ROUND(_xlfn.IFNA(VLOOKUP(A132,'Weapon Formulas'!$E$10:$L$115,8,0),weapon_components!H132),2)</f>
        <v>0.5</v>
      </c>
      <c r="G132" s="5">
        <f>ROUND(_xlfn.IFNA(VLOOKUP(A132,'Weapon Formulas'!$E$10:$P$115,9,0),weapon_components!H132),2)</f>
        <v>0.5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Formulas'!$E$10:$Z$115,15,0),weapon_components!H132),2)</f>
        <v>0.5</v>
      </c>
      <c r="M132">
        <v>0.75</v>
      </c>
      <c r="N132">
        <v>0</v>
      </c>
    </row>
    <row r="133" spans="1:14" x14ac:dyDescent="0.25">
      <c r="A133" s="17" t="s">
        <v>169</v>
      </c>
      <c r="B133">
        <v>10</v>
      </c>
      <c r="C133">
        <v>-10</v>
      </c>
      <c r="D133" s="5">
        <f>ROUND(_xlfn.IFNA(VLOOKUP(A133,'Weapon Formulas'!$E$10:$Q$115,11,0),weapon_components!H133),2)</f>
        <v>0.5</v>
      </c>
      <c r="E133" s="5">
        <f>ROUND(_xlfn.IFNA(VLOOKUP(A133,'Weapon Formulas'!$E$10:$Q$115,12,0),weapon_components!H133),2)</f>
        <v>0.5</v>
      </c>
      <c r="F133" s="5">
        <f>ROUND(_xlfn.IFNA(VLOOKUP(A133,'Weapon Formulas'!$E$10:$L$115,8,0),weapon_components!H133),2)</f>
        <v>0.5</v>
      </c>
      <c r="G133" s="5">
        <f>ROUND(_xlfn.IFNA(VLOOKUP(A133,'Weapon Formulas'!$E$10:$P$115,9,0),weapon_components!H133),2)</f>
        <v>0.5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Formulas'!$E$10:$Z$115,15,0),weapon_components!H133),2)</f>
        <v>0.5</v>
      </c>
      <c r="M133">
        <v>0.7</v>
      </c>
      <c r="N133">
        <v>0</v>
      </c>
    </row>
    <row r="134" spans="1:14" x14ac:dyDescent="0.25">
      <c r="A134" s="17" t="s">
        <v>170</v>
      </c>
      <c r="B134">
        <v>20</v>
      </c>
      <c r="C134">
        <v>-20</v>
      </c>
      <c r="D134" s="5">
        <f>ROUND(_xlfn.IFNA(VLOOKUP(A134,'Weapon Formulas'!$E$10:$Q$115,11,0),weapon_components!H134),2)</f>
        <v>0.5</v>
      </c>
      <c r="E134" s="5">
        <f>ROUND(_xlfn.IFNA(VLOOKUP(A134,'Weapon Formulas'!$E$10:$Q$115,12,0),weapon_components!H134),2)</f>
        <v>0.5</v>
      </c>
      <c r="F134" s="5">
        <f>ROUND(_xlfn.IFNA(VLOOKUP(A134,'Weapon Formulas'!$E$10:$L$115,8,0),weapon_components!H134),2)</f>
        <v>0.5</v>
      </c>
      <c r="G134" s="5">
        <f>ROUND(_xlfn.IFNA(VLOOKUP(A134,'Weapon Formulas'!$E$10:$P$115,9,0),weapon_components!H134),2)</f>
        <v>0.5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Formulas'!$E$10:$Z$115,15,0),weapon_components!H134),2)</f>
        <v>0.5</v>
      </c>
      <c r="M134">
        <v>0.65</v>
      </c>
      <c r="N134">
        <v>0</v>
      </c>
    </row>
    <row r="135" spans="1:14" x14ac:dyDescent="0.25">
      <c r="A135" s="17" t="s">
        <v>171</v>
      </c>
      <c r="B135">
        <v>7.5</v>
      </c>
      <c r="C135">
        <v>-7.5</v>
      </c>
      <c r="D135" s="5">
        <f>ROUND(_xlfn.IFNA(VLOOKUP(A135,'Weapon Formulas'!$E$10:$Q$115,11,0),weapon_components!H135),2)</f>
        <v>0.5</v>
      </c>
      <c r="E135" s="5">
        <f>ROUND(_xlfn.IFNA(VLOOKUP(A135,'Weapon Formulas'!$E$10:$Q$115,12,0),weapon_components!H135),2)</f>
        <v>0.5</v>
      </c>
      <c r="F135" s="5">
        <f>ROUND(_xlfn.IFNA(VLOOKUP(A135,'Weapon Formulas'!$E$10:$L$115,8,0),weapon_components!H135),2)</f>
        <v>0.5</v>
      </c>
      <c r="G135" s="5">
        <f>ROUND(_xlfn.IFNA(VLOOKUP(A135,'Weapon Formulas'!$E$10:$P$115,9,0),weapon_components!H135),2)</f>
        <v>0.5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Formulas'!$E$10:$Z$115,15,0),weapon_components!H135),2)</f>
        <v>0.5</v>
      </c>
      <c r="M135">
        <v>0.75</v>
      </c>
      <c r="N135">
        <v>0</v>
      </c>
    </row>
    <row r="136" spans="1:14" x14ac:dyDescent="0.25">
      <c r="A136" s="17" t="s">
        <v>172</v>
      </c>
      <c r="B136">
        <v>15</v>
      </c>
      <c r="C136">
        <v>-15</v>
      </c>
      <c r="D136" s="5">
        <f>ROUND(_xlfn.IFNA(VLOOKUP(A136,'Weapon Formulas'!$E$10:$Q$115,11,0),weapon_components!H136),2)</f>
        <v>0.5</v>
      </c>
      <c r="E136" s="5">
        <f>ROUND(_xlfn.IFNA(VLOOKUP(A136,'Weapon Formulas'!$E$10:$Q$115,12,0),weapon_components!H136),2)</f>
        <v>0.5</v>
      </c>
      <c r="F136" s="5">
        <f>ROUND(_xlfn.IFNA(VLOOKUP(A136,'Weapon Formulas'!$E$10:$L$115,8,0),weapon_components!H136),2)</f>
        <v>0.5</v>
      </c>
      <c r="G136" s="5">
        <f>ROUND(_xlfn.IFNA(VLOOKUP(A136,'Weapon Formulas'!$E$10:$P$115,9,0),weapon_components!H136),2)</f>
        <v>0.5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Formulas'!$E$10:$Z$115,15,0),weapon_components!H136),2)</f>
        <v>0.5</v>
      </c>
      <c r="M136">
        <v>0.7</v>
      </c>
      <c r="N136">
        <v>0</v>
      </c>
    </row>
    <row r="137" spans="1:14" x14ac:dyDescent="0.25">
      <c r="A137" s="17" t="s">
        <v>173</v>
      </c>
      <c r="B137">
        <v>30</v>
      </c>
      <c r="C137">
        <v>-30</v>
      </c>
      <c r="D137" s="5">
        <f>ROUND(_xlfn.IFNA(VLOOKUP(A137,'Weapon Formulas'!$E$10:$Q$115,11,0),weapon_components!H137),2)</f>
        <v>0.5</v>
      </c>
      <c r="E137" s="5">
        <f>ROUND(_xlfn.IFNA(VLOOKUP(A137,'Weapon Formulas'!$E$10:$Q$115,12,0),weapon_components!H137),2)</f>
        <v>0.5</v>
      </c>
      <c r="F137" s="5">
        <f>ROUND(_xlfn.IFNA(VLOOKUP(A137,'Weapon Formulas'!$E$10:$L$115,8,0),weapon_components!H137),2)</f>
        <v>0.5</v>
      </c>
      <c r="G137" s="5">
        <f>ROUND(_xlfn.IFNA(VLOOKUP(A137,'Weapon Formulas'!$E$10:$P$115,9,0),weapon_components!H137),2)</f>
        <v>0.5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Formulas'!$E$10:$Z$115,15,0),weapon_components!H137),2)</f>
        <v>0.5</v>
      </c>
      <c r="M137">
        <v>0.65</v>
      </c>
      <c r="N137">
        <v>0</v>
      </c>
    </row>
    <row r="138" spans="1:14" x14ac:dyDescent="0.25">
      <c r="A138" s="17" t="s">
        <v>174</v>
      </c>
      <c r="B138">
        <v>10</v>
      </c>
      <c r="C138">
        <v>-10</v>
      </c>
      <c r="D138" s="5">
        <f>ROUND(_xlfn.IFNA(VLOOKUP(A138,'Weapon Formulas'!$E$10:$Q$115,11,0),weapon_components!H138),2)</f>
        <v>0.5</v>
      </c>
      <c r="E138" s="5">
        <f>ROUND(_xlfn.IFNA(VLOOKUP(A138,'Weapon Formulas'!$E$10:$Q$115,12,0),weapon_components!H138),2)</f>
        <v>0.5</v>
      </c>
      <c r="F138" s="5">
        <f>ROUND(_xlfn.IFNA(VLOOKUP(A138,'Weapon Formulas'!$E$10:$L$115,8,0),weapon_components!H138),2)</f>
        <v>0.5</v>
      </c>
      <c r="G138" s="5">
        <f>ROUND(_xlfn.IFNA(VLOOKUP(A138,'Weapon Formulas'!$E$10:$P$115,9,0),weapon_components!H138),2)</f>
        <v>0.5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Formulas'!$E$10:$Z$115,15,0),weapon_components!H138),2)</f>
        <v>0.5</v>
      </c>
      <c r="M138">
        <v>0.75</v>
      </c>
      <c r="N138">
        <v>0</v>
      </c>
    </row>
    <row r="139" spans="1:14" x14ac:dyDescent="0.25">
      <c r="A139" s="17" t="s">
        <v>175</v>
      </c>
      <c r="B139">
        <v>20</v>
      </c>
      <c r="C139">
        <v>-20</v>
      </c>
      <c r="D139" s="5">
        <f>ROUND(_xlfn.IFNA(VLOOKUP(A139,'Weapon Formulas'!$E$10:$Q$115,11,0),weapon_components!H139),2)</f>
        <v>0.5</v>
      </c>
      <c r="E139" s="5">
        <f>ROUND(_xlfn.IFNA(VLOOKUP(A139,'Weapon Formulas'!$E$10:$Q$115,12,0),weapon_components!H139),2)</f>
        <v>0.5</v>
      </c>
      <c r="F139" s="5">
        <f>ROUND(_xlfn.IFNA(VLOOKUP(A139,'Weapon Formulas'!$E$10:$L$115,8,0),weapon_components!H139),2)</f>
        <v>0.5</v>
      </c>
      <c r="G139" s="5">
        <f>ROUND(_xlfn.IFNA(VLOOKUP(A139,'Weapon Formulas'!$E$10:$P$115,9,0),weapon_components!H139),2)</f>
        <v>0.5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Formulas'!$E$10:$Z$115,15,0),weapon_components!H139),2)</f>
        <v>0.5</v>
      </c>
      <c r="M139">
        <v>0.7</v>
      </c>
      <c r="N139">
        <v>0</v>
      </c>
    </row>
    <row r="140" spans="1:14" x14ac:dyDescent="0.25">
      <c r="A140" s="17" t="s">
        <v>176</v>
      </c>
      <c r="B140">
        <v>40</v>
      </c>
      <c r="C140">
        <v>-40</v>
      </c>
      <c r="D140" s="5">
        <f>ROUND(_xlfn.IFNA(VLOOKUP(A140,'Weapon Formulas'!$E$10:$Q$115,11,0),weapon_components!H140),2)</f>
        <v>0.5</v>
      </c>
      <c r="E140" s="5">
        <f>ROUND(_xlfn.IFNA(VLOOKUP(A140,'Weapon Formulas'!$E$10:$Q$115,12,0),weapon_components!H140),2)</f>
        <v>0.5</v>
      </c>
      <c r="F140" s="5">
        <f>ROUND(_xlfn.IFNA(VLOOKUP(A140,'Weapon Formulas'!$E$10:$L$115,8,0),weapon_components!H140),2)</f>
        <v>0.5</v>
      </c>
      <c r="G140" s="5">
        <f>ROUND(_xlfn.IFNA(VLOOKUP(A140,'Weapon Formulas'!$E$10:$P$115,9,0),weapon_components!H140),2)</f>
        <v>0.5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Formulas'!$E$10:$Z$115,15,0),weapon_components!H140),2)</f>
        <v>0.5</v>
      </c>
      <c r="M140">
        <v>0.65</v>
      </c>
      <c r="N140">
        <v>0</v>
      </c>
    </row>
    <row r="141" spans="1:14" x14ac:dyDescent="0.25">
      <c r="A141" s="17" t="s">
        <v>177</v>
      </c>
      <c r="B141">
        <v>2.5</v>
      </c>
      <c r="C141">
        <v>-2.5</v>
      </c>
      <c r="D141" s="5">
        <f>ROUND(_xlfn.IFNA(VLOOKUP(A141,'Weapon Formulas'!$E$10:$Q$115,11,0),weapon_components!H141),2)</f>
        <v>0.5</v>
      </c>
      <c r="E141" s="5">
        <f>ROUND(_xlfn.IFNA(VLOOKUP(A141,'Weapon Formulas'!$E$10:$Q$115,12,0),weapon_components!H141),2)</f>
        <v>0.5</v>
      </c>
      <c r="F141" s="5">
        <f>ROUND(_xlfn.IFNA(VLOOKUP(A141,'Weapon Formulas'!$E$10:$L$115,8,0),weapon_components!H141),2)</f>
        <v>0.5</v>
      </c>
      <c r="G141" s="5">
        <f>ROUND(_xlfn.IFNA(VLOOKUP(A141,'Weapon Formulas'!$E$10:$P$115,9,0),weapon_components!H141),2)</f>
        <v>0.5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Formulas'!$E$10:$Z$115,15,0),weapon_components!H141),2)</f>
        <v>0.5</v>
      </c>
      <c r="M141">
        <v>0.75</v>
      </c>
      <c r="N141">
        <v>0</v>
      </c>
    </row>
    <row r="142" spans="1:14" x14ac:dyDescent="0.25">
      <c r="A142" s="17" t="s">
        <v>178</v>
      </c>
      <c r="B142">
        <v>5</v>
      </c>
      <c r="C142">
        <v>-5</v>
      </c>
      <c r="D142" s="5">
        <f>ROUND(_xlfn.IFNA(VLOOKUP(A142,'Weapon Formulas'!$E$10:$Q$115,11,0),weapon_components!H142),2)</f>
        <v>0.5</v>
      </c>
      <c r="E142" s="5">
        <f>ROUND(_xlfn.IFNA(VLOOKUP(A142,'Weapon Formulas'!$E$10:$Q$115,12,0),weapon_components!H142),2)</f>
        <v>0.5</v>
      </c>
      <c r="F142" s="5">
        <f>ROUND(_xlfn.IFNA(VLOOKUP(A142,'Weapon Formulas'!$E$10:$L$115,8,0),weapon_components!H142),2)</f>
        <v>0.5</v>
      </c>
      <c r="G142" s="5">
        <f>ROUND(_xlfn.IFNA(VLOOKUP(A142,'Weapon Formulas'!$E$10:$P$115,9,0),weapon_components!H142),2)</f>
        <v>0.5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Formulas'!$E$10:$Z$115,15,0),weapon_components!H142),2)</f>
        <v>0.5</v>
      </c>
      <c r="M142">
        <v>0.7</v>
      </c>
      <c r="N142">
        <v>0</v>
      </c>
    </row>
    <row r="143" spans="1:14" x14ac:dyDescent="0.25">
      <c r="A143" s="17" t="s">
        <v>179</v>
      </c>
      <c r="B143">
        <v>10</v>
      </c>
      <c r="C143">
        <v>-10</v>
      </c>
      <c r="D143" s="5">
        <f>ROUND(_xlfn.IFNA(VLOOKUP(A143,'Weapon Formulas'!$E$10:$Q$115,11,0),weapon_components!H143),2)</f>
        <v>0.5</v>
      </c>
      <c r="E143" s="5">
        <f>ROUND(_xlfn.IFNA(VLOOKUP(A143,'Weapon Formulas'!$E$10:$Q$115,12,0),weapon_components!H143),2)</f>
        <v>0.5</v>
      </c>
      <c r="F143" s="5">
        <f>ROUND(_xlfn.IFNA(VLOOKUP(A143,'Weapon Formulas'!$E$10:$L$115,8,0),weapon_components!H143),2)</f>
        <v>0.5</v>
      </c>
      <c r="G143" s="5">
        <f>ROUND(_xlfn.IFNA(VLOOKUP(A143,'Weapon Formulas'!$E$10:$P$115,9,0),weapon_components!H143),2)</f>
        <v>0.5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Formulas'!$E$10:$Z$115,15,0),weapon_components!H143),2)</f>
        <v>0.5</v>
      </c>
      <c r="M143">
        <v>0.65</v>
      </c>
      <c r="N143">
        <v>0</v>
      </c>
    </row>
    <row r="144" spans="1:14" x14ac:dyDescent="0.25">
      <c r="A144" s="17" t="s">
        <v>180</v>
      </c>
      <c r="B144">
        <v>5</v>
      </c>
      <c r="C144">
        <v>-5</v>
      </c>
      <c r="D144" s="5">
        <f>ROUND(_xlfn.IFNA(VLOOKUP(A144,'Weapon Formulas'!$E$10:$Q$115,11,0),weapon_components!H144),2)</f>
        <v>0.5</v>
      </c>
      <c r="E144" s="5">
        <f>ROUND(_xlfn.IFNA(VLOOKUP(A144,'Weapon Formulas'!$E$10:$Q$115,12,0),weapon_components!H144),2)</f>
        <v>0.5</v>
      </c>
      <c r="F144" s="5">
        <f>ROUND(_xlfn.IFNA(VLOOKUP(A144,'Weapon Formulas'!$E$10:$L$115,8,0),weapon_components!H144),2)</f>
        <v>0.5</v>
      </c>
      <c r="G144" s="5">
        <f>ROUND(_xlfn.IFNA(VLOOKUP(A144,'Weapon Formulas'!$E$10:$P$115,9,0),weapon_components!H144),2)</f>
        <v>0.5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Formulas'!$E$10:$Z$115,15,0),weapon_components!H144),2)</f>
        <v>0.5</v>
      </c>
      <c r="M144">
        <v>0.75</v>
      </c>
      <c r="N144">
        <v>0</v>
      </c>
    </row>
    <row r="145" spans="1:14" x14ac:dyDescent="0.25">
      <c r="A145" s="17" t="s">
        <v>181</v>
      </c>
      <c r="B145">
        <v>10</v>
      </c>
      <c r="C145">
        <v>-10</v>
      </c>
      <c r="D145" s="5">
        <f>ROUND(_xlfn.IFNA(VLOOKUP(A145,'Weapon Formulas'!$E$10:$Q$115,11,0),weapon_components!H145),2)</f>
        <v>0.5</v>
      </c>
      <c r="E145" s="5">
        <f>ROUND(_xlfn.IFNA(VLOOKUP(A145,'Weapon Formulas'!$E$10:$Q$115,12,0),weapon_components!H145),2)</f>
        <v>0.5</v>
      </c>
      <c r="F145" s="5">
        <f>ROUND(_xlfn.IFNA(VLOOKUP(A145,'Weapon Formulas'!$E$10:$L$115,8,0),weapon_components!H145),2)</f>
        <v>0.5</v>
      </c>
      <c r="G145" s="5">
        <f>ROUND(_xlfn.IFNA(VLOOKUP(A145,'Weapon Formulas'!$E$10:$P$115,9,0),weapon_components!H145),2)</f>
        <v>0.5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Formulas'!$E$10:$Z$115,15,0),weapon_components!H145),2)</f>
        <v>0.5</v>
      </c>
      <c r="M145">
        <v>0.7</v>
      </c>
      <c r="N145">
        <v>0</v>
      </c>
    </row>
    <row r="146" spans="1:14" x14ac:dyDescent="0.25">
      <c r="A146" s="17" t="s">
        <v>182</v>
      </c>
      <c r="B146">
        <v>20</v>
      </c>
      <c r="C146">
        <v>-20</v>
      </c>
      <c r="D146" s="5">
        <f>ROUND(_xlfn.IFNA(VLOOKUP(A146,'Weapon Formulas'!$E$10:$Q$115,11,0),weapon_components!H146),2)</f>
        <v>0.5</v>
      </c>
      <c r="E146" s="5">
        <f>ROUND(_xlfn.IFNA(VLOOKUP(A146,'Weapon Formulas'!$E$10:$Q$115,12,0),weapon_components!H146),2)</f>
        <v>0.5</v>
      </c>
      <c r="F146" s="5">
        <f>ROUND(_xlfn.IFNA(VLOOKUP(A146,'Weapon Formulas'!$E$10:$L$115,8,0),weapon_components!H146),2)</f>
        <v>0.5</v>
      </c>
      <c r="G146" s="5">
        <f>ROUND(_xlfn.IFNA(VLOOKUP(A146,'Weapon Formulas'!$E$10:$P$115,9,0),weapon_components!H146),2)</f>
        <v>0.5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Formulas'!$E$10:$Z$115,15,0),weapon_components!H146),2)</f>
        <v>0.5</v>
      </c>
      <c r="M146">
        <v>0.65</v>
      </c>
      <c r="N146">
        <v>0</v>
      </c>
    </row>
    <row r="147" spans="1:14" x14ac:dyDescent="0.25">
      <c r="A147" s="17" t="s">
        <v>183</v>
      </c>
      <c r="B147">
        <v>7.5</v>
      </c>
      <c r="C147">
        <v>-7.5</v>
      </c>
      <c r="D147" s="5">
        <f>ROUND(_xlfn.IFNA(VLOOKUP(A147,'Weapon Formulas'!$E$10:$Q$115,11,0),weapon_components!H147),2)</f>
        <v>0.5</v>
      </c>
      <c r="E147" s="5">
        <f>ROUND(_xlfn.IFNA(VLOOKUP(A147,'Weapon Formulas'!$E$10:$Q$115,12,0),weapon_components!H147),2)</f>
        <v>0.5</v>
      </c>
      <c r="F147" s="5">
        <f>ROUND(_xlfn.IFNA(VLOOKUP(A147,'Weapon Formulas'!$E$10:$L$115,8,0),weapon_components!H147),2)</f>
        <v>0.5</v>
      </c>
      <c r="G147" s="5">
        <f>ROUND(_xlfn.IFNA(VLOOKUP(A147,'Weapon Formulas'!$E$10:$P$115,9,0),weapon_components!H147),2)</f>
        <v>0.5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Formulas'!$E$10:$Z$115,15,0),weapon_components!H147),2)</f>
        <v>0.5</v>
      </c>
      <c r="M147">
        <v>0.75</v>
      </c>
      <c r="N147">
        <v>0</v>
      </c>
    </row>
    <row r="148" spans="1:14" x14ac:dyDescent="0.25">
      <c r="A148" s="17" t="s">
        <v>184</v>
      </c>
      <c r="B148">
        <v>15</v>
      </c>
      <c r="C148">
        <v>-15</v>
      </c>
      <c r="D148" s="5">
        <f>ROUND(_xlfn.IFNA(VLOOKUP(A148,'Weapon Formulas'!$E$10:$Q$115,11,0),weapon_components!H148),2)</f>
        <v>0.5</v>
      </c>
      <c r="E148" s="5">
        <f>ROUND(_xlfn.IFNA(VLOOKUP(A148,'Weapon Formulas'!$E$10:$Q$115,12,0),weapon_components!H148),2)</f>
        <v>0.5</v>
      </c>
      <c r="F148" s="5">
        <f>ROUND(_xlfn.IFNA(VLOOKUP(A148,'Weapon Formulas'!$E$10:$L$115,8,0),weapon_components!H148),2)</f>
        <v>0.5</v>
      </c>
      <c r="G148" s="5">
        <f>ROUND(_xlfn.IFNA(VLOOKUP(A148,'Weapon Formulas'!$E$10:$P$115,9,0),weapon_components!H148),2)</f>
        <v>0.5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Formulas'!$E$10:$Z$115,15,0),weapon_components!H148),2)</f>
        <v>0.5</v>
      </c>
      <c r="M148">
        <v>0.7</v>
      </c>
      <c r="N148">
        <v>0</v>
      </c>
    </row>
    <row r="149" spans="1:14" x14ac:dyDescent="0.25">
      <c r="A149" s="17" t="s">
        <v>185</v>
      </c>
      <c r="B149">
        <v>30</v>
      </c>
      <c r="C149">
        <v>-30</v>
      </c>
      <c r="D149" s="5">
        <f>ROUND(_xlfn.IFNA(VLOOKUP(A149,'Weapon Formulas'!$E$10:$Q$115,11,0),weapon_components!H149),2)</f>
        <v>0.5</v>
      </c>
      <c r="E149" s="5">
        <f>ROUND(_xlfn.IFNA(VLOOKUP(A149,'Weapon Formulas'!$E$10:$Q$115,12,0),weapon_components!H149),2)</f>
        <v>0.5</v>
      </c>
      <c r="F149" s="5">
        <f>ROUND(_xlfn.IFNA(VLOOKUP(A149,'Weapon Formulas'!$E$10:$L$115,8,0),weapon_components!H149),2)</f>
        <v>0.5</v>
      </c>
      <c r="G149" s="5">
        <f>ROUND(_xlfn.IFNA(VLOOKUP(A149,'Weapon Formulas'!$E$10:$P$115,9,0),weapon_components!H149),2)</f>
        <v>0.5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Formulas'!$E$10:$Z$115,15,0),weapon_components!H149),2)</f>
        <v>0.5</v>
      </c>
      <c r="M149">
        <v>0.65</v>
      </c>
      <c r="N149">
        <v>0</v>
      </c>
    </row>
    <row r="150" spans="1:14" x14ac:dyDescent="0.25">
      <c r="A150" s="17" t="s">
        <v>186</v>
      </c>
      <c r="B150">
        <v>10</v>
      </c>
      <c r="C150">
        <v>-10</v>
      </c>
      <c r="D150" s="5">
        <f>ROUND(_xlfn.IFNA(VLOOKUP(A150,'Weapon Formulas'!$E$10:$Q$115,11,0),weapon_components!H150),2)</f>
        <v>0.5</v>
      </c>
      <c r="E150" s="5">
        <f>ROUND(_xlfn.IFNA(VLOOKUP(A150,'Weapon Formulas'!$E$10:$Q$115,12,0),weapon_components!H150),2)</f>
        <v>0.5</v>
      </c>
      <c r="F150" s="5">
        <f>ROUND(_xlfn.IFNA(VLOOKUP(A150,'Weapon Formulas'!$E$10:$L$115,8,0),weapon_components!H150),2)</f>
        <v>0.5</v>
      </c>
      <c r="G150" s="5">
        <f>ROUND(_xlfn.IFNA(VLOOKUP(A150,'Weapon Formulas'!$E$10:$P$115,9,0),weapon_components!H150),2)</f>
        <v>0.5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Formulas'!$E$10:$Z$115,15,0),weapon_components!H150),2)</f>
        <v>0.5</v>
      </c>
      <c r="M150">
        <v>0.75</v>
      </c>
      <c r="N150">
        <v>0</v>
      </c>
    </row>
    <row r="151" spans="1:14" x14ac:dyDescent="0.25">
      <c r="A151" s="17" t="s">
        <v>187</v>
      </c>
      <c r="B151">
        <v>20</v>
      </c>
      <c r="C151">
        <v>-20</v>
      </c>
      <c r="D151" s="5">
        <f>ROUND(_xlfn.IFNA(VLOOKUP(A151,'Weapon Formulas'!$E$10:$Q$115,11,0),weapon_components!H151),2)</f>
        <v>0.5</v>
      </c>
      <c r="E151" s="5">
        <f>ROUND(_xlfn.IFNA(VLOOKUP(A151,'Weapon Formulas'!$E$10:$Q$115,12,0),weapon_components!H151),2)</f>
        <v>0.5</v>
      </c>
      <c r="F151" s="5">
        <f>ROUND(_xlfn.IFNA(VLOOKUP(A151,'Weapon Formulas'!$E$10:$L$115,8,0),weapon_components!H151),2)</f>
        <v>0.5</v>
      </c>
      <c r="G151" s="5">
        <f>ROUND(_xlfn.IFNA(VLOOKUP(A151,'Weapon Formulas'!$E$10:$P$115,9,0),weapon_components!H151),2)</f>
        <v>0.5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Formulas'!$E$10:$Z$115,15,0),weapon_components!H151),2)</f>
        <v>0.5</v>
      </c>
      <c r="M151">
        <v>0.7</v>
      </c>
      <c r="N151">
        <v>0</v>
      </c>
    </row>
    <row r="152" spans="1:14" x14ac:dyDescent="0.25">
      <c r="A152" s="17" t="s">
        <v>188</v>
      </c>
      <c r="B152">
        <v>40</v>
      </c>
      <c r="C152">
        <v>-40</v>
      </c>
      <c r="D152" s="5">
        <f>ROUND(_xlfn.IFNA(VLOOKUP(A152,'Weapon Formulas'!$E$10:$Q$115,11,0),weapon_components!H152),2)</f>
        <v>0.5</v>
      </c>
      <c r="E152" s="5">
        <f>ROUND(_xlfn.IFNA(VLOOKUP(A152,'Weapon Formulas'!$E$10:$Q$115,12,0),weapon_components!H152),2)</f>
        <v>0.5</v>
      </c>
      <c r="F152" s="5">
        <f>ROUND(_xlfn.IFNA(VLOOKUP(A152,'Weapon Formulas'!$E$10:$L$115,8,0),weapon_components!H152),2)</f>
        <v>0.5</v>
      </c>
      <c r="G152" s="5">
        <f>ROUND(_xlfn.IFNA(VLOOKUP(A152,'Weapon Formulas'!$E$10:$P$115,9,0),weapon_components!H152),2)</f>
        <v>0.5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Formulas'!$E$10:$Z$115,15,0),weapon_components!H152),2)</f>
        <v>0.5</v>
      </c>
      <c r="M152">
        <v>0.65</v>
      </c>
      <c r="N152">
        <v>0</v>
      </c>
    </row>
    <row r="153" spans="1:14" x14ac:dyDescent="0.25">
      <c r="A153" s="17" t="s">
        <v>189</v>
      </c>
      <c r="D153" s="5"/>
      <c r="E153" s="5"/>
      <c r="F153" s="5"/>
      <c r="G153" s="5"/>
      <c r="H153" s="5"/>
      <c r="L153" s="5"/>
    </row>
    <row r="154" spans="1:14" x14ac:dyDescent="0.25">
      <c r="A154" s="17" t="s">
        <v>190</v>
      </c>
      <c r="B154">
        <v>15</v>
      </c>
      <c r="C154">
        <v>-15</v>
      </c>
      <c r="D154" s="5">
        <f>ROUND(_xlfn.IFNA(VLOOKUP(A154,'Weapon Formulas'!$E$10:$Q$115,11,0),weapon_components!H154),2)</f>
        <v>1</v>
      </c>
      <c r="E154" s="5">
        <f>ROUND(_xlfn.IFNA(VLOOKUP(A154,'Weapon Formulas'!$E$10:$Q$115,12,0),weapon_components!H154),2)</f>
        <v>1</v>
      </c>
      <c r="F154" s="5">
        <f>ROUND(_xlfn.IFNA(VLOOKUP(A154,'Weapon Formulas'!$E$10:$L$115,8,0),weapon_components!H154),2)</f>
        <v>1</v>
      </c>
      <c r="G154" s="5">
        <f>ROUND(_xlfn.IFNA(VLOOKUP(A154,'Weapon Formulas'!$E$10:$P$115,9,0),weapon_components!H154),2)</f>
        <v>1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Formulas'!$E$10:$Z$115,15,0),weapon_components!H154),2)</f>
        <v>1</v>
      </c>
      <c r="M154">
        <v>0.85</v>
      </c>
      <c r="N154">
        <v>0</v>
      </c>
    </row>
    <row r="155" spans="1:14" x14ac:dyDescent="0.25">
      <c r="A155" s="17" t="s">
        <v>191</v>
      </c>
      <c r="B155">
        <v>5</v>
      </c>
      <c r="C155">
        <v>-5</v>
      </c>
      <c r="D155" s="5">
        <f>ROUND(_xlfn.IFNA(VLOOKUP(A155,'Weapon Formulas'!$E$10:$Q$115,11,0),weapon_components!H155),2)</f>
        <v>0.5</v>
      </c>
      <c r="E155" s="5">
        <f>ROUND(_xlfn.IFNA(VLOOKUP(A155,'Weapon Formulas'!$E$10:$Q$115,12,0),weapon_components!H155),2)</f>
        <v>0.5</v>
      </c>
      <c r="F155" s="5">
        <f>ROUND(_xlfn.IFNA(VLOOKUP(A155,'Weapon Formulas'!$E$10:$L$115,8,0),weapon_components!H155),2)</f>
        <v>0.5</v>
      </c>
      <c r="G155" s="5">
        <f>ROUND(_xlfn.IFNA(VLOOKUP(A155,'Weapon Formulas'!$E$10:$P$115,9,0),weapon_components!H155),2)</f>
        <v>0.5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Formulas'!$E$10:$Z$115,15,0),weapon_components!H155),2)</f>
        <v>0.5</v>
      </c>
      <c r="M155">
        <v>0.75</v>
      </c>
      <c r="N155">
        <v>0</v>
      </c>
    </row>
    <row r="156" spans="1:14" x14ac:dyDescent="0.25">
      <c r="A156" s="17" t="s">
        <v>192</v>
      </c>
      <c r="B156">
        <v>10</v>
      </c>
      <c r="C156">
        <v>-10</v>
      </c>
      <c r="D156" s="5">
        <f>ROUND(_xlfn.IFNA(VLOOKUP(A156,'Weapon Formulas'!$E$10:$Q$115,11,0),weapon_components!H156),2)</f>
        <v>0.5</v>
      </c>
      <c r="E156" s="5">
        <f>ROUND(_xlfn.IFNA(VLOOKUP(A156,'Weapon Formulas'!$E$10:$Q$115,12,0),weapon_components!H156),2)</f>
        <v>0.5</v>
      </c>
      <c r="F156" s="5">
        <f>ROUND(_xlfn.IFNA(VLOOKUP(A156,'Weapon Formulas'!$E$10:$L$115,8,0),weapon_components!H156),2)</f>
        <v>0.5</v>
      </c>
      <c r="G156" s="5">
        <f>ROUND(_xlfn.IFNA(VLOOKUP(A156,'Weapon Formulas'!$E$10:$P$115,9,0),weapon_components!H156),2)</f>
        <v>0.5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Formulas'!$E$10:$Z$115,15,0),weapon_components!H156),2)</f>
        <v>0.5</v>
      </c>
      <c r="M156">
        <v>0.7</v>
      </c>
      <c r="N156">
        <v>0</v>
      </c>
    </row>
    <row r="157" spans="1:14" x14ac:dyDescent="0.25">
      <c r="A157" s="17" t="s">
        <v>193</v>
      </c>
      <c r="B157">
        <v>20</v>
      </c>
      <c r="C157">
        <v>-20</v>
      </c>
      <c r="D157" s="5">
        <f>ROUND(_xlfn.IFNA(VLOOKUP(A157,'Weapon Formulas'!$E$10:$Q$115,11,0),weapon_components!H157),2)</f>
        <v>0.5</v>
      </c>
      <c r="E157" s="5">
        <f>ROUND(_xlfn.IFNA(VLOOKUP(A157,'Weapon Formulas'!$E$10:$Q$115,12,0),weapon_components!H157),2)</f>
        <v>0.5</v>
      </c>
      <c r="F157" s="5">
        <f>ROUND(_xlfn.IFNA(VLOOKUP(A157,'Weapon Formulas'!$E$10:$L$115,8,0),weapon_components!H157),2)</f>
        <v>0.5</v>
      </c>
      <c r="G157" s="5">
        <f>ROUND(_xlfn.IFNA(VLOOKUP(A157,'Weapon Formulas'!$E$10:$P$115,9,0),weapon_components!H157),2)</f>
        <v>0.5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Formulas'!$E$10:$Z$115,15,0),weapon_components!H157),2)</f>
        <v>0.5</v>
      </c>
      <c r="M157">
        <v>0.65</v>
      </c>
      <c r="N157">
        <v>0</v>
      </c>
    </row>
    <row r="158" spans="1:14" x14ac:dyDescent="0.25">
      <c r="A158" s="17" t="s">
        <v>194</v>
      </c>
      <c r="B158">
        <v>7.5</v>
      </c>
      <c r="C158">
        <v>-7.5</v>
      </c>
      <c r="D158" s="5">
        <f>ROUND(_xlfn.IFNA(VLOOKUP(A158,'Weapon Formulas'!$E$10:$Q$115,11,0),weapon_components!H158),2)</f>
        <v>0.25</v>
      </c>
      <c r="E158" s="5">
        <f>ROUND(_xlfn.IFNA(VLOOKUP(A158,'Weapon Formulas'!$E$10:$Q$115,12,0),weapon_components!H158),2)</f>
        <v>0.25</v>
      </c>
      <c r="F158" s="5">
        <f>ROUND(_xlfn.IFNA(VLOOKUP(A158,'Weapon Formulas'!$E$10:$L$115,8,0),weapon_components!H158),2)</f>
        <v>0.25</v>
      </c>
      <c r="G158" s="5">
        <f>ROUND(_xlfn.IFNA(VLOOKUP(A158,'Weapon Formulas'!$E$10:$P$115,9,0),weapon_components!H158),2)</f>
        <v>0.25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Formulas'!$E$10:$Z$115,15,0),weapon_components!H158),2)</f>
        <v>0.25</v>
      </c>
      <c r="M158">
        <v>0.75</v>
      </c>
      <c r="N158">
        <v>0</v>
      </c>
    </row>
    <row r="159" spans="1:14" x14ac:dyDescent="0.25">
      <c r="A159" s="17" t="s">
        <v>195</v>
      </c>
      <c r="B159">
        <v>15</v>
      </c>
      <c r="C159">
        <v>-15</v>
      </c>
      <c r="D159" s="5">
        <f>ROUND(_xlfn.IFNA(VLOOKUP(A159,'Weapon Formulas'!$E$10:$Q$115,11,0),weapon_components!H159),2)</f>
        <v>0.25</v>
      </c>
      <c r="E159" s="5">
        <f>ROUND(_xlfn.IFNA(VLOOKUP(A159,'Weapon Formulas'!$E$10:$Q$115,12,0),weapon_components!H159),2)</f>
        <v>0.25</v>
      </c>
      <c r="F159" s="5">
        <f>ROUND(_xlfn.IFNA(VLOOKUP(A159,'Weapon Formulas'!$E$10:$L$115,8,0),weapon_components!H159),2)</f>
        <v>0.25</v>
      </c>
      <c r="G159" s="5">
        <f>ROUND(_xlfn.IFNA(VLOOKUP(A159,'Weapon Formulas'!$E$10:$P$115,9,0),weapon_components!H159),2)</f>
        <v>0.25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Formulas'!$E$10:$Z$115,15,0),weapon_components!H159),2)</f>
        <v>0.25</v>
      </c>
      <c r="M159">
        <v>0.75</v>
      </c>
      <c r="N159">
        <v>0</v>
      </c>
    </row>
    <row r="160" spans="1:14" x14ac:dyDescent="0.25">
      <c r="A160" s="17" t="s">
        <v>196</v>
      </c>
      <c r="B160">
        <v>7.5</v>
      </c>
      <c r="C160">
        <v>-7.5</v>
      </c>
      <c r="D160" s="5">
        <f>ROUND(_xlfn.IFNA(VLOOKUP(A160,'Weapon Formulas'!$E$10:$Q$115,11,0),weapon_components!H160),2)</f>
        <v>1</v>
      </c>
      <c r="E160" s="5">
        <f>ROUND(_xlfn.IFNA(VLOOKUP(A160,'Weapon Formulas'!$E$10:$Q$115,12,0),weapon_components!H160),2)</f>
        <v>1</v>
      </c>
      <c r="F160" s="5">
        <f>ROUND(_xlfn.IFNA(VLOOKUP(A160,'Weapon Formulas'!$E$10:$L$115,8,0),weapon_components!H160),2)</f>
        <v>1</v>
      </c>
      <c r="G160" s="5">
        <f>ROUND(_xlfn.IFNA(VLOOKUP(A160,'Weapon Formulas'!$E$10:$P$115,9,0),weapon_components!H160),2)</f>
        <v>1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Formulas'!$E$10:$Z$115,15,0),weapon_components!H160),2)</f>
        <v>1</v>
      </c>
      <c r="M160">
        <v>0.75</v>
      </c>
      <c r="N160">
        <v>0</v>
      </c>
    </row>
    <row r="161" spans="1:14" x14ac:dyDescent="0.25">
      <c r="A161" s="17" t="s">
        <v>197</v>
      </c>
      <c r="B161">
        <v>15</v>
      </c>
      <c r="C161">
        <v>-15</v>
      </c>
      <c r="D161" s="5">
        <f>ROUND(_xlfn.IFNA(VLOOKUP(A161,'Weapon Formulas'!$E$10:$Q$115,11,0),weapon_components!H161),2)</f>
        <v>1</v>
      </c>
      <c r="E161" s="5">
        <f>ROUND(_xlfn.IFNA(VLOOKUP(A161,'Weapon Formulas'!$E$10:$Q$115,12,0),weapon_components!H161),2)</f>
        <v>1</v>
      </c>
      <c r="F161" s="5">
        <f>ROUND(_xlfn.IFNA(VLOOKUP(A161,'Weapon Formulas'!$E$10:$L$115,8,0),weapon_components!H161),2)</f>
        <v>1</v>
      </c>
      <c r="G161" s="5">
        <f>ROUND(_xlfn.IFNA(VLOOKUP(A161,'Weapon Formulas'!$E$10:$P$115,9,0),weapon_components!H161),2)</f>
        <v>1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Formulas'!$E$10:$Z$115,15,0),weapon_components!H161),2)</f>
        <v>1</v>
      </c>
      <c r="M161">
        <v>0.7</v>
      </c>
      <c r="N161">
        <v>0</v>
      </c>
    </row>
    <row r="162" spans="1:14" x14ac:dyDescent="0.25">
      <c r="A162" s="17" t="s">
        <v>198</v>
      </c>
      <c r="D162" s="5"/>
      <c r="E162" s="5"/>
      <c r="F162" s="5"/>
      <c r="G162" s="5"/>
      <c r="H162" s="5"/>
      <c r="L162" s="5"/>
    </row>
    <row r="163" spans="1:14" x14ac:dyDescent="0.25">
      <c r="A163" s="17" t="s">
        <v>199</v>
      </c>
      <c r="B163">
        <v>15</v>
      </c>
      <c r="C163">
        <v>-15</v>
      </c>
      <c r="D163" s="5">
        <f>ROUND(_xlfn.IFNA(VLOOKUP(A163,'Weapon Formulas'!$E$10:$Q$115,11,0),weapon_components!H163),2)</f>
        <v>0.5</v>
      </c>
      <c r="E163" s="5">
        <f>ROUND(_xlfn.IFNA(VLOOKUP(A163,'Weapon Formulas'!$E$10:$Q$115,12,0),weapon_components!H163),2)</f>
        <v>0.5</v>
      </c>
      <c r="F163" s="5">
        <f>ROUND(_xlfn.IFNA(VLOOKUP(A163,'Weapon Formulas'!$E$10:$L$115,8,0),weapon_components!H163),2)</f>
        <v>0.5</v>
      </c>
      <c r="G163" s="5">
        <f>ROUND(_xlfn.IFNA(VLOOKUP(A163,'Weapon Formulas'!$E$10:$P$115,9,0),weapon_components!H163),2)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Formulas'!$E$10:$Z$115,15,0),weapon_components!H163),2)</f>
        <v>0.5</v>
      </c>
      <c r="M163">
        <v>0.78</v>
      </c>
      <c r="N163">
        <v>0</v>
      </c>
    </row>
    <row r="164" spans="1:14" x14ac:dyDescent="0.25">
      <c r="A164" s="17" t="s">
        <v>200</v>
      </c>
      <c r="B164">
        <v>30</v>
      </c>
      <c r="C164">
        <v>-30</v>
      </c>
      <c r="D164" s="5">
        <f>ROUND(_xlfn.IFNA(VLOOKUP(A164,'Weapon Formulas'!$E$10:$Q$115,11,0),weapon_components!H164),2)</f>
        <v>0.5</v>
      </c>
      <c r="E164" s="5">
        <f>ROUND(_xlfn.IFNA(VLOOKUP(A164,'Weapon Formulas'!$E$10:$Q$115,12,0),weapon_components!H164),2)</f>
        <v>0.5</v>
      </c>
      <c r="F164" s="5">
        <f>ROUND(_xlfn.IFNA(VLOOKUP(A164,'Weapon Formulas'!$E$10:$L$115,8,0),weapon_components!H164),2)</f>
        <v>0.5</v>
      </c>
      <c r="G164" s="5">
        <f>ROUND(_xlfn.IFNA(VLOOKUP(A164,'Weapon Formulas'!$E$10:$P$115,9,0),weapon_components!H164),2)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Formulas'!$E$10:$Z$115,15,0),weapon_components!H164),2)</f>
        <v>0.5</v>
      </c>
      <c r="M164">
        <v>0.75</v>
      </c>
      <c r="N164">
        <v>0</v>
      </c>
    </row>
    <row r="165" spans="1:14" x14ac:dyDescent="0.25">
      <c r="A165" s="17" t="s">
        <v>201</v>
      </c>
      <c r="B165">
        <v>60</v>
      </c>
      <c r="C165">
        <v>-60</v>
      </c>
      <c r="D165" s="5">
        <f>ROUND(_xlfn.IFNA(VLOOKUP(A165,'Weapon Formulas'!$E$10:$Q$115,11,0),weapon_components!H165),2)</f>
        <v>0.5</v>
      </c>
      <c r="E165" s="5">
        <f>ROUND(_xlfn.IFNA(VLOOKUP(A165,'Weapon Formulas'!$E$10:$Q$115,12,0),weapon_components!H165),2)</f>
        <v>0.5</v>
      </c>
      <c r="F165" s="5">
        <f>ROUND(_xlfn.IFNA(VLOOKUP(A165,'Weapon Formulas'!$E$10:$L$115,8,0),weapon_components!H165),2)</f>
        <v>0.5</v>
      </c>
      <c r="G165" s="5">
        <f>ROUND(_xlfn.IFNA(VLOOKUP(A165,'Weapon Formulas'!$E$10:$P$115,9,0),weapon_components!H165),2)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Formulas'!$E$10:$Z$115,15,0),weapon_components!H165),2)</f>
        <v>0.5</v>
      </c>
      <c r="M165">
        <v>0.74</v>
      </c>
      <c r="N165">
        <v>0</v>
      </c>
    </row>
    <row r="166" spans="1:14" x14ac:dyDescent="0.25">
      <c r="A166" s="17" t="s">
        <v>202</v>
      </c>
      <c r="D166" s="5"/>
      <c r="E166" s="5"/>
      <c r="F166" s="5"/>
      <c r="G166" s="5"/>
      <c r="H166" s="5"/>
      <c r="L166" s="5"/>
    </row>
    <row r="167" spans="1:14" x14ac:dyDescent="0.25">
      <c r="A167" s="17" t="s">
        <v>203</v>
      </c>
      <c r="B167">
        <v>0</v>
      </c>
      <c r="C167">
        <v>0</v>
      </c>
      <c r="D167" s="5">
        <f>ROUND(_xlfn.IFNA(VLOOKUP(A167,'Weapon Formulas'!$E$10:$Q$115,11,0),weapon_components!H167),2)</f>
        <v>0</v>
      </c>
      <c r="E167" s="5">
        <f>ROUND(_xlfn.IFNA(VLOOKUP(A167,'Weapon Formulas'!$E$10:$Q$115,12,0),weapon_components!H167),2)</f>
        <v>0</v>
      </c>
      <c r="F167" s="5">
        <f>ROUND(_xlfn.IFNA(VLOOKUP(A167,'Weapon Formulas'!$E$10:$L$115,8,0),weapon_components!H167),2)</f>
        <v>0</v>
      </c>
      <c r="G167" s="5">
        <f>ROUND(_xlfn.IFNA(VLOOKUP(A167,'Weapon Formulas'!$E$10:$P$115,9,0),weapon_components!H167),2)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Formulas'!$E$10:$Z$115,15,0),weapon_components!H167),2)</f>
        <v>0</v>
      </c>
      <c r="M167">
        <v>1</v>
      </c>
      <c r="N167">
        <v>5</v>
      </c>
    </row>
    <row r="168" spans="1:14" x14ac:dyDescent="0.25">
      <c r="A168" s="17" t="s">
        <v>204</v>
      </c>
      <c r="B168">
        <v>0</v>
      </c>
      <c r="C168">
        <v>0</v>
      </c>
      <c r="D168" s="5">
        <f>ROUND(_xlfn.IFNA(VLOOKUP(A168,'Weapon Formulas'!$E$10:$Q$115,11,0),weapon_components!H168),2)</f>
        <v>0</v>
      </c>
      <c r="E168" s="5">
        <f>ROUND(_xlfn.IFNA(VLOOKUP(A168,'Weapon Formulas'!$E$10:$Q$115,12,0),weapon_components!H168),2)</f>
        <v>0</v>
      </c>
      <c r="F168" s="5">
        <f>ROUND(_xlfn.IFNA(VLOOKUP(A168,'Weapon Formulas'!$E$10:$L$115,8,0),weapon_components!H168),2)</f>
        <v>0</v>
      </c>
      <c r="G168" s="5">
        <f>ROUND(_xlfn.IFNA(VLOOKUP(A168,'Weapon Formulas'!$E$10:$P$115,9,0),weapon_components!H168),2)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Formulas'!$E$10:$Z$115,15,0),weapon_components!H168),2)</f>
        <v>0</v>
      </c>
      <c r="M168">
        <v>1</v>
      </c>
      <c r="N168">
        <v>5</v>
      </c>
    </row>
    <row r="169" spans="1:14" x14ac:dyDescent="0.25">
      <c r="A169" s="17" t="s">
        <v>205</v>
      </c>
      <c r="B169">
        <v>0</v>
      </c>
      <c r="C169">
        <v>0</v>
      </c>
      <c r="D169" s="5">
        <f>ROUND(_xlfn.IFNA(VLOOKUP(A169,'Weapon Formulas'!$E$10:$Q$115,11,0),weapon_components!H169),2)</f>
        <v>0</v>
      </c>
      <c r="E169" s="5">
        <f>ROUND(_xlfn.IFNA(VLOOKUP(A169,'Weapon Formulas'!$E$10:$Q$115,12,0),weapon_components!H169),2)</f>
        <v>0</v>
      </c>
      <c r="F169" s="5">
        <f>ROUND(_xlfn.IFNA(VLOOKUP(A169,'Weapon Formulas'!$E$10:$L$115,8,0),weapon_components!H169),2)</f>
        <v>0</v>
      </c>
      <c r="G169" s="5">
        <f>ROUND(_xlfn.IFNA(VLOOKUP(A169,'Weapon Formulas'!$E$10:$P$115,9,0),weapon_components!H169),2)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Formulas'!$E$10:$Z$115,15,0),weapon_components!H169),2)</f>
        <v>0</v>
      </c>
      <c r="M169">
        <v>1</v>
      </c>
      <c r="N169">
        <v>5</v>
      </c>
    </row>
    <row r="170" spans="1:14" x14ac:dyDescent="0.25">
      <c r="A170" s="17" t="s">
        <v>206</v>
      </c>
      <c r="B170">
        <v>50</v>
      </c>
      <c r="C170">
        <v>-50</v>
      </c>
      <c r="D170" s="5">
        <f>ROUND(_xlfn.IFNA(VLOOKUP(A170,'Weapon Formulas'!$E$10:$Q$115,11,0),weapon_components!H170),2)</f>
        <v>0</v>
      </c>
      <c r="E170" s="5">
        <f>ROUND(_xlfn.IFNA(VLOOKUP(A170,'Weapon Formulas'!$E$10:$Q$115,12,0),weapon_components!H170),2)</f>
        <v>0</v>
      </c>
      <c r="F170" s="5">
        <f>ROUND(_xlfn.IFNA(VLOOKUP(A170,'Weapon Formulas'!$E$10:$L$115,8,0),weapon_components!H170),2)</f>
        <v>0</v>
      </c>
      <c r="G170" s="5">
        <f>ROUND(_xlfn.IFNA(VLOOKUP(A170,'Weapon Formulas'!$E$10:$P$115,9,0),weapon_components!H170),2)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Formulas'!$E$10:$Z$115,15,0),weapon_components!H170),2)</f>
        <v>0</v>
      </c>
      <c r="M170">
        <v>1</v>
      </c>
      <c r="N170">
        <v>5</v>
      </c>
    </row>
    <row r="171" spans="1:14" x14ac:dyDescent="0.25">
      <c r="A171" s="17" t="s">
        <v>207</v>
      </c>
      <c r="B171">
        <v>12.5</v>
      </c>
      <c r="C171">
        <v>-12.5</v>
      </c>
      <c r="D171" s="5">
        <f>ROUND(_xlfn.IFNA(VLOOKUP(A171,'Weapon Formulas'!$E$10:$Q$115,11,0),weapon_components!H171),2)</f>
        <v>0</v>
      </c>
      <c r="E171" s="5">
        <f>ROUND(_xlfn.IFNA(VLOOKUP(A171,'Weapon Formulas'!$E$10:$Q$115,12,0),weapon_components!H171),2)</f>
        <v>0</v>
      </c>
      <c r="F171" s="5">
        <f>ROUND(_xlfn.IFNA(VLOOKUP(A171,'Weapon Formulas'!$E$10:$L$115,8,0),weapon_components!H171),2)</f>
        <v>0</v>
      </c>
      <c r="G171" s="5">
        <f>ROUND(_xlfn.IFNA(VLOOKUP(A171,'Weapon Formulas'!$E$10:$P$115,9,0),weapon_components!H171),2)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Formulas'!$E$10:$Z$115,15,0),weapon_components!H171),2)</f>
        <v>0</v>
      </c>
      <c r="M171">
        <v>0.75</v>
      </c>
      <c r="N171">
        <v>0</v>
      </c>
    </row>
    <row r="172" spans="1:14" x14ac:dyDescent="0.25">
      <c r="A172" s="17" t="s">
        <v>208</v>
      </c>
      <c r="B172">
        <v>25</v>
      </c>
      <c r="C172">
        <v>-25</v>
      </c>
      <c r="D172" s="5">
        <f>ROUND(_xlfn.IFNA(VLOOKUP(A172,'Weapon Formulas'!$E$10:$Q$115,11,0),weapon_components!H172),2)</f>
        <v>0</v>
      </c>
      <c r="E172" s="5">
        <f>ROUND(_xlfn.IFNA(VLOOKUP(A172,'Weapon Formulas'!$E$10:$Q$115,12,0),weapon_components!H172),2)</f>
        <v>0</v>
      </c>
      <c r="F172" s="5">
        <f>ROUND(_xlfn.IFNA(VLOOKUP(A172,'Weapon Formulas'!$E$10:$L$115,8,0),weapon_components!H172),2)</f>
        <v>0</v>
      </c>
      <c r="G172" s="5">
        <f>ROUND(_xlfn.IFNA(VLOOKUP(A172,'Weapon Formulas'!$E$10:$P$115,9,0),weapon_components!H172),2)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Formulas'!$E$10:$Z$115,15,0),weapon_components!H172),2)</f>
        <v>0</v>
      </c>
      <c r="M172">
        <v>0.75</v>
      </c>
      <c r="N172">
        <v>0</v>
      </c>
    </row>
    <row r="173" spans="1:14" x14ac:dyDescent="0.25">
      <c r="A173" s="17" t="s">
        <v>209</v>
      </c>
      <c r="D173" s="5"/>
      <c r="E173" s="5"/>
      <c r="F173" s="5"/>
      <c r="G173" s="5"/>
      <c r="H173" s="5"/>
      <c r="L173" s="5"/>
    </row>
    <row r="174" spans="1:14" x14ac:dyDescent="0.25">
      <c r="A174" s="17" t="s">
        <v>210</v>
      </c>
      <c r="B174">
        <v>0</v>
      </c>
      <c r="C174">
        <v>0</v>
      </c>
      <c r="D174" s="5">
        <f>ROUND(_xlfn.IFNA(VLOOKUP(A174,'Weapon Formulas'!$E$10:$Q$115,11,0),weapon_components!H174),2)</f>
        <v>1</v>
      </c>
      <c r="E174" s="5">
        <f>ROUND(_xlfn.IFNA(VLOOKUP(A174,'Weapon Formulas'!$E$10:$Q$115,12,0),weapon_components!H174),2)</f>
        <v>1</v>
      </c>
      <c r="F174" s="5">
        <f>ROUND(_xlfn.IFNA(VLOOKUP(A174,'Weapon Formulas'!$E$10:$L$115,8,0),weapon_components!H174),2)</f>
        <v>1</v>
      </c>
      <c r="G174" s="5">
        <f>ROUND(_xlfn.IFNA(VLOOKUP(A174,'Weapon Formulas'!$E$10:$P$115,9,0),weapon_components!H174),2)</f>
        <v>1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Formulas'!$E$10:$Z$115,15,0),weapon_components!H174),2)</f>
        <v>1</v>
      </c>
      <c r="M174">
        <v>0.9</v>
      </c>
      <c r="N174">
        <v>0</v>
      </c>
    </row>
    <row r="175" spans="1:14" x14ac:dyDescent="0.25">
      <c r="A175" s="17" t="s">
        <v>211</v>
      </c>
      <c r="D175" s="5"/>
      <c r="E175" s="5"/>
      <c r="F175" s="5"/>
      <c r="G175" s="5"/>
      <c r="H175" s="5"/>
      <c r="L175" s="5"/>
    </row>
    <row r="176" spans="1:14" x14ac:dyDescent="0.25">
      <c r="A176" s="17" t="s">
        <v>212</v>
      </c>
      <c r="B176">
        <v>5</v>
      </c>
      <c r="C176">
        <v>-5</v>
      </c>
      <c r="D176" s="5">
        <f>ROUND(_xlfn.IFNA(VLOOKUP(A176,'Weapon Formulas'!$E$10:$Q$115,11,0),weapon_components!H176),2)</f>
        <v>0</v>
      </c>
      <c r="E176" s="5">
        <f>ROUND(_xlfn.IFNA(VLOOKUP(A176,'Weapon Formulas'!$E$10:$Q$115,12,0),weapon_components!H176),2)</f>
        <v>0</v>
      </c>
      <c r="F176" s="5">
        <f>ROUND(_xlfn.IFNA(VLOOKUP(A176,'Weapon Formulas'!$E$10:$L$115,8,0),weapon_components!H176),2)</f>
        <v>0</v>
      </c>
      <c r="G176" s="5">
        <f>ROUND(_xlfn.IFNA(VLOOKUP(A176,'Weapon Formulas'!$E$10:$P$115,9,0),weapon_components!H176),2)</f>
        <v>0</v>
      </c>
      <c r="H176" s="5">
        <f>ROUND(_xlfn.IFNA(VLOOKUP(A176,'Weapon Formulas'!$E$10:$L$115,7,0),weapon_components!H176),2)</f>
        <v>0</v>
      </c>
      <c r="I176">
        <v>1</v>
      </c>
      <c r="J176">
        <v>3</v>
      </c>
      <c r="K176">
        <v>7</v>
      </c>
      <c r="L176" s="5">
        <f>ROUND(_xlfn.IFNA(VLOOKUP(A176,'Weapon Formulas'!$E$10:$Z$115,15,0),weapon_components!H176),2)</f>
        <v>0</v>
      </c>
      <c r="M176">
        <v>0.4</v>
      </c>
      <c r="N176">
        <v>0</v>
      </c>
    </row>
    <row r="177" spans="1:14" x14ac:dyDescent="0.25">
      <c r="A177" s="17" t="s">
        <v>213</v>
      </c>
      <c r="B177">
        <v>7.5</v>
      </c>
      <c r="C177">
        <v>-7.5</v>
      </c>
      <c r="D177" s="5">
        <f>ROUND(_xlfn.IFNA(VLOOKUP(A177,'Weapon Formulas'!$E$10:$Q$115,11,0),weapon_components!H177),2)</f>
        <v>0</v>
      </c>
      <c r="E177" s="5">
        <f>ROUND(_xlfn.IFNA(VLOOKUP(A177,'Weapon Formulas'!$E$10:$Q$115,12,0),weapon_components!H177),2)</f>
        <v>0</v>
      </c>
      <c r="F177" s="5">
        <f>ROUND(_xlfn.IFNA(VLOOKUP(A177,'Weapon Formulas'!$E$10:$L$115,8,0),weapon_components!H177),2)</f>
        <v>0</v>
      </c>
      <c r="G177" s="5">
        <f>ROUND(_xlfn.IFNA(VLOOKUP(A177,'Weapon Formulas'!$E$10:$P$115,9,0),weapon_components!H177),2)</f>
        <v>0</v>
      </c>
      <c r="H177" s="5">
        <f>ROUND(_xlfn.IFNA(VLOOKUP(A177,'Weapon Formulas'!$E$10:$L$115,7,0),weapon_components!H177),2)</f>
        <v>0</v>
      </c>
      <c r="I177">
        <v>1</v>
      </c>
      <c r="J177">
        <v>3</v>
      </c>
      <c r="K177">
        <v>7</v>
      </c>
      <c r="L177" s="5">
        <f>ROUND(_xlfn.IFNA(VLOOKUP(A177,'Weapon Formulas'!$E$10:$Z$115,15,0),weapon_components!H177),2)</f>
        <v>0</v>
      </c>
      <c r="M177">
        <v>0.4</v>
      </c>
      <c r="N177">
        <v>0</v>
      </c>
    </row>
    <row r="178" spans="1:14" x14ac:dyDescent="0.25">
      <c r="A178" s="17" t="s">
        <v>214</v>
      </c>
      <c r="B178">
        <v>10</v>
      </c>
      <c r="C178">
        <v>-10</v>
      </c>
      <c r="D178" s="5">
        <f>ROUND(_xlfn.IFNA(VLOOKUP(A178,'Weapon Formulas'!$E$10:$Q$115,11,0),weapon_components!H178),2)</f>
        <v>0</v>
      </c>
      <c r="E178" s="5">
        <f>ROUND(_xlfn.IFNA(VLOOKUP(A178,'Weapon Formulas'!$E$10:$Q$115,12,0),weapon_components!H178),2)</f>
        <v>0</v>
      </c>
      <c r="F178" s="5">
        <f>ROUND(_xlfn.IFNA(VLOOKUP(A178,'Weapon Formulas'!$E$10:$L$115,8,0),weapon_components!H178),2)</f>
        <v>0</v>
      </c>
      <c r="G178" s="5">
        <f>ROUND(_xlfn.IFNA(VLOOKUP(A178,'Weapon Formulas'!$E$10:$P$115,9,0),weapon_components!H178),2)</f>
        <v>0</v>
      </c>
      <c r="H178" s="5">
        <f>ROUND(_xlfn.IFNA(VLOOKUP(A178,'Weapon Formulas'!$E$10:$L$115,7,0),weapon_components!H178),2)</f>
        <v>0</v>
      </c>
      <c r="I178">
        <v>1</v>
      </c>
      <c r="J178">
        <v>3</v>
      </c>
      <c r="K178">
        <v>7</v>
      </c>
      <c r="L178" s="5">
        <f>ROUND(_xlfn.IFNA(VLOOKUP(A178,'Weapon Formulas'!$E$10:$Z$115,15,0),weapon_components!H178),2)</f>
        <v>0</v>
      </c>
      <c r="M178">
        <v>0.4</v>
      </c>
      <c r="N178">
        <v>0</v>
      </c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weapon_components</vt:lpstr>
      <vt:lpstr>Weapon Formulas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2016-05-17T17:32:14Z</dcterms:modified>
</cp:coreProperties>
</file>