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firstSheet="1" activeTab="3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4" i="3"/>
  <c r="C25" i="3"/>
  <c r="C26" i="3"/>
  <c r="C28" i="3"/>
  <c r="C29" i="3"/>
  <c r="C31" i="3"/>
  <c r="C32" i="3"/>
  <c r="C33" i="3"/>
  <c r="C34" i="3"/>
  <c r="C35" i="3"/>
  <c r="C36" i="3"/>
  <c r="C37" i="3"/>
  <c r="C38" i="3"/>
  <c r="C39" i="3"/>
  <c r="C41" i="3"/>
  <c r="C42" i="3"/>
  <c r="C44" i="3"/>
  <c r="C45" i="3"/>
  <c r="C46" i="3"/>
  <c r="C47" i="3"/>
  <c r="C48" i="3"/>
  <c r="C49" i="3"/>
  <c r="C50" i="3"/>
  <c r="C51" i="3"/>
  <c r="C52" i="3"/>
  <c r="C54" i="3"/>
  <c r="C55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3" i="3"/>
  <c r="C74" i="3"/>
  <c r="C75" i="3"/>
  <c r="C77" i="3"/>
  <c r="C78" i="3"/>
  <c r="C80" i="3"/>
  <c r="C81" i="3"/>
  <c r="C82" i="3"/>
  <c r="C83" i="3"/>
  <c r="C84" i="3"/>
  <c r="C85" i="3"/>
  <c r="C86" i="3"/>
  <c r="C87" i="3"/>
  <c r="C88" i="3"/>
  <c r="C90" i="3"/>
  <c r="C91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9" i="3"/>
  <c r="C110" i="3"/>
  <c r="C111" i="3"/>
  <c r="C113" i="3"/>
  <c r="C114" i="3"/>
  <c r="C115" i="3"/>
  <c r="C116" i="3"/>
  <c r="C117" i="3"/>
  <c r="C118" i="3"/>
  <c r="C119" i="3"/>
  <c r="C120" i="3"/>
  <c r="C121" i="3"/>
  <c r="C123" i="3"/>
  <c r="C124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C176" i="3"/>
  <c r="C177" i="3"/>
  <c r="C178" i="3"/>
  <c r="C8" i="3"/>
  <c r="D8" i="3"/>
  <c r="U44" i="2"/>
  <c r="U45" i="2"/>
  <c r="U46" i="2"/>
  <c r="U47" i="2"/>
  <c r="U48" i="2"/>
  <c r="U49" i="2"/>
  <c r="U50" i="2"/>
  <c r="U51" i="2"/>
  <c r="U43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7" i="2"/>
  <c r="U28" i="2"/>
  <c r="U30" i="2"/>
  <c r="U31" i="2"/>
  <c r="U32" i="2"/>
  <c r="U33" i="2"/>
  <c r="U34" i="2"/>
  <c r="U35" i="2"/>
  <c r="U36" i="2"/>
  <c r="U37" i="2"/>
  <c r="U38" i="2"/>
  <c r="U40" i="2"/>
  <c r="U41" i="2"/>
  <c r="U53" i="2"/>
  <c r="U54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2" i="2"/>
  <c r="U73" i="2"/>
  <c r="U75" i="2"/>
  <c r="U76" i="2"/>
  <c r="U77" i="2"/>
  <c r="U78" i="2"/>
  <c r="U79" i="2"/>
  <c r="U80" i="2"/>
  <c r="U81" i="2"/>
  <c r="U82" i="2"/>
  <c r="U83" i="2"/>
  <c r="U85" i="2"/>
  <c r="U86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4" i="2"/>
  <c r="U105" i="2"/>
  <c r="U106" i="2"/>
  <c r="U107" i="2"/>
  <c r="U108" i="2"/>
  <c r="U109" i="2"/>
  <c r="U110" i="2"/>
  <c r="U111" i="2"/>
  <c r="U112" i="2"/>
  <c r="U114" i="2"/>
  <c r="U115" i="2"/>
  <c r="U117" i="2"/>
  <c r="U118" i="2"/>
  <c r="U119" i="2"/>
  <c r="U11" i="2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U107" i="3" l="1"/>
  <c r="D176" i="3"/>
  <c r="L24" i="3"/>
  <c r="L25" i="3"/>
  <c r="L26" i="3"/>
  <c r="L73" i="3"/>
  <c r="L74" i="3"/>
  <c r="L75" i="3"/>
  <c r="L91" i="3"/>
  <c r="L109" i="3"/>
  <c r="L110" i="3"/>
  <c r="L111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S117" i="2"/>
  <c r="S118" i="2"/>
  <c r="A118" i="2" s="1"/>
  <c r="S119" i="2"/>
  <c r="A119" i="2" s="1"/>
  <c r="S105" i="2"/>
  <c r="L114" i="3" s="1"/>
  <c r="S106" i="2"/>
  <c r="L115" i="3" s="1"/>
  <c r="S107" i="2"/>
  <c r="L116" i="3" s="1"/>
  <c r="S108" i="2"/>
  <c r="L117" i="3" s="1"/>
  <c r="S109" i="2"/>
  <c r="L118" i="3" s="1"/>
  <c r="S110" i="2"/>
  <c r="L119" i="3" s="1"/>
  <c r="S111" i="2"/>
  <c r="S112" i="2"/>
  <c r="S104" i="2"/>
  <c r="L113" i="3" s="1"/>
  <c r="S115" i="2"/>
  <c r="L124" i="3" s="1"/>
  <c r="S114" i="2"/>
  <c r="L123" i="3" s="1"/>
  <c r="S44" i="2"/>
  <c r="L45" i="3" s="1"/>
  <c r="S45" i="2"/>
  <c r="S46" i="2"/>
  <c r="L47" i="3" s="1"/>
  <c r="S47" i="2"/>
  <c r="S48" i="2"/>
  <c r="L49" i="3" s="1"/>
  <c r="S49" i="2"/>
  <c r="S50" i="2"/>
  <c r="L51" i="3" s="1"/>
  <c r="S51" i="2"/>
  <c r="S43" i="2"/>
  <c r="L44" i="3" s="1"/>
  <c r="R43" i="2"/>
  <c r="S89" i="2"/>
  <c r="L94" i="3" s="1"/>
  <c r="S90" i="2"/>
  <c r="L95" i="3" s="1"/>
  <c r="S91" i="2"/>
  <c r="L96" i="3" s="1"/>
  <c r="S92" i="2"/>
  <c r="S93" i="2"/>
  <c r="S94" i="2"/>
  <c r="L99" i="3" s="1"/>
  <c r="S95" i="2"/>
  <c r="L100" i="3" s="1"/>
  <c r="S96" i="2"/>
  <c r="S97" i="2"/>
  <c r="S98" i="2"/>
  <c r="L103" i="3" s="1"/>
  <c r="S99" i="2"/>
  <c r="L104" i="3" s="1"/>
  <c r="S100" i="2"/>
  <c r="L105" i="3" s="1"/>
  <c r="S101" i="2"/>
  <c r="L106" i="3" s="1"/>
  <c r="S102" i="2"/>
  <c r="L107" i="3" s="1"/>
  <c r="S88" i="2"/>
  <c r="S76" i="2"/>
  <c r="L81" i="3" s="1"/>
  <c r="S77" i="2"/>
  <c r="L82" i="3" s="1"/>
  <c r="S78" i="2"/>
  <c r="L83" i="3" s="1"/>
  <c r="S79" i="2"/>
  <c r="L84" i="3" s="1"/>
  <c r="S80" i="2"/>
  <c r="L85" i="3" s="1"/>
  <c r="S81" i="2"/>
  <c r="L86" i="3" s="1"/>
  <c r="S82" i="2"/>
  <c r="L87" i="3" s="1"/>
  <c r="S83" i="2"/>
  <c r="S75" i="2"/>
  <c r="L80" i="3" s="1"/>
  <c r="S73" i="2"/>
  <c r="S72" i="2"/>
  <c r="S57" i="2"/>
  <c r="L58" i="3" s="1"/>
  <c r="S58" i="2"/>
  <c r="L59" i="3" s="1"/>
  <c r="S59" i="2"/>
  <c r="L60" i="3" s="1"/>
  <c r="S60" i="2"/>
  <c r="S61" i="2"/>
  <c r="L62" i="3" s="1"/>
  <c r="S62" i="2"/>
  <c r="L63" i="3" s="1"/>
  <c r="S63" i="2"/>
  <c r="L64" i="3" s="1"/>
  <c r="S64" i="2"/>
  <c r="S65" i="2"/>
  <c r="S66" i="2"/>
  <c r="L67" i="3" s="1"/>
  <c r="S67" i="2"/>
  <c r="L68" i="3" s="1"/>
  <c r="S68" i="2"/>
  <c r="S69" i="2"/>
  <c r="L70" i="3" s="1"/>
  <c r="S70" i="2"/>
  <c r="S56" i="2"/>
  <c r="L57" i="3" s="1"/>
  <c r="S54" i="2"/>
  <c r="L55" i="3" s="1"/>
  <c r="S53" i="2"/>
  <c r="S27" i="2"/>
  <c r="L28" i="3" s="1"/>
  <c r="S41" i="2"/>
  <c r="S40" i="2"/>
  <c r="L41" i="3" s="1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14" i="2"/>
  <c r="A13" i="2"/>
  <c r="A17" i="2"/>
  <c r="A21" i="2"/>
  <c r="A25" i="2"/>
  <c r="A26" i="2"/>
  <c r="A27" i="2"/>
  <c r="F27" i="2" s="1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3" i="2"/>
  <c r="I13" i="2" s="1"/>
  <c r="F17" i="2"/>
  <c r="I17" i="2" s="1"/>
  <c r="S28" i="2"/>
  <c r="L29" i="3" s="1"/>
  <c r="S29" i="2"/>
  <c r="S33" i="2" s="1"/>
  <c r="S12" i="2"/>
  <c r="L9" i="3" s="1"/>
  <c r="S13" i="2"/>
  <c r="L10" i="3" s="1"/>
  <c r="S14" i="2"/>
  <c r="L11" i="3" s="1"/>
  <c r="S15" i="2"/>
  <c r="L12" i="3" s="1"/>
  <c r="S16" i="2"/>
  <c r="L13" i="3" s="1"/>
  <c r="S17" i="2"/>
  <c r="L14" i="3" s="1"/>
  <c r="S18" i="2"/>
  <c r="L15" i="3" s="1"/>
  <c r="S19" i="2"/>
  <c r="L16" i="3" s="1"/>
  <c r="S20" i="2"/>
  <c r="L17" i="3" s="1"/>
  <c r="S21" i="2"/>
  <c r="L18" i="3" s="1"/>
  <c r="S22" i="2"/>
  <c r="L19" i="3" s="1"/>
  <c r="S23" i="2"/>
  <c r="L20" i="3" s="1"/>
  <c r="S24" i="2"/>
  <c r="L21" i="3" s="1"/>
  <c r="S25" i="2"/>
  <c r="L22" i="3" s="1"/>
  <c r="S11" i="2"/>
  <c r="L8" i="3" s="1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L34" i="3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S30" i="2"/>
  <c r="S35" i="2"/>
  <c r="S31" i="2"/>
  <c r="A68" i="2"/>
  <c r="F68" i="2" s="1"/>
  <c r="L69" i="3"/>
  <c r="A64" i="2"/>
  <c r="F64" i="2" s="1"/>
  <c r="L65" i="3"/>
  <c r="A60" i="2"/>
  <c r="F60" i="2" s="1"/>
  <c r="L61" i="3"/>
  <c r="A72" i="2"/>
  <c r="L77" i="3"/>
  <c r="A51" i="2"/>
  <c r="F51" i="2" s="1"/>
  <c r="I51" i="2" s="1"/>
  <c r="L52" i="3"/>
  <c r="A47" i="2"/>
  <c r="F47" i="2" s="1"/>
  <c r="J47" i="2" s="1"/>
  <c r="L48" i="3"/>
  <c r="G91" i="2"/>
  <c r="I95" i="2"/>
  <c r="H108" i="2"/>
  <c r="G108" i="2" s="1"/>
  <c r="A29" i="2"/>
  <c r="S36" i="2"/>
  <c r="S32" i="2"/>
  <c r="A53" i="2"/>
  <c r="F53" i="2" s="1"/>
  <c r="L54" i="3"/>
  <c r="A65" i="2"/>
  <c r="F65" i="2" s="1"/>
  <c r="L66" i="3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A15" i="2"/>
  <c r="F15" i="2" s="1"/>
  <c r="H15" i="2" s="1"/>
  <c r="G15" i="2" s="1"/>
  <c r="S38" i="2"/>
  <c r="S34" i="2"/>
  <c r="A41" i="2"/>
  <c r="F41" i="2" s="1"/>
  <c r="H41" i="2" s="1"/>
  <c r="L42" i="3"/>
  <c r="A73" i="2"/>
  <c r="L78" i="3"/>
  <c r="G99" i="2"/>
  <c r="I91" i="2"/>
  <c r="H104" i="2"/>
  <c r="G104" i="2" s="1"/>
  <c r="K119" i="2"/>
  <c r="A83" i="2"/>
  <c r="L88" i="3"/>
  <c r="P119" i="2"/>
  <c r="I75" i="2"/>
  <c r="J99" i="2"/>
  <c r="I98" i="2"/>
  <c r="J95" i="2"/>
  <c r="J91" i="2"/>
  <c r="H117" i="2"/>
  <c r="G117" i="2" s="1"/>
  <c r="A108" i="2"/>
  <c r="A57" i="2"/>
  <c r="F57" i="2" s="1"/>
  <c r="J50" i="2"/>
  <c r="A43" i="2"/>
  <c r="F43" i="2" s="1"/>
  <c r="I43" i="2" s="1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S37" i="2"/>
  <c r="A70" i="2"/>
  <c r="F70" i="2" s="1"/>
  <c r="L71" i="3"/>
  <c r="A49" i="2"/>
  <c r="F49" i="2" s="1"/>
  <c r="I49" i="2" s="1"/>
  <c r="L50" i="3"/>
  <c r="A45" i="2"/>
  <c r="F45" i="2" s="1"/>
  <c r="I45" i="2" s="1"/>
  <c r="L46" i="3"/>
  <c r="O119" i="2"/>
  <c r="A100" i="2"/>
  <c r="A102" i="2"/>
  <c r="A112" i="2"/>
  <c r="L121" i="3"/>
  <c r="A111" i="2"/>
  <c r="L120" i="3"/>
  <c r="A98" i="2"/>
  <c r="A94" i="2"/>
  <c r="A96" i="2"/>
  <c r="L101" i="3"/>
  <c r="A92" i="2"/>
  <c r="L97" i="3"/>
  <c r="A101" i="2"/>
  <c r="A90" i="2"/>
  <c r="A88" i="2"/>
  <c r="L93" i="3"/>
  <c r="A97" i="2"/>
  <c r="L102" i="3"/>
  <c r="A93" i="2"/>
  <c r="L98" i="3"/>
  <c r="O117" i="2"/>
  <c r="P117" i="2"/>
  <c r="J117" i="2"/>
  <c r="I117" i="2"/>
  <c r="K117" i="2" s="1"/>
  <c r="H68" i="2"/>
  <c r="I68" i="2"/>
  <c r="H64" i="2"/>
  <c r="I64" i="2"/>
  <c r="H60" i="2"/>
  <c r="I60" i="2"/>
  <c r="N11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F21" i="3" s="1"/>
  <c r="L23" i="2"/>
  <c r="F20" i="3" s="1"/>
  <c r="O16" i="2"/>
  <c r="D13" i="3" s="1"/>
  <c r="P93" i="2"/>
  <c r="E98" i="3" s="1"/>
  <c r="O93" i="2"/>
  <c r="D98" i="3" s="1"/>
  <c r="O12" i="2"/>
  <c r="D9" i="3" s="1"/>
  <c r="P12" i="2"/>
  <c r="E9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K23" i="2" s="1"/>
  <c r="H20" i="3" s="1"/>
  <c r="J19" i="2"/>
  <c r="H18" i="2"/>
  <c r="G18" i="2" s="1"/>
  <c r="I14" i="2"/>
  <c r="J12" i="2"/>
  <c r="F21" i="2" s="1"/>
  <c r="I21" i="2" s="1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D21" i="3" s="1"/>
  <c r="I12" i="2"/>
  <c r="K12" i="2" s="1"/>
  <c r="H9" i="3" s="1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23" i="2"/>
  <c r="D20" i="3" s="1"/>
  <c r="O19" i="2"/>
  <c r="D16" i="3" s="1"/>
  <c r="O15" i="2"/>
  <c r="D12" i="3" s="1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G63" i="2"/>
  <c r="K63" i="2" s="1"/>
  <c r="H64" i="3" s="1"/>
  <c r="G65" i="2"/>
  <c r="K65" i="2" s="1"/>
  <c r="H66" i="3" s="1"/>
  <c r="G61" i="2"/>
  <c r="K61" i="2" s="1"/>
  <c r="H62" i="3" s="1"/>
  <c r="G57" i="2"/>
  <c r="G58" i="2"/>
  <c r="K58" i="2" s="1"/>
  <c r="H59" i="3" s="1"/>
  <c r="G76" i="2"/>
  <c r="G77" i="2"/>
  <c r="K106" i="2"/>
  <c r="H115" i="3" s="1"/>
  <c r="G44" i="2"/>
  <c r="O44" i="2" s="1"/>
  <c r="D45" i="3" s="1"/>
  <c r="G62" i="2"/>
  <c r="K17" i="2"/>
  <c r="H14" i="3" s="1"/>
  <c r="I54" i="2"/>
  <c r="J54" i="2"/>
  <c r="J72" i="2"/>
  <c r="J27" i="2"/>
  <c r="J41" i="2"/>
  <c r="I41" i="2"/>
  <c r="H40" i="2"/>
  <c r="P95" i="2" l="1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L39" i="3"/>
  <c r="A38" i="2"/>
  <c r="F38" i="2" s="1"/>
  <c r="L36" i="3"/>
  <c r="A35" i="2"/>
  <c r="F35" i="2" s="1"/>
  <c r="L35" i="3"/>
  <c r="A34" i="2"/>
  <c r="F34" i="2" s="1"/>
  <c r="L32" i="3"/>
  <c r="A31" i="2"/>
  <c r="F31" i="2" s="1"/>
  <c r="L38" i="3"/>
  <c r="A37" i="2"/>
  <c r="F37" i="2" s="1"/>
  <c r="L33" i="3"/>
  <c r="A32" i="2"/>
  <c r="F32" i="2" s="1"/>
  <c r="L31" i="3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L37" i="3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19" i="2"/>
  <c r="N23" i="2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P11" i="2"/>
  <c r="E8" i="3" s="1"/>
  <c r="K100" i="2"/>
  <c r="H105" i="3" s="1"/>
  <c r="P43" i="2"/>
  <c r="E44" i="3" s="1"/>
  <c r="O43" i="2"/>
  <c r="D44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27" i="2"/>
  <c r="G46" i="2"/>
  <c r="G33" i="2"/>
  <c r="G47" i="2"/>
  <c r="G78" i="2"/>
  <c r="G48" i="2"/>
  <c r="G69" i="2"/>
  <c r="K69" i="2" s="1"/>
  <c r="H70" i="3" s="1"/>
  <c r="N24" i="2" l="1"/>
  <c r="J32" i="2"/>
  <c r="H32" i="2"/>
  <c r="G32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M29" i="2"/>
  <c r="AF29" i="2"/>
  <c r="K33" i="2"/>
  <c r="H34" i="3" s="1"/>
  <c r="AK29" i="2"/>
  <c r="AN29" i="2"/>
  <c r="K22" i="2"/>
  <c r="H19" i="3" s="1"/>
  <c r="K13" i="2"/>
  <c r="H10" i="3" s="1"/>
  <c r="O25" i="2"/>
  <c r="D22" i="3" s="1"/>
  <c r="P25" i="2"/>
  <c r="E22" i="3" s="1"/>
  <c r="N21" i="2"/>
  <c r="N14" i="2"/>
  <c r="N13" i="2"/>
  <c r="K40" i="2"/>
  <c r="H41" i="3" s="1"/>
  <c r="O40" i="2"/>
  <c r="D41" i="3" s="1"/>
  <c r="N18" i="2"/>
  <c r="N22" i="2"/>
  <c r="K27" i="2"/>
  <c r="H28" i="3" s="1"/>
  <c r="N43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D28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H35" i="3" l="1"/>
  <c r="AN31" i="2"/>
  <c r="AC31" i="2"/>
  <c r="AJ28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AK28" i="2"/>
  <c r="P31" i="2"/>
  <c r="E32" i="3" s="1"/>
  <c r="X29" i="2"/>
  <c r="AE29" i="2"/>
  <c r="AP29" i="2"/>
  <c r="AO29" i="2"/>
  <c r="AA29" i="2"/>
  <c r="AH28" i="2"/>
  <c r="K31" i="2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N35" i="2"/>
  <c r="AE36" i="2"/>
  <c r="AH36" i="2"/>
  <c r="AJ36" i="2"/>
  <c r="AK36" i="2"/>
  <c r="N34" i="2"/>
  <c r="N27" i="2"/>
  <c r="N33" i="2"/>
  <c r="K28" i="2"/>
  <c r="H29" i="3" s="1"/>
  <c r="Z36" i="2"/>
  <c r="AB36" i="2"/>
  <c r="AC36" i="2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H32" i="3" l="1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</calcChain>
</file>

<file path=xl/sharedStrings.xml><?xml version="1.0" encoding="utf-8"?>
<sst xmlns="http://schemas.openxmlformats.org/spreadsheetml/2006/main" count="611" uniqueCount="261">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</sst>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"/>
    <numFmt numFmtId="166" formatCode="0.000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L94" workbookViewId="0">
      <selection activeCell="W104" sqref="W104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3" t="s">
        <v>141</v>
      </c>
      <c r="I8" s="23"/>
      <c r="J8" s="23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29" si="14">$S$9*(1+(D12*$F$8))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6.3E-2</v>
      </c>
      <c r="C14">
        <v>2</v>
      </c>
      <c r="D14">
        <v>-1</v>
      </c>
      <c r="E14" s="5" t="s">
        <v>27</v>
      </c>
      <c r="F14" s="2">
        <f t="shared" si="10"/>
        <v>5.0629999999999997</v>
      </c>
      <c r="G14" s="2">
        <f t="shared" si="15"/>
        <v>5.5693000000000001</v>
      </c>
      <c r="H14" s="2">
        <f t="shared" si="11"/>
        <v>5.5693000000000001</v>
      </c>
      <c r="I14" s="2">
        <f t="shared" si="5"/>
        <v>3.6453599999999997</v>
      </c>
      <c r="J14" s="2">
        <f t="shared" si="5"/>
        <v>0.91133999999999993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5.5693000000000001</v>
      </c>
      <c r="O14" s="2">
        <f t="shared" si="7"/>
        <v>19.102019817073174</v>
      </c>
      <c r="P14" s="2">
        <f t="shared" si="8"/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4"/>
        <v>24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4.4999999999999998E-2</v>
      </c>
      <c r="C15">
        <v>2</v>
      </c>
      <c r="D15">
        <v>0</v>
      </c>
      <c r="E15" s="5" t="s">
        <v>28</v>
      </c>
      <c r="F15" s="2">
        <f t="shared" si="10"/>
        <v>5.0449999999999999</v>
      </c>
      <c r="G15" s="2">
        <f t="shared" si="15"/>
        <v>6.0539999999999994</v>
      </c>
      <c r="H15" s="2">
        <f t="shared" si="11"/>
        <v>6.0539999999999994</v>
      </c>
      <c r="I15" s="2">
        <f t="shared" si="5"/>
        <v>3.2288000000000001</v>
      </c>
      <c r="J15" s="2">
        <f t="shared" si="5"/>
        <v>0.80720000000000003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6.0539999999999994</v>
      </c>
      <c r="O15" s="2">
        <f t="shared" si="7"/>
        <v>42.567187499999989</v>
      </c>
      <c r="P15" s="2">
        <f t="shared" si="8"/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4"/>
        <v>30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2.7E-2</v>
      </c>
      <c r="C16">
        <v>2</v>
      </c>
      <c r="D16">
        <v>1</v>
      </c>
      <c r="E16" s="5" t="s">
        <v>29</v>
      </c>
      <c r="F16" s="2">
        <f t="shared" si="10"/>
        <v>5.0270000000000001</v>
      </c>
      <c r="G16" s="2">
        <f t="shared" si="15"/>
        <v>6.5351000000000008</v>
      </c>
      <c r="H16" s="2">
        <f t="shared" si="11"/>
        <v>6.5351000000000008</v>
      </c>
      <c r="I16" s="2">
        <f t="shared" si="5"/>
        <v>2.8151200000000003</v>
      </c>
      <c r="J16" s="2">
        <f t="shared" si="5"/>
        <v>0.70378000000000007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6.5351000000000017</v>
      </c>
      <c r="O16" s="2">
        <f t="shared" si="7"/>
        <v>98.026500000000027</v>
      </c>
      <c r="P16" s="2">
        <f t="shared" si="8"/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4"/>
        <v>36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6.3E-2</v>
      </c>
      <c r="C17" s="2">
        <v>3</v>
      </c>
      <c r="D17" s="2">
        <v>-1</v>
      </c>
      <c r="E17" s="5" t="s">
        <v>30</v>
      </c>
      <c r="F17" s="2">
        <f t="shared" si="10"/>
        <v>7.5629999999999997</v>
      </c>
      <c r="G17" s="2">
        <f t="shared" si="15"/>
        <v>9.0755999999999997</v>
      </c>
      <c r="H17" s="2">
        <f t="shared" si="11"/>
        <v>9.0755999999999997</v>
      </c>
      <c r="I17" s="2">
        <f t="shared" si="5"/>
        <v>4.8403200000000002</v>
      </c>
      <c r="J17" s="2">
        <f t="shared" si="5"/>
        <v>1.21008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9.0755999999999997</v>
      </c>
      <c r="O17" s="2">
        <f t="shared" si="7"/>
        <v>31.128201219512192</v>
      </c>
      <c r="P17" s="2">
        <f t="shared" si="8"/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4"/>
        <v>24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4.4999999999999998E-2</v>
      </c>
      <c r="C18" s="2">
        <v>3</v>
      </c>
      <c r="D18" s="2">
        <v>0</v>
      </c>
      <c r="E18" s="5" t="s">
        <v>31</v>
      </c>
      <c r="F18" s="2">
        <f t="shared" si="10"/>
        <v>7.5449999999999999</v>
      </c>
      <c r="G18" s="2">
        <f t="shared" si="15"/>
        <v>9.8085000000000004</v>
      </c>
      <c r="H18" s="2">
        <f t="shared" si="11"/>
        <v>9.8085000000000004</v>
      </c>
      <c r="I18" s="2">
        <f t="shared" si="5"/>
        <v>4.2252000000000001</v>
      </c>
      <c r="J18" s="2">
        <f t="shared" si="5"/>
        <v>1.0563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9.8085000000000004</v>
      </c>
      <c r="O18" s="2">
        <f t="shared" si="7"/>
        <v>68.966015624999997</v>
      </c>
      <c r="P18" s="2">
        <f t="shared" si="8"/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4"/>
        <v>30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2.7E-2</v>
      </c>
      <c r="C19" s="2">
        <v>3</v>
      </c>
      <c r="D19" s="2">
        <v>1</v>
      </c>
      <c r="E19" s="5" t="s">
        <v>32</v>
      </c>
      <c r="F19" s="2">
        <f t="shared" si="10"/>
        <v>7.5270000000000001</v>
      </c>
      <c r="G19" s="2">
        <f t="shared" si="15"/>
        <v>10.537799999999999</v>
      </c>
      <c r="H19" s="2">
        <f t="shared" si="11"/>
        <v>10.537799999999999</v>
      </c>
      <c r="I19" s="2">
        <f t="shared" si="5"/>
        <v>3.6129599999999997</v>
      </c>
      <c r="J19" s="2">
        <f t="shared" si="5"/>
        <v>0.90323999999999993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10.537799999999999</v>
      </c>
      <c r="O19" s="2">
        <f t="shared" si="7"/>
        <v>158.06699999999998</v>
      </c>
      <c r="P19" s="2">
        <f t="shared" si="8"/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4"/>
        <v>36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6.3E-2</v>
      </c>
      <c r="C20" s="2">
        <v>4</v>
      </c>
      <c r="D20" s="2">
        <v>-1</v>
      </c>
      <c r="E20" s="5" t="s">
        <v>33</v>
      </c>
      <c r="F20" s="2">
        <f t="shared" si="10"/>
        <v>10.063000000000001</v>
      </c>
      <c r="G20" s="2">
        <f t="shared" si="15"/>
        <v>13.081900000000001</v>
      </c>
      <c r="H20" s="2">
        <f t="shared" si="11"/>
        <v>13.081900000000001</v>
      </c>
      <c r="I20" s="2">
        <f t="shared" si="5"/>
        <v>5.6352800000000007</v>
      </c>
      <c r="J20" s="2">
        <f t="shared" si="5"/>
        <v>1.4088200000000002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13.081899999999999</v>
      </c>
      <c r="O20" s="2">
        <f t="shared" si="7"/>
        <v>44.869321646341469</v>
      </c>
      <c r="P20" s="2">
        <f t="shared" si="8"/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4"/>
        <v>24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4.4999999999999998E-2</v>
      </c>
      <c r="C21" s="2">
        <v>4</v>
      </c>
      <c r="D21" s="2">
        <v>0</v>
      </c>
      <c r="E21" s="5" t="s">
        <v>34</v>
      </c>
      <c r="F21" s="2">
        <f t="shared" si="10"/>
        <v>10.045</v>
      </c>
      <c r="G21" s="2">
        <f t="shared" si="15"/>
        <v>14.062999999999999</v>
      </c>
      <c r="H21" s="2">
        <f t="shared" si="11"/>
        <v>14.062999999999999</v>
      </c>
      <c r="I21" s="2">
        <f t="shared" si="5"/>
        <v>4.8216000000000001</v>
      </c>
      <c r="J21" s="2">
        <f t="shared" si="5"/>
        <v>1.2054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14.062999999999999</v>
      </c>
      <c r="O21" s="2">
        <f t="shared" si="7"/>
        <v>98.880468749999991</v>
      </c>
      <c r="P21" s="2">
        <f t="shared" si="8"/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4"/>
        <v>30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2.7E-2</v>
      </c>
      <c r="C22" s="2">
        <v>4</v>
      </c>
      <c r="D22" s="2">
        <v>1</v>
      </c>
      <c r="E22" s="5" t="s">
        <v>35</v>
      </c>
      <c r="F22" s="2">
        <f t="shared" si="10"/>
        <v>10.026999999999999</v>
      </c>
      <c r="G22" s="2">
        <f t="shared" si="15"/>
        <v>15.040499999999998</v>
      </c>
      <c r="H22" s="2">
        <f t="shared" si="11"/>
        <v>15.040499999999998</v>
      </c>
      <c r="I22" s="2">
        <f t="shared" si="5"/>
        <v>4.0107999999999997</v>
      </c>
      <c r="J22" s="2">
        <f t="shared" si="5"/>
        <v>1.0026999999999999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15.040499999999998</v>
      </c>
      <c r="O22" s="2">
        <f t="shared" si="7"/>
        <v>225.60749999999996</v>
      </c>
      <c r="P22" s="2">
        <f t="shared" si="8"/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4"/>
        <v>36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6.3E-2</v>
      </c>
      <c r="C23" s="2">
        <v>5</v>
      </c>
      <c r="D23" s="2">
        <v>-1</v>
      </c>
      <c r="E23" s="5" t="s">
        <v>36</v>
      </c>
      <c r="F23" s="2">
        <f t="shared" si="10"/>
        <v>12.563000000000001</v>
      </c>
      <c r="G23" s="2">
        <f t="shared" si="15"/>
        <v>17.588200000000001</v>
      </c>
      <c r="H23" s="2">
        <f t="shared" si="11"/>
        <v>17.588200000000001</v>
      </c>
      <c r="I23" s="2">
        <f t="shared" si="5"/>
        <v>6.03024</v>
      </c>
      <c r="J23" s="2">
        <f t="shared" si="5"/>
        <v>1.50756</v>
      </c>
      <c r="K23" s="10">
        <f t="shared" si="16"/>
        <v>-0.75238095238095237</v>
      </c>
      <c r="L23" s="10">
        <f t="shared" si="12"/>
        <v>8.3333333333333329E-2</v>
      </c>
      <c r="M23" s="10">
        <v>0</v>
      </c>
      <c r="N23" s="2">
        <f t="shared" si="13"/>
        <v>17.588199999999997</v>
      </c>
      <c r="O23" s="2">
        <f t="shared" si="7"/>
        <v>60.325381097560978</v>
      </c>
      <c r="P23" s="2">
        <f t="shared" si="8"/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4"/>
        <v>24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4.4999999999999998E-2</v>
      </c>
      <c r="C24" s="2">
        <v>5</v>
      </c>
      <c r="D24" s="2">
        <v>0</v>
      </c>
      <c r="E24" s="5" t="s">
        <v>37</v>
      </c>
      <c r="F24" s="2">
        <f t="shared" si="10"/>
        <v>12.545</v>
      </c>
      <c r="G24" s="2">
        <f t="shared" si="15"/>
        <v>18.817499999999999</v>
      </c>
      <c r="H24" s="2">
        <f t="shared" si="11"/>
        <v>18.817499999999999</v>
      </c>
      <c r="I24" s="2">
        <f t="shared" si="5"/>
        <v>5.0179999999999998</v>
      </c>
      <c r="J24" s="2">
        <f t="shared" si="5"/>
        <v>1.2544999999999999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18.817499999999999</v>
      </c>
      <c r="O24" s="2">
        <f t="shared" si="7"/>
        <v>132.31054687499997</v>
      </c>
      <c r="P24" s="2">
        <f t="shared" si="8"/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4"/>
        <v>30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2.7E-2</v>
      </c>
      <c r="C25" s="2">
        <v>5</v>
      </c>
      <c r="D25" s="2">
        <v>1</v>
      </c>
      <c r="E25" s="5" t="s">
        <v>38</v>
      </c>
      <c r="F25" s="2">
        <f t="shared" si="10"/>
        <v>12.526999999999999</v>
      </c>
      <c r="G25" s="2">
        <f t="shared" si="15"/>
        <v>20.043199999999999</v>
      </c>
      <c r="H25" s="2">
        <f t="shared" si="11"/>
        <v>20.043199999999999</v>
      </c>
      <c r="I25" s="2">
        <f t="shared" si="5"/>
        <v>4.0086399999999989</v>
      </c>
      <c r="J25" s="2">
        <f t="shared" si="5"/>
        <v>1.0021599999999997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20.043199999999999</v>
      </c>
      <c r="O25" s="2">
        <f t="shared" si="7"/>
        <v>300.64799999999997</v>
      </c>
      <c r="P25" s="2">
        <f t="shared" si="8"/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4"/>
        <v>36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8">$F27*(INDEX($F$3:$F$5,J$26)+(($C27+($D27*$F$7))*INDEX($G$3:$G$5,J$26)))</f>
        <v>2.0026999999999999</v>
      </c>
      <c r="K27" s="10">
        <f>1-((1-(I27/G27))/INDEX($P$2:$P$6,C27))</f>
        <v>6.416666666666667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6.8744688172043009</v>
      </c>
      <c r="Y27" s="2">
        <f t="shared" ref="Y27:AP27" si="19">$G30*(1-(Y$26*(1-$K30)))</f>
        <v>7.5033634408602152</v>
      </c>
      <c r="Z27" s="2">
        <f t="shared" si="19"/>
        <v>8.1322580645161295</v>
      </c>
      <c r="AA27" s="2">
        <f t="shared" si="19"/>
        <v>8.761152688172043</v>
      </c>
      <c r="AB27" s="2">
        <f t="shared" si="19"/>
        <v>9.3900473118279546</v>
      </c>
      <c r="AC27" s="2">
        <f t="shared" si="19"/>
        <v>10.018941935483872</v>
      </c>
      <c r="AD27" s="2">
        <f t="shared" si="19"/>
        <v>10.647836559139783</v>
      </c>
      <c r="AE27" s="2">
        <f t="shared" si="19"/>
        <v>11.276731182795697</v>
      </c>
      <c r="AF27" s="2">
        <f t="shared" si="19"/>
        <v>11.90562580645161</v>
      </c>
      <c r="AG27" s="2">
        <f t="shared" si="19"/>
        <v>12.534520430107523</v>
      </c>
      <c r="AH27" s="2">
        <f t="shared" si="19"/>
        <v>13.163415053763439</v>
      </c>
      <c r="AI27" s="2">
        <f t="shared" si="19"/>
        <v>13.792309677419354</v>
      </c>
      <c r="AJ27" s="2">
        <f t="shared" si="19"/>
        <v>14.421204301075266</v>
      </c>
      <c r="AK27" s="2">
        <f t="shared" si="19"/>
        <v>15.050098924731179</v>
      </c>
      <c r="AL27" s="2">
        <f t="shared" si="19"/>
        <v>15.678993548387094</v>
      </c>
      <c r="AM27" s="2">
        <f t="shared" si="19"/>
        <v>16.307888172043011</v>
      </c>
      <c r="AN27" s="2">
        <f t="shared" si="19"/>
        <v>16.936782795698925</v>
      </c>
      <c r="AO27" s="2">
        <f t="shared" si="19"/>
        <v>17.565677419354838</v>
      </c>
      <c r="AP27" s="2">
        <f t="shared" si="19"/>
        <v>18.194572043010751</v>
      </c>
    </row>
    <row r="28" spans="1:42" x14ac:dyDescent="0.25">
      <c r="A28" s="21">
        <f t="shared" si="9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8"/>
        <v>40.043200000000006</v>
      </c>
      <c r="J28" s="2">
        <f t="shared" si="18"/>
        <v>2.0021599999999999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4"/>
        <v>36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6.4200107526881718</v>
      </c>
      <c r="Y28" s="2">
        <f t="shared" si="20"/>
        <v>7.3881505376344085</v>
      </c>
      <c r="Z28" s="2">
        <f t="shared" si="20"/>
        <v>8.3562903225806444</v>
      </c>
      <c r="AA28" s="2">
        <f t="shared" si="20"/>
        <v>9.3244301075268812</v>
      </c>
      <c r="AB28" s="2">
        <f t="shared" si="20"/>
        <v>10.292569892473118</v>
      </c>
      <c r="AC28" s="2">
        <f t="shared" si="20"/>
        <v>11.260709677419355</v>
      </c>
      <c r="AD28" s="2">
        <f t="shared" si="20"/>
        <v>12.228849462365591</v>
      </c>
      <c r="AE28" s="2">
        <f t="shared" si="20"/>
        <v>13.196989247311828</v>
      </c>
      <c r="AF28" s="2">
        <f t="shared" si="20"/>
        <v>14.165129032258063</v>
      </c>
      <c r="AG28" s="2">
        <f t="shared" si="20"/>
        <v>15.133268817204302</v>
      </c>
      <c r="AH28" s="2">
        <f t="shared" si="20"/>
        <v>16.101408602150535</v>
      </c>
      <c r="AI28" s="2">
        <f t="shared" si="20"/>
        <v>17.069548387096773</v>
      </c>
      <c r="AJ28" s="2">
        <f t="shared" si="20"/>
        <v>18.037688172043012</v>
      </c>
      <c r="AK28" s="2">
        <f t="shared" si="20"/>
        <v>19.005827956989251</v>
      </c>
      <c r="AL28" s="2">
        <f t="shared" si="20"/>
        <v>19.973967741935489</v>
      </c>
      <c r="AM28" s="2">
        <f t="shared" si="20"/>
        <v>20.942107526881724</v>
      </c>
      <c r="AN28" s="2">
        <f t="shared" si="20"/>
        <v>21.910247311827963</v>
      </c>
      <c r="AO28" s="2">
        <f t="shared" si="20"/>
        <v>22.878387096774201</v>
      </c>
      <c r="AP28" s="2">
        <f t="shared" si="20"/>
        <v>23.84652688172044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si="14"/>
        <v>30</v>
      </c>
      <c r="T29" s="2">
        <v>0</v>
      </c>
      <c r="U29" s="14"/>
      <c r="W29" s="14" t="s">
        <v>223</v>
      </c>
      <c r="X29" s="2">
        <f t="shared" ref="X29:AP29" si="21">$G32*(1-(X$26*(1-$K32)))</f>
        <v>5.9676430107526883</v>
      </c>
      <c r="Y29" s="2">
        <f t="shared" si="21"/>
        <v>7.2734021505376347</v>
      </c>
      <c r="Z29" s="2">
        <f t="shared" si="21"/>
        <v>8.5791612903225811</v>
      </c>
      <c r="AA29" s="2">
        <f t="shared" si="21"/>
        <v>9.8849204301075293</v>
      </c>
      <c r="AB29" s="2">
        <f t="shared" si="21"/>
        <v>11.190679569892474</v>
      </c>
      <c r="AC29" s="2">
        <f t="shared" si="21"/>
        <v>12.49643870967742</v>
      </c>
      <c r="AD29" s="2">
        <f t="shared" si="21"/>
        <v>13.802197849462367</v>
      </c>
      <c r="AE29" s="2">
        <f t="shared" si="21"/>
        <v>15.107956989247311</v>
      </c>
      <c r="AF29" s="2">
        <f t="shared" si="21"/>
        <v>16.413716129032256</v>
      </c>
      <c r="AG29" s="2">
        <f t="shared" si="21"/>
        <v>17.719475268817202</v>
      </c>
      <c r="AH29" s="2">
        <f t="shared" si="21"/>
        <v>19.025234408602149</v>
      </c>
      <c r="AI29" s="2">
        <f t="shared" si="21"/>
        <v>20.330993548387099</v>
      </c>
      <c r="AJ29" s="2">
        <f t="shared" si="21"/>
        <v>21.636752688172045</v>
      </c>
      <c r="AK29" s="2">
        <f t="shared" si="21"/>
        <v>22.942511827956992</v>
      </c>
      <c r="AL29" s="2">
        <f t="shared" si="21"/>
        <v>24.248270967741941</v>
      </c>
      <c r="AM29" s="2">
        <f t="shared" si="21"/>
        <v>25.554030107526888</v>
      </c>
      <c r="AN29" s="2">
        <f t="shared" si="21"/>
        <v>26.859789247311838</v>
      </c>
      <c r="AO29" s="2">
        <f t="shared" si="21"/>
        <v>28.165548387096784</v>
      </c>
      <c r="AP29" s="2">
        <f t="shared" si="21"/>
        <v>29.471307526881734</v>
      </c>
    </row>
    <row r="30" spans="1:42" x14ac:dyDescent="0.25">
      <c r="A30" s="21">
        <f t="shared" si="9"/>
        <v>6.3E-2</v>
      </c>
      <c r="C30" s="2">
        <v>3</v>
      </c>
      <c r="D30">
        <v>-1</v>
      </c>
      <c r="E30" s="5" t="s">
        <v>43</v>
      </c>
      <c r="F30" s="2">
        <f t="shared" si="10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22">$F30*(INDEX($F$3:$F$5,I$29)+(($C30+($D30*$F$7))*INDEX($G$3:$G$5,I$29)))</f>
        <v>9.0755999999999997</v>
      </c>
      <c r="J30" s="2">
        <f t="shared" si="22"/>
        <v>1.21008</v>
      </c>
      <c r="K30" s="10">
        <f t="shared" ref="K30:K89" si="23">1-((1-(I30/G30))/INDEX($P$2:$P$6,C30))</f>
        <v>3.013888888888888</v>
      </c>
      <c r="L30" s="10">
        <f>(INDEX($Q$2:$Q$6,C30)/((1/INDEX($F$4:$F$6,J$29))-1))</f>
        <v>4.9999999999999996E-2</v>
      </c>
      <c r="M30" s="10">
        <v>0</v>
      </c>
      <c r="N30" s="2">
        <f t="shared" ref="N30:N38" si="24">((AVERAGE(O30,P30)*R30)/Q30)/INDEX($R$1:$R$3,D30+2)</f>
        <v>6.2455741935483875</v>
      </c>
      <c r="O30" s="2">
        <f t="shared" ref="O30:O38" si="25">0.75*(((G30*INDEX($R$1:$R$3,$D30+2))*Q30)/R30)</f>
        <v>24.849007081038554</v>
      </c>
      <c r="P30" s="2">
        <f t="shared" ref="P30:P38" si="26"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7">$G33*(1-(X$26*(1-$K33)))</f>
        <v>8.8889833333333339</v>
      </c>
      <c r="Y30" s="2">
        <f t="shared" si="27"/>
        <v>9.727566666666668</v>
      </c>
      <c r="Z30" s="2">
        <f t="shared" si="27"/>
        <v>10.566150000000002</v>
      </c>
      <c r="AA30" s="2">
        <f t="shared" si="27"/>
        <v>11.404733333333334</v>
      </c>
      <c r="AB30" s="2">
        <f t="shared" si="27"/>
        <v>12.243316666666667</v>
      </c>
      <c r="AC30" s="2">
        <f t="shared" si="27"/>
        <v>13.081900000000001</v>
      </c>
      <c r="AD30" s="2">
        <f t="shared" si="27"/>
        <v>13.920483333333335</v>
      </c>
      <c r="AE30" s="2">
        <f t="shared" si="27"/>
        <v>14.759066666666667</v>
      </c>
      <c r="AF30" s="2">
        <f t="shared" si="27"/>
        <v>15.59765</v>
      </c>
      <c r="AG30" s="2">
        <f t="shared" si="27"/>
        <v>16.43623333333333</v>
      </c>
      <c r="AH30" s="2">
        <f t="shared" si="27"/>
        <v>17.274816666666666</v>
      </c>
      <c r="AI30" s="2">
        <f t="shared" si="27"/>
        <v>18.113399999999999</v>
      </c>
      <c r="AJ30" s="2">
        <f t="shared" si="27"/>
        <v>18.951983333333331</v>
      </c>
      <c r="AK30" s="2">
        <f t="shared" si="27"/>
        <v>19.790566666666667</v>
      </c>
      <c r="AL30" s="2">
        <f t="shared" si="27"/>
        <v>20.629150000000003</v>
      </c>
      <c r="AM30" s="2">
        <f t="shared" si="27"/>
        <v>21.467733333333332</v>
      </c>
      <c r="AN30" s="2">
        <f t="shared" si="27"/>
        <v>22.306316666666667</v>
      </c>
      <c r="AO30" s="2">
        <f t="shared" si="27"/>
        <v>23.144900000000003</v>
      </c>
      <c r="AP30" s="2">
        <f t="shared" si="27"/>
        <v>23.983483333333336</v>
      </c>
    </row>
    <row r="31" spans="1:42" x14ac:dyDescent="0.25">
      <c r="A31" s="21">
        <f t="shared" si="9"/>
        <v>4.4999999999999998E-2</v>
      </c>
      <c r="C31" s="2">
        <v>3</v>
      </c>
      <c r="D31">
        <v>0</v>
      </c>
      <c r="E31" s="5" t="s">
        <v>44</v>
      </c>
      <c r="F31" s="2">
        <f t="shared" si="10"/>
        <v>7.5449999999999999</v>
      </c>
      <c r="G31" s="2">
        <f t="shared" ref="G31:G38" si="28">IF(G$29=1,H31,H31/(1-INDEX($O$2:$O$6,C31)))</f>
        <v>5.451870967741935</v>
      </c>
      <c r="H31" s="2">
        <f t="shared" ref="H31:H38" si="29">$F31*(INDEX($F$3:$F$5,H$29)+(($C31+($D31*$F$7))*INDEX($G$3:$G$5,H$29)))</f>
        <v>4.2252000000000001</v>
      </c>
      <c r="I31" s="2">
        <f t="shared" si="22"/>
        <v>9.8085000000000004</v>
      </c>
      <c r="J31" s="2">
        <f t="shared" si="22"/>
        <v>1.0563</v>
      </c>
      <c r="K31" s="10">
        <f t="shared" si="23"/>
        <v>4.5515873015873023</v>
      </c>
      <c r="L31" s="10">
        <f t="shared" ref="L31:L38" si="30">(INDEX($Q$2:$Q$6,C31)/((1/INDEX($F$4:$F$6,J$29))-1))</f>
        <v>4.9999999999999996E-2</v>
      </c>
      <c r="M31" s="10">
        <v>0</v>
      </c>
      <c r="N31" s="2">
        <f t="shared" si="24"/>
        <v>5.4518709677419359</v>
      </c>
      <c r="O31" s="2">
        <f t="shared" si="25"/>
        <v>44.46682258064515</v>
      </c>
      <c r="P31" s="2">
        <f t="shared" si="26"/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31">$S$29*(1+(D31*$F$8))</f>
        <v>30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2">$G34*(1-(X$26*(1-$K34)))</f>
        <v>8.0838333333333345</v>
      </c>
      <c r="Y31" s="2">
        <f t="shared" si="32"/>
        <v>9.2796666666666674</v>
      </c>
      <c r="Z31" s="2">
        <f t="shared" si="32"/>
        <v>10.475499999999998</v>
      </c>
      <c r="AA31" s="2">
        <f t="shared" si="32"/>
        <v>11.671333333333333</v>
      </c>
      <c r="AB31" s="2">
        <f t="shared" si="32"/>
        <v>12.867166666666666</v>
      </c>
      <c r="AC31" s="2">
        <f t="shared" si="32"/>
        <v>14.062999999999997</v>
      </c>
      <c r="AD31" s="2">
        <f t="shared" si="32"/>
        <v>15.258833333333328</v>
      </c>
      <c r="AE31" s="2">
        <f t="shared" si="32"/>
        <v>16.454666666666665</v>
      </c>
      <c r="AF31" s="2">
        <f t="shared" si="32"/>
        <v>17.650499999999997</v>
      </c>
      <c r="AG31" s="2">
        <f t="shared" si="32"/>
        <v>18.846333333333327</v>
      </c>
      <c r="AH31" s="2">
        <f t="shared" si="32"/>
        <v>20.04216666666666</v>
      </c>
      <c r="AI31" s="2">
        <f t="shared" si="32"/>
        <v>21.237999999999996</v>
      </c>
      <c r="AJ31" s="2">
        <f t="shared" si="32"/>
        <v>22.433833333333329</v>
      </c>
      <c r="AK31" s="2">
        <f t="shared" si="32"/>
        <v>23.629666666666662</v>
      </c>
      <c r="AL31" s="2">
        <f t="shared" si="32"/>
        <v>24.825499999999995</v>
      </c>
      <c r="AM31" s="2">
        <f t="shared" si="32"/>
        <v>26.021333333333331</v>
      </c>
      <c r="AN31" s="2">
        <f t="shared" si="32"/>
        <v>27.217166666666664</v>
      </c>
      <c r="AO31" s="2">
        <f t="shared" si="32"/>
        <v>28.413000000000004</v>
      </c>
      <c r="AP31" s="2">
        <f t="shared" si="32"/>
        <v>29.608833333333333</v>
      </c>
    </row>
    <row r="32" spans="1:42" x14ac:dyDescent="0.25">
      <c r="A32" s="21">
        <f t="shared" si="9"/>
        <v>2.7E-2</v>
      </c>
      <c r="C32" s="2">
        <v>3</v>
      </c>
      <c r="D32">
        <v>1</v>
      </c>
      <c r="E32" s="5" t="s">
        <v>45</v>
      </c>
      <c r="F32" s="2">
        <f t="shared" si="10"/>
        <v>7.5270000000000001</v>
      </c>
      <c r="G32" s="2">
        <f t="shared" si="28"/>
        <v>4.661883870967741</v>
      </c>
      <c r="H32" s="2">
        <f t="shared" si="29"/>
        <v>3.6129599999999997</v>
      </c>
      <c r="I32" s="2">
        <f t="shared" si="22"/>
        <v>10.537799999999999</v>
      </c>
      <c r="J32" s="2">
        <f t="shared" si="22"/>
        <v>0.90323999999999993</v>
      </c>
      <c r="K32" s="10">
        <f t="shared" si="23"/>
        <v>6.6018518518518539</v>
      </c>
      <c r="L32" s="10">
        <f t="shared" si="30"/>
        <v>4.9999999999999996E-2</v>
      </c>
      <c r="M32" s="10">
        <v>0</v>
      </c>
      <c r="N32" s="2">
        <f t="shared" si="24"/>
        <v>4.661883870967741</v>
      </c>
      <c r="O32" s="2">
        <f t="shared" si="25"/>
        <v>81.116779354838684</v>
      </c>
      <c r="P32" s="2">
        <f t="shared" si="26"/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31"/>
        <v>36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3">$G35*(1-(X$26*(1-$K35)))</f>
        <v>7.2815119047619037</v>
      </c>
      <c r="Y32" s="2">
        <f t="shared" si="33"/>
        <v>8.8333095238095218</v>
      </c>
      <c r="Z32" s="2">
        <f t="shared" si="33"/>
        <v>10.385107142857143</v>
      </c>
      <c r="AA32" s="2">
        <f t="shared" si="33"/>
        <v>11.93690476190476</v>
      </c>
      <c r="AB32" s="2">
        <f t="shared" si="33"/>
        <v>13.488702380952377</v>
      </c>
      <c r="AC32" s="2">
        <f t="shared" si="33"/>
        <v>15.040499999999996</v>
      </c>
      <c r="AD32" s="2">
        <f t="shared" si="33"/>
        <v>16.592297619047613</v>
      </c>
      <c r="AE32" s="2">
        <f t="shared" si="33"/>
        <v>18.144095238095233</v>
      </c>
      <c r="AF32" s="2">
        <f t="shared" si="33"/>
        <v>19.695892857142852</v>
      </c>
      <c r="AG32" s="2">
        <f t="shared" si="33"/>
        <v>21.247690476190467</v>
      </c>
      <c r="AH32" s="2">
        <f t="shared" si="33"/>
        <v>22.79948809523809</v>
      </c>
      <c r="AI32" s="2">
        <f t="shared" si="33"/>
        <v>24.351285714285709</v>
      </c>
      <c r="AJ32" s="2">
        <f t="shared" si="33"/>
        <v>25.903083333333324</v>
      </c>
      <c r="AK32" s="2">
        <f t="shared" si="33"/>
        <v>27.454880952380947</v>
      </c>
      <c r="AL32" s="2">
        <f t="shared" si="33"/>
        <v>29.006678571428566</v>
      </c>
      <c r="AM32" s="2">
        <f t="shared" si="33"/>
        <v>30.558476190476188</v>
      </c>
      <c r="AN32" s="2">
        <f t="shared" si="33"/>
        <v>32.110273809523804</v>
      </c>
      <c r="AO32" s="2">
        <f t="shared" si="33"/>
        <v>33.66207142857143</v>
      </c>
      <c r="AP32" s="2">
        <f t="shared" si="33"/>
        <v>35.213869047619049</v>
      </c>
    </row>
    <row r="33" spans="1:42" x14ac:dyDescent="0.25">
      <c r="A33" s="21">
        <f t="shared" si="9"/>
        <v>6.3E-2</v>
      </c>
      <c r="C33" s="2">
        <v>4</v>
      </c>
      <c r="D33">
        <v>-1</v>
      </c>
      <c r="E33" s="5" t="s">
        <v>46</v>
      </c>
      <c r="F33" s="2">
        <f t="shared" si="10"/>
        <v>10.063000000000001</v>
      </c>
      <c r="G33" s="2">
        <f t="shared" si="28"/>
        <v>8.0504000000000016</v>
      </c>
      <c r="H33" s="2">
        <f t="shared" si="29"/>
        <v>5.6352800000000007</v>
      </c>
      <c r="I33" s="2">
        <f t="shared" si="22"/>
        <v>13.081900000000001</v>
      </c>
      <c r="J33" s="2">
        <f t="shared" si="22"/>
        <v>1.4088200000000002</v>
      </c>
      <c r="K33" s="10">
        <f t="shared" si="23"/>
        <v>3.0833333333333326</v>
      </c>
      <c r="L33" s="10">
        <f t="shared" si="30"/>
        <v>6.6666666666666666E-2</v>
      </c>
      <c r="M33" s="10">
        <v>0</v>
      </c>
      <c r="N33" s="2">
        <f t="shared" si="24"/>
        <v>8.0504000000000016</v>
      </c>
      <c r="O33" s="2">
        <f t="shared" si="25"/>
        <v>32.029792682926839</v>
      </c>
      <c r="P33" s="2">
        <f t="shared" si="26"/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31"/>
        <v>24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4">$G36*(1-(X$26*(1-$K36)))</f>
        <v>10.707026133333335</v>
      </c>
      <c r="Y33" s="2">
        <f t="shared" si="34"/>
        <v>11.765668266666667</v>
      </c>
      <c r="Z33" s="2">
        <f t="shared" si="34"/>
        <v>12.8243104</v>
      </c>
      <c r="AA33" s="2">
        <f t="shared" si="34"/>
        <v>13.882952533333333</v>
      </c>
      <c r="AB33" s="2">
        <f t="shared" si="34"/>
        <v>14.941594666666667</v>
      </c>
      <c r="AC33" s="2">
        <f t="shared" si="34"/>
        <v>16.0002368</v>
      </c>
      <c r="AD33" s="2">
        <f t="shared" si="34"/>
        <v>17.058878933333336</v>
      </c>
      <c r="AE33" s="2">
        <f t="shared" si="34"/>
        <v>18.117521066666665</v>
      </c>
      <c r="AF33" s="2">
        <f t="shared" si="34"/>
        <v>19.176163200000001</v>
      </c>
      <c r="AG33" s="2">
        <f t="shared" si="34"/>
        <v>20.234805333333334</v>
      </c>
      <c r="AH33" s="2">
        <f t="shared" si="34"/>
        <v>21.293447466666667</v>
      </c>
      <c r="AI33" s="2">
        <f t="shared" si="34"/>
        <v>22.352089599999999</v>
      </c>
      <c r="AJ33" s="2">
        <f t="shared" si="34"/>
        <v>23.410731733333336</v>
      </c>
      <c r="AK33" s="2">
        <f t="shared" si="34"/>
        <v>24.469373866666668</v>
      </c>
      <c r="AL33" s="2">
        <f t="shared" si="34"/>
        <v>25.528016000000004</v>
      </c>
      <c r="AM33" s="2">
        <f t="shared" si="34"/>
        <v>26.586658133333337</v>
      </c>
      <c r="AN33" s="2">
        <f t="shared" si="34"/>
        <v>27.645300266666673</v>
      </c>
      <c r="AO33" s="2">
        <f t="shared" si="34"/>
        <v>28.703942400000006</v>
      </c>
      <c r="AP33" s="2">
        <f t="shared" si="34"/>
        <v>29.762584533333342</v>
      </c>
    </row>
    <row r="34" spans="1:42" x14ac:dyDescent="0.25">
      <c r="A34" s="21">
        <f t="shared" si="9"/>
        <v>4.4999999999999998E-2</v>
      </c>
      <c r="C34" s="2">
        <v>4</v>
      </c>
      <c r="D34">
        <v>0</v>
      </c>
      <c r="E34" s="5" t="s">
        <v>47</v>
      </c>
      <c r="F34" s="2">
        <f t="shared" si="10"/>
        <v>10.045</v>
      </c>
      <c r="G34" s="2">
        <f t="shared" si="28"/>
        <v>6.8880000000000008</v>
      </c>
      <c r="H34" s="2">
        <f t="shared" si="29"/>
        <v>4.8216000000000001</v>
      </c>
      <c r="I34" s="2">
        <f t="shared" si="22"/>
        <v>14.062999999999999</v>
      </c>
      <c r="J34" s="2">
        <f t="shared" si="22"/>
        <v>1.2054</v>
      </c>
      <c r="K34" s="10">
        <f t="shared" si="23"/>
        <v>4.4722222222222205</v>
      </c>
      <c r="L34" s="10">
        <f t="shared" si="30"/>
        <v>6.6666666666666666E-2</v>
      </c>
      <c r="M34" s="10">
        <v>0</v>
      </c>
      <c r="N34" s="2">
        <f t="shared" si="24"/>
        <v>6.8880000000000008</v>
      </c>
      <c r="O34" s="2">
        <f t="shared" si="25"/>
        <v>56.180250000000001</v>
      </c>
      <c r="P34" s="2">
        <f t="shared" si="26"/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31"/>
        <v>30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5">$G37*(1-(X$26*(1-$K37)))</f>
        <v>9.467293333333334</v>
      </c>
      <c r="Y34" s="2">
        <f t="shared" si="35"/>
        <v>10.905786666666666</v>
      </c>
      <c r="Z34" s="2">
        <f t="shared" si="35"/>
        <v>12.344279999999999</v>
      </c>
      <c r="AA34" s="2">
        <f t="shared" si="35"/>
        <v>13.782773333333331</v>
      </c>
      <c r="AB34" s="2">
        <f t="shared" si="35"/>
        <v>15.221266666666665</v>
      </c>
      <c r="AC34" s="2">
        <f t="shared" si="35"/>
        <v>16.659759999999995</v>
      </c>
      <c r="AD34" s="2">
        <f t="shared" si="35"/>
        <v>18.098253333333332</v>
      </c>
      <c r="AE34" s="2">
        <f t="shared" si="35"/>
        <v>19.536746666666662</v>
      </c>
      <c r="AF34" s="2">
        <f t="shared" si="35"/>
        <v>20.975239999999996</v>
      </c>
      <c r="AG34" s="2">
        <f t="shared" si="35"/>
        <v>22.41373333333333</v>
      </c>
      <c r="AH34" s="2">
        <f t="shared" si="35"/>
        <v>23.85222666666666</v>
      </c>
      <c r="AI34" s="2">
        <f t="shared" si="35"/>
        <v>25.290719999999993</v>
      </c>
      <c r="AJ34" s="2">
        <f t="shared" si="35"/>
        <v>26.72921333333333</v>
      </c>
      <c r="AK34" s="2">
        <f t="shared" si="35"/>
        <v>28.167706666666664</v>
      </c>
      <c r="AL34" s="2">
        <f t="shared" si="35"/>
        <v>29.606199999999998</v>
      </c>
      <c r="AM34" s="2">
        <f t="shared" si="35"/>
        <v>31.044693333333331</v>
      </c>
      <c r="AN34" s="2">
        <f t="shared" si="35"/>
        <v>32.483186666666661</v>
      </c>
      <c r="AO34" s="2">
        <f t="shared" si="35"/>
        <v>33.921680000000002</v>
      </c>
      <c r="AP34" s="2">
        <f t="shared" si="35"/>
        <v>35.360173333333336</v>
      </c>
    </row>
    <row r="35" spans="1:42" x14ac:dyDescent="0.25">
      <c r="A35" s="21">
        <f t="shared" si="9"/>
        <v>2.7E-2</v>
      </c>
      <c r="C35" s="2">
        <v>4</v>
      </c>
      <c r="D35">
        <v>1</v>
      </c>
      <c r="E35" s="5" t="s">
        <v>48</v>
      </c>
      <c r="F35" s="2">
        <f t="shared" si="10"/>
        <v>10.026999999999999</v>
      </c>
      <c r="G35" s="2">
        <f t="shared" si="28"/>
        <v>5.7297142857142855</v>
      </c>
      <c r="H35" s="2">
        <f t="shared" si="29"/>
        <v>4.0107999999999997</v>
      </c>
      <c r="I35" s="2">
        <f t="shared" si="22"/>
        <v>15.040499999999998</v>
      </c>
      <c r="J35" s="2">
        <f t="shared" si="22"/>
        <v>1.0026999999999999</v>
      </c>
      <c r="K35" s="10">
        <f t="shared" si="23"/>
        <v>6.4166666666666652</v>
      </c>
      <c r="L35" s="10">
        <f t="shared" si="30"/>
        <v>6.6666666666666666E-2</v>
      </c>
      <c r="M35" s="10">
        <v>0</v>
      </c>
      <c r="N35" s="2">
        <f t="shared" si="24"/>
        <v>5.7297142857142855</v>
      </c>
      <c r="O35" s="2">
        <f t="shared" si="25"/>
        <v>99.697028571428561</v>
      </c>
      <c r="P35" s="2">
        <f t="shared" si="26"/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31"/>
        <v>36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6">$G38*(1-(X$26*(1-$K38)))</f>
        <v>8.2310741333333315</v>
      </c>
      <c r="Y35" s="2">
        <f t="shared" si="36"/>
        <v>10.048324266666665</v>
      </c>
      <c r="Z35" s="2">
        <f t="shared" si="36"/>
        <v>11.8655744</v>
      </c>
      <c r="AA35" s="2">
        <f t="shared" si="36"/>
        <v>13.682824533333331</v>
      </c>
      <c r="AB35" s="2">
        <f t="shared" si="36"/>
        <v>15.500074666666665</v>
      </c>
      <c r="AC35" s="2">
        <f t="shared" si="36"/>
        <v>17.317324799999998</v>
      </c>
      <c r="AD35" s="2">
        <f t="shared" si="36"/>
        <v>19.134574933333329</v>
      </c>
      <c r="AE35" s="2">
        <f t="shared" si="36"/>
        <v>20.951825066666665</v>
      </c>
      <c r="AF35" s="2">
        <f t="shared" si="36"/>
        <v>22.7690752</v>
      </c>
      <c r="AG35" s="2">
        <f t="shared" si="36"/>
        <v>24.586325333333331</v>
      </c>
      <c r="AH35" s="2">
        <f t="shared" si="36"/>
        <v>26.403575466666663</v>
      </c>
      <c r="AI35" s="2">
        <f t="shared" si="36"/>
        <v>28.220825600000001</v>
      </c>
      <c r="AJ35" s="2">
        <f t="shared" si="36"/>
        <v>30.038075733333336</v>
      </c>
      <c r="AK35" s="2">
        <f t="shared" si="36"/>
        <v>31.855325866666671</v>
      </c>
      <c r="AL35" s="2">
        <f t="shared" si="36"/>
        <v>33.672575999999999</v>
      </c>
      <c r="AM35" s="2">
        <f t="shared" si="36"/>
        <v>35.489826133333338</v>
      </c>
      <c r="AN35" s="2">
        <f t="shared" si="36"/>
        <v>37.307076266666677</v>
      </c>
      <c r="AO35" s="2">
        <f t="shared" si="36"/>
        <v>39.124326400000008</v>
      </c>
      <c r="AP35" s="2">
        <f t="shared" si="36"/>
        <v>40.941576533333347</v>
      </c>
    </row>
    <row r="36" spans="1:42" x14ac:dyDescent="0.25">
      <c r="A36" s="21">
        <f t="shared" si="9"/>
        <v>6.3E-2</v>
      </c>
      <c r="C36" s="2">
        <v>5</v>
      </c>
      <c r="D36">
        <v>-1</v>
      </c>
      <c r="E36" s="5" t="s">
        <v>49</v>
      </c>
      <c r="F36" s="2">
        <f t="shared" si="10"/>
        <v>12.563000000000001</v>
      </c>
      <c r="G36" s="2">
        <f t="shared" si="28"/>
        <v>9.6483840000000001</v>
      </c>
      <c r="H36" s="2">
        <f t="shared" si="29"/>
        <v>6.03024</v>
      </c>
      <c r="I36" s="2">
        <f t="shared" si="22"/>
        <v>17.588200000000001</v>
      </c>
      <c r="J36" s="2">
        <f t="shared" si="22"/>
        <v>1.50756</v>
      </c>
      <c r="K36" s="10">
        <f t="shared" si="23"/>
        <v>3.1944444444444446</v>
      </c>
      <c r="L36" s="10">
        <f t="shared" si="30"/>
        <v>8.3333333333333329E-2</v>
      </c>
      <c r="M36" s="10">
        <v>0</v>
      </c>
      <c r="N36" s="2">
        <f t="shared" si="24"/>
        <v>9.6483840000000001</v>
      </c>
      <c r="O36" s="2">
        <f t="shared" si="25"/>
        <v>38.387625365853658</v>
      </c>
      <c r="P36" s="2">
        <f t="shared" si="26"/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31"/>
        <v>24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7.2717083333333346</v>
      </c>
      <c r="Y36" s="2">
        <f t="shared" ref="Y36:AP36" si="37">($G27*(1-(Y$26*(1-$K27))))/2</f>
        <v>8.8214166666666678</v>
      </c>
      <c r="Z36" s="2">
        <f t="shared" si="37"/>
        <v>10.371125000000001</v>
      </c>
      <c r="AA36" s="2">
        <f t="shared" si="37"/>
        <v>11.920833333333334</v>
      </c>
      <c r="AB36" s="2">
        <f t="shared" si="37"/>
        <v>13.470541666666669</v>
      </c>
      <c r="AC36" s="2">
        <f t="shared" si="37"/>
        <v>15.020250000000001</v>
      </c>
      <c r="AD36" s="2">
        <f t="shared" si="37"/>
        <v>16.569958333333332</v>
      </c>
      <c r="AE36" s="2">
        <f t="shared" si="37"/>
        <v>18.119666666666667</v>
      </c>
      <c r="AF36" s="2">
        <f t="shared" si="37"/>
        <v>19.669375000000002</v>
      </c>
      <c r="AG36" s="2">
        <f t="shared" si="37"/>
        <v>21.219083333333334</v>
      </c>
      <c r="AH36" s="2">
        <f t="shared" si="37"/>
        <v>22.768791666666669</v>
      </c>
      <c r="AI36" s="2">
        <f t="shared" si="37"/>
        <v>24.3185</v>
      </c>
      <c r="AJ36" s="2">
        <f t="shared" si="37"/>
        <v>25.868208333333339</v>
      </c>
      <c r="AK36" s="2">
        <f t="shared" si="37"/>
        <v>27.417916666666674</v>
      </c>
      <c r="AL36" s="2">
        <f t="shared" si="37"/>
        <v>28.967625000000009</v>
      </c>
      <c r="AM36" s="2">
        <f t="shared" si="37"/>
        <v>30.517333333333344</v>
      </c>
      <c r="AN36" s="2">
        <f t="shared" si="37"/>
        <v>32.067041666666675</v>
      </c>
      <c r="AO36" s="2">
        <f t="shared" si="37"/>
        <v>33.61675000000001</v>
      </c>
      <c r="AP36" s="2">
        <f t="shared" si="37"/>
        <v>35.166458333333345</v>
      </c>
    </row>
    <row r="37" spans="1:42" x14ac:dyDescent="0.25">
      <c r="A37" s="21">
        <f t="shared" si="9"/>
        <v>4.4999999999999998E-2</v>
      </c>
      <c r="C37" s="2">
        <v>5</v>
      </c>
      <c r="D37">
        <v>0</v>
      </c>
      <c r="E37" s="5" t="s">
        <v>50</v>
      </c>
      <c r="F37" s="2">
        <f t="shared" si="10"/>
        <v>12.545</v>
      </c>
      <c r="G37" s="2">
        <f t="shared" si="28"/>
        <v>8.0288000000000004</v>
      </c>
      <c r="H37" s="2">
        <f t="shared" si="29"/>
        <v>5.0179999999999998</v>
      </c>
      <c r="I37" s="2">
        <f t="shared" si="22"/>
        <v>18.817499999999999</v>
      </c>
      <c r="J37" s="2">
        <f t="shared" si="22"/>
        <v>1.2544999999999999</v>
      </c>
      <c r="K37" s="10">
        <f t="shared" si="23"/>
        <v>4.5833333333333321</v>
      </c>
      <c r="L37" s="10">
        <f t="shared" si="30"/>
        <v>8.3333333333333329E-2</v>
      </c>
      <c r="M37" s="10">
        <v>0</v>
      </c>
      <c r="N37" s="2">
        <f t="shared" si="24"/>
        <v>8.0288000000000004</v>
      </c>
      <c r="O37" s="2">
        <f t="shared" si="25"/>
        <v>65.484899999999996</v>
      </c>
      <c r="P37" s="2">
        <f t="shared" si="26"/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31"/>
        <v>30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8.222203733333334</v>
      </c>
      <c r="Y37" s="2">
        <f t="shared" ref="Y37:AP37" si="38">($G28*(1-(Y$26*(1-$K28))))/2</f>
        <v>10.037495466666668</v>
      </c>
      <c r="Z37" s="2">
        <f t="shared" si="38"/>
        <v>11.852787200000002</v>
      </c>
      <c r="AA37" s="2">
        <f t="shared" si="38"/>
        <v>13.668078933333335</v>
      </c>
      <c r="AB37" s="2">
        <f t="shared" si="38"/>
        <v>15.483370666666669</v>
      </c>
      <c r="AC37" s="2">
        <f t="shared" si="38"/>
        <v>17.298662400000001</v>
      </c>
      <c r="AD37" s="2">
        <f t="shared" si="38"/>
        <v>19.113954133333333</v>
      </c>
      <c r="AE37" s="2">
        <f t="shared" si="38"/>
        <v>20.929245866666669</v>
      </c>
      <c r="AF37" s="2">
        <f t="shared" si="38"/>
        <v>22.744537600000001</v>
      </c>
      <c r="AG37" s="2">
        <f t="shared" si="38"/>
        <v>24.559829333333337</v>
      </c>
      <c r="AH37" s="2">
        <f t="shared" si="38"/>
        <v>26.375121066666669</v>
      </c>
      <c r="AI37" s="2">
        <f t="shared" si="38"/>
        <v>28.190412800000004</v>
      </c>
      <c r="AJ37" s="2">
        <f t="shared" si="38"/>
        <v>30.005704533333336</v>
      </c>
      <c r="AK37" s="2">
        <f t="shared" si="38"/>
        <v>31.820996266666675</v>
      </c>
      <c r="AL37" s="2">
        <f t="shared" si="38"/>
        <v>33.636288000000015</v>
      </c>
      <c r="AM37" s="2">
        <f t="shared" si="38"/>
        <v>35.451579733333347</v>
      </c>
      <c r="AN37" s="2">
        <f t="shared" si="38"/>
        <v>37.266871466666686</v>
      </c>
      <c r="AO37" s="2">
        <f t="shared" si="38"/>
        <v>39.082163200000018</v>
      </c>
      <c r="AP37" s="2">
        <f t="shared" si="38"/>
        <v>40.897454933333357</v>
      </c>
    </row>
    <row r="38" spans="1:42" x14ac:dyDescent="0.25">
      <c r="A38" s="21">
        <f t="shared" si="9"/>
        <v>2.7E-2</v>
      </c>
      <c r="C38" s="2">
        <v>5</v>
      </c>
      <c r="D38">
        <v>1</v>
      </c>
      <c r="E38" s="5" t="s">
        <v>51</v>
      </c>
      <c r="F38" s="2">
        <f t="shared" si="10"/>
        <v>12.526999999999999</v>
      </c>
      <c r="G38" s="2">
        <f t="shared" si="28"/>
        <v>6.4138239999999982</v>
      </c>
      <c r="H38" s="2">
        <f t="shared" si="29"/>
        <v>4.0086399999999989</v>
      </c>
      <c r="I38" s="2">
        <f t="shared" si="22"/>
        <v>20.043199999999999</v>
      </c>
      <c r="J38" s="2">
        <f t="shared" si="22"/>
        <v>1.0021599999999997</v>
      </c>
      <c r="K38" s="10">
        <f t="shared" si="23"/>
        <v>6.6666666666666687</v>
      </c>
      <c r="L38" s="10">
        <f t="shared" si="30"/>
        <v>8.3333333333333329E-2</v>
      </c>
      <c r="M38" s="10">
        <v>0</v>
      </c>
      <c r="N38" s="2">
        <f t="shared" si="24"/>
        <v>6.4138239999999982</v>
      </c>
      <c r="O38" s="2">
        <f t="shared" si="25"/>
        <v>111.60053759999997</v>
      </c>
      <c r="P38" s="2">
        <f t="shared" si="26"/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31"/>
        <v>36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9">$F40*(INDEX($F$3:$F$5,I$39)+(($C40+($D40*$F$7))*INDEX($G$3:$G$5,I$39)))</f>
        <v>8.0107999999999997</v>
      </c>
      <c r="J40" s="2">
        <f t="shared" si="39"/>
        <v>2.0026999999999999</v>
      </c>
      <c r="K40" s="10">
        <f t="shared" si="23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9"/>
        <v>8.0086399999999998</v>
      </c>
      <c r="J41" s="2">
        <f t="shared" si="39"/>
        <v>2.0021599999999999</v>
      </c>
      <c r="K41" s="10">
        <f t="shared" si="23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8.1000000000000003E-2</v>
      </c>
      <c r="C43" s="2">
        <v>3</v>
      </c>
      <c r="D43" s="2">
        <v>1</v>
      </c>
      <c r="E43" s="5" t="s">
        <v>56</v>
      </c>
      <c r="F43" s="2">
        <f t="shared" si="10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40">$F43*(INDEX($F$3:$F$5,J$42)+(($C43+($D43*$F$7))*INDEX($G$3:$G$5,J$42)))</f>
        <v>10.6134</v>
      </c>
      <c r="K43" s="10">
        <f>1-((1-(I43/G43))/INDEX($P$2:$P$6,C43))</f>
        <v>-2.5833333333333335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7.2000000000000008E-2</v>
      </c>
      <c r="C44" s="2">
        <v>3</v>
      </c>
      <c r="D44" s="2">
        <v>2</v>
      </c>
      <c r="E44" s="5" t="s">
        <v>57</v>
      </c>
      <c r="F44" s="2">
        <f t="shared" si="10"/>
        <v>7.5720000000000001</v>
      </c>
      <c r="G44" s="2">
        <f t="shared" ref="G44:G51" si="41">IF(G$42=1,H44,H44/(1-INDEX($O$2:$O$6,C44)))</f>
        <v>3.9081290322580644</v>
      </c>
      <c r="H44" s="2">
        <f t="shared" ref="H44:H51" si="42">$F44*(INDEX($F$3:$F$5,H$42)+(($C44+($D44*$F$7))*INDEX($G$3:$G$5,H$42)))</f>
        <v>3.0287999999999999</v>
      </c>
      <c r="I44" s="2">
        <f t="shared" si="40"/>
        <v>0.75719999999999998</v>
      </c>
      <c r="J44" s="2">
        <f t="shared" si="40"/>
        <v>11.358000000000001</v>
      </c>
      <c r="K44" s="10">
        <f t="shared" si="23"/>
        <v>-2.5833333333333339</v>
      </c>
      <c r="L44" s="10">
        <f t="shared" ref="L44:L51" si="43">(INDEX($Q$2:$Q$6,C44)/((1/INDEX($F$4:$F$6,J$42))-1))</f>
        <v>1.7999999999999998</v>
      </c>
      <c r="M44" s="10">
        <v>0</v>
      </c>
      <c r="N44" s="2">
        <f t="shared" ref="N44:N51" si="44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45">$S$42*(1+(D44*$F$8))</f>
        <v>21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6.3E-2</v>
      </c>
      <c r="C45" s="2">
        <v>3</v>
      </c>
      <c r="D45" s="2">
        <v>3</v>
      </c>
      <c r="E45" s="5" t="s">
        <v>58</v>
      </c>
      <c r="F45" s="2">
        <f t="shared" si="10"/>
        <v>7.5629999999999997</v>
      </c>
      <c r="G45" s="2">
        <f t="shared" si="41"/>
        <v>3.1227870967741929</v>
      </c>
      <c r="H45" s="2">
        <f t="shared" si="42"/>
        <v>2.4201599999999996</v>
      </c>
      <c r="I45" s="2">
        <f t="shared" si="40"/>
        <v>0.60503999999999991</v>
      </c>
      <c r="J45" s="2">
        <f t="shared" si="40"/>
        <v>12.1008</v>
      </c>
      <c r="K45" s="10">
        <f>1-((1-(I45/G45))/INDEX($P$2:$P$6,C45))</f>
        <v>-2.5833333333333339</v>
      </c>
      <c r="L45" s="10">
        <f t="shared" si="43"/>
        <v>1.7999999999999998</v>
      </c>
      <c r="M45" s="10">
        <v>0</v>
      </c>
      <c r="N45" s="2">
        <f t="shared" si="44"/>
        <v>3.1227870967741929</v>
      </c>
      <c r="O45" s="2">
        <f t="shared" ref="O45:O51" si="46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45"/>
        <v>24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8.1000000000000003E-2</v>
      </c>
      <c r="C46" s="2">
        <v>4</v>
      </c>
      <c r="D46" s="2">
        <v>1</v>
      </c>
      <c r="E46" s="5" t="s">
        <v>59</v>
      </c>
      <c r="F46" s="2">
        <f t="shared" si="10"/>
        <v>10.081</v>
      </c>
      <c r="G46" s="2">
        <f t="shared" si="41"/>
        <v>5.7605714285714278</v>
      </c>
      <c r="H46" s="2">
        <f t="shared" si="42"/>
        <v>4.0323999999999991</v>
      </c>
      <c r="I46" s="2">
        <f t="shared" si="40"/>
        <v>1.0080999999999998</v>
      </c>
      <c r="J46" s="2">
        <f t="shared" si="40"/>
        <v>15.121499999999999</v>
      </c>
      <c r="K46" s="10">
        <f t="shared" si="23"/>
        <v>-1.75</v>
      </c>
      <c r="L46" s="10">
        <f t="shared" si="43"/>
        <v>2.4</v>
      </c>
      <c r="M46" s="10">
        <v>0</v>
      </c>
      <c r="N46" s="2">
        <f t="shared" si="44"/>
        <v>5.7605714285714278</v>
      </c>
      <c r="O46" s="2">
        <f t="shared" si="46"/>
        <v>18.96773519163763</v>
      </c>
      <c r="P46" s="2">
        <f t="shared" ref="P46:P51" si="47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45"/>
        <v>18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7.2000000000000008E-2</v>
      </c>
      <c r="C47" s="2">
        <v>4</v>
      </c>
      <c r="D47" s="2">
        <v>2</v>
      </c>
      <c r="E47" s="5" t="s">
        <v>60</v>
      </c>
      <c r="F47" s="2">
        <f t="shared" si="10"/>
        <v>10.071999999999999</v>
      </c>
      <c r="G47" s="2">
        <f t="shared" si="41"/>
        <v>4.6043428571428562</v>
      </c>
      <c r="H47" s="2">
        <f t="shared" si="42"/>
        <v>3.2230399999999992</v>
      </c>
      <c r="I47" s="2">
        <f t="shared" si="40"/>
        <v>0.80575999999999981</v>
      </c>
      <c r="J47" s="2">
        <f t="shared" si="40"/>
        <v>16.115199999999998</v>
      </c>
      <c r="K47" s="10">
        <f t="shared" si="23"/>
        <v>-1.75</v>
      </c>
      <c r="L47" s="10">
        <f t="shared" si="43"/>
        <v>2.4</v>
      </c>
      <c r="M47" s="10">
        <v>0</v>
      </c>
      <c r="N47" s="2">
        <f t="shared" si="44"/>
        <v>4.6043428571428562</v>
      </c>
      <c r="O47" s="2">
        <f t="shared" si="46"/>
        <v>31.079314285714275</v>
      </c>
      <c r="P47" s="2">
        <f t="shared" si="47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45"/>
        <v>21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6.3E-2</v>
      </c>
      <c r="C48" s="2">
        <v>4</v>
      </c>
      <c r="D48" s="2">
        <v>3</v>
      </c>
      <c r="E48" s="5" t="s">
        <v>61</v>
      </c>
      <c r="F48" s="2">
        <f t="shared" si="10"/>
        <v>10.063000000000001</v>
      </c>
      <c r="G48" s="2">
        <f t="shared" si="41"/>
        <v>3.4501714285714287</v>
      </c>
      <c r="H48" s="2">
        <f t="shared" si="42"/>
        <v>2.4151199999999999</v>
      </c>
      <c r="I48" s="2">
        <f t="shared" si="40"/>
        <v>0.60377999999999998</v>
      </c>
      <c r="J48" s="2">
        <f t="shared" si="40"/>
        <v>17.107100000000003</v>
      </c>
      <c r="K48" s="10">
        <f t="shared" si="23"/>
        <v>-1.75</v>
      </c>
      <c r="L48" s="10">
        <f t="shared" si="43"/>
        <v>2.4</v>
      </c>
      <c r="M48" s="10">
        <v>0</v>
      </c>
      <c r="N48" s="2">
        <f t="shared" si="44"/>
        <v>3.4501714285714287</v>
      </c>
      <c r="O48" s="2">
        <f t="shared" si="46"/>
        <v>49.682468571428572</v>
      </c>
      <c r="P48" s="2">
        <f t="shared" si="47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45"/>
        <v>24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8.1000000000000003E-2</v>
      </c>
      <c r="C49" s="2">
        <v>5</v>
      </c>
      <c r="D49" s="2">
        <v>1</v>
      </c>
      <c r="E49" s="5" t="s">
        <v>62</v>
      </c>
      <c r="F49" s="2">
        <f t="shared" si="10"/>
        <v>12.581</v>
      </c>
      <c r="G49" s="2">
        <f t="shared" si="41"/>
        <v>6.4414719999999992</v>
      </c>
      <c r="H49" s="2">
        <f t="shared" si="42"/>
        <v>4.0259199999999993</v>
      </c>
      <c r="I49" s="2">
        <f t="shared" si="40"/>
        <v>1.0064799999999998</v>
      </c>
      <c r="J49" s="2">
        <f t="shared" si="40"/>
        <v>20.1296</v>
      </c>
      <c r="K49" s="10">
        <f t="shared" si="23"/>
        <v>-1.25</v>
      </c>
      <c r="L49" s="10">
        <f t="shared" si="43"/>
        <v>3</v>
      </c>
      <c r="M49" s="10">
        <v>0</v>
      </c>
      <c r="N49" s="2">
        <f t="shared" si="44"/>
        <v>6.4414719999999992</v>
      </c>
      <c r="O49" s="2">
        <f t="shared" si="46"/>
        <v>21.209724878048782</v>
      </c>
      <c r="P49" s="2">
        <f t="shared" si="47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45"/>
        <v>18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7.2000000000000008E-2</v>
      </c>
      <c r="C50" s="2">
        <v>5</v>
      </c>
      <c r="D50" s="2">
        <v>2</v>
      </c>
      <c r="E50" s="5" t="s">
        <v>63</v>
      </c>
      <c r="F50" s="2">
        <f t="shared" si="10"/>
        <v>12.571999999999999</v>
      </c>
      <c r="G50" s="2">
        <f t="shared" si="41"/>
        <v>4.8276479999999991</v>
      </c>
      <c r="H50" s="2">
        <f t="shared" si="42"/>
        <v>3.0172799999999995</v>
      </c>
      <c r="I50" s="2">
        <f t="shared" si="40"/>
        <v>0.75431999999999988</v>
      </c>
      <c r="J50" s="2">
        <f t="shared" si="40"/>
        <v>21.372400000000003</v>
      </c>
      <c r="K50" s="10">
        <f t="shared" si="23"/>
        <v>-1.25</v>
      </c>
      <c r="L50" s="10">
        <f t="shared" si="43"/>
        <v>3</v>
      </c>
      <c r="M50" s="10">
        <v>0</v>
      </c>
      <c r="N50" s="2">
        <f t="shared" si="44"/>
        <v>4.8276479999999991</v>
      </c>
      <c r="O50" s="2">
        <f t="shared" si="46"/>
        <v>32.586623999999993</v>
      </c>
      <c r="P50" s="2">
        <f t="shared" si="47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45"/>
        <v>21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6.3E-2</v>
      </c>
      <c r="C51" s="2">
        <v>5</v>
      </c>
      <c r="D51" s="2">
        <v>3</v>
      </c>
      <c r="E51" s="5" t="s">
        <v>64</v>
      </c>
      <c r="F51" s="2">
        <f t="shared" si="10"/>
        <v>12.563000000000001</v>
      </c>
      <c r="G51" s="2">
        <f t="shared" si="41"/>
        <v>3.2161279999999985</v>
      </c>
      <c r="H51" s="2">
        <f t="shared" si="42"/>
        <v>2.010079999999999</v>
      </c>
      <c r="I51" s="2">
        <f t="shared" si="40"/>
        <v>0.50251999999999974</v>
      </c>
      <c r="J51" s="2">
        <f t="shared" si="40"/>
        <v>22.613400000000002</v>
      </c>
      <c r="K51" s="10">
        <f>1-((1-(I51/G51))/INDEX($P$2:$P$6,C51))</f>
        <v>-1.25</v>
      </c>
      <c r="L51" s="10">
        <f t="shared" si="43"/>
        <v>3</v>
      </c>
      <c r="M51" s="10">
        <v>0</v>
      </c>
      <c r="N51" s="2">
        <f t="shared" si="44"/>
        <v>3.2161279999999985</v>
      </c>
      <c r="O51" s="2">
        <f t="shared" si="46"/>
        <v>46.312243199999983</v>
      </c>
      <c r="P51" s="2">
        <f t="shared" si="47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45"/>
        <v>24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8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24.919</v>
      </c>
      <c r="G54" s="2">
        <f>IF(G$52=1,H54,H54/(1-INDEX($O$2:$O$6,C54)))</f>
        <v>39.870400000000004</v>
      </c>
      <c r="H54" s="2">
        <f t="shared" ref="H54:J75" si="49">$F54*(INDEX($F$3:$F$5,H$9)+(($C54+($D54*$F$7))*INDEX($G$3:$G$5,H$9)))</f>
        <v>39.870400000000004</v>
      </c>
      <c r="I54" s="2">
        <f t="shared" si="49"/>
        <v>7.9740799999999989</v>
      </c>
      <c r="J54" s="2">
        <f t="shared" si="49"/>
        <v>1.9935199999999997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8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0">1-((1-(I56/G56))/INDEX($P$2:$P$6,C56))</f>
        <v>-9.2500000000000018</v>
      </c>
      <c r="L56" s="10">
        <v>0</v>
      </c>
      <c r="M56" s="10">
        <v>1</v>
      </c>
      <c r="N56" s="2">
        <f t="shared" si="48"/>
        <v>2.1855135135135138</v>
      </c>
      <c r="O56" s="2">
        <f t="shared" ref="O56:O70" si="51">0.75*(((G56*INDEX($R$1:$R$3,$D56+2))*Q56)/R56)</f>
        <v>8.0878378378378386</v>
      </c>
      <c r="P56" s="2">
        <f t="shared" ref="P56:P70" si="52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3">IF(G$55=1,H57,H57/(1-INDEX($O$2:$O$6,C57)))</f>
        <v>1.8378378378378379</v>
      </c>
      <c r="H57" s="2">
        <f>$F57*(0.68-(0.12*$D57))</f>
        <v>1.7000000000000002</v>
      </c>
      <c r="I57" s="2">
        <f t="shared" ref="I57:I70" si="54">$F57*(0.32+(0.12*D57))</f>
        <v>0.8</v>
      </c>
      <c r="J57" s="2">
        <f t="shared" ref="J57:J70" si="55">F57</f>
        <v>2.5</v>
      </c>
      <c r="K57" s="10">
        <f t="shared" si="50"/>
        <v>-6.5294117647058822</v>
      </c>
      <c r="L57" s="10">
        <v>0</v>
      </c>
      <c r="M57" s="10">
        <v>1</v>
      </c>
      <c r="N57" s="2">
        <f t="shared" si="48"/>
        <v>3.6756756756756759</v>
      </c>
      <c r="O57" s="2">
        <f t="shared" si="51"/>
        <v>14.358108108108109</v>
      </c>
      <c r="P57" s="2">
        <f t="shared" si="52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56">$S$55*(1+(D57*$F$8))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3"/>
        <v>1.4971675675675675</v>
      </c>
      <c r="H58" s="2">
        <f t="shared" ref="H58:H70" si="57">$F58*(0.68-(0.12*$D58))</f>
        <v>1.3848800000000001</v>
      </c>
      <c r="I58" s="2">
        <f t="shared" si="54"/>
        <v>1.08812</v>
      </c>
      <c r="J58" s="2">
        <f t="shared" si="55"/>
        <v>2.4729999999999999</v>
      </c>
      <c r="K58" s="10">
        <f t="shared" si="50"/>
        <v>-2.6428571428571432</v>
      </c>
      <c r="L58" s="10">
        <v>0</v>
      </c>
      <c r="M58" s="10">
        <v>1</v>
      </c>
      <c r="N58" s="2">
        <f t="shared" si="48"/>
        <v>5.9886702702702701</v>
      </c>
      <c r="O58" s="2">
        <f t="shared" si="51"/>
        <v>25.139007664380795</v>
      </c>
      <c r="P58" s="2">
        <f t="shared" si="52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56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2.7E-2</v>
      </c>
      <c r="C59" s="2">
        <v>2</v>
      </c>
      <c r="D59" s="2">
        <v>-1</v>
      </c>
      <c r="E59" s="16" t="s">
        <v>72</v>
      </c>
      <c r="F59" s="2">
        <f t="shared" si="10"/>
        <v>5.0270000000000001</v>
      </c>
      <c r="G59" s="2">
        <f t="shared" si="53"/>
        <v>4.7312941176470593</v>
      </c>
      <c r="H59" s="2">
        <f t="shared" si="57"/>
        <v>4.0216000000000003</v>
      </c>
      <c r="I59" s="2">
        <f t="shared" si="54"/>
        <v>1.0054000000000001</v>
      </c>
      <c r="J59" s="2">
        <f t="shared" si="55"/>
        <v>5.0270000000000001</v>
      </c>
      <c r="K59" s="10">
        <f t="shared" si="50"/>
        <v>-4.25</v>
      </c>
      <c r="L59" s="10">
        <v>0</v>
      </c>
      <c r="M59" s="10">
        <v>1</v>
      </c>
      <c r="N59" s="2">
        <f t="shared" si="48"/>
        <v>4.7312941176470593</v>
      </c>
      <c r="O59" s="2">
        <f t="shared" si="51"/>
        <v>17.508900928792571</v>
      </c>
      <c r="P59" s="2">
        <f t="shared" si="52"/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56"/>
        <v>36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0</v>
      </c>
      <c r="C60" s="2">
        <v>2</v>
      </c>
      <c r="D60" s="2">
        <v>0</v>
      </c>
      <c r="E60" s="16" t="s">
        <v>73</v>
      </c>
      <c r="F60" s="2">
        <f t="shared" si="10"/>
        <v>5</v>
      </c>
      <c r="G60" s="2">
        <f t="shared" si="53"/>
        <v>4.0000000000000009</v>
      </c>
      <c r="H60" s="2">
        <f t="shared" si="57"/>
        <v>3.4000000000000004</v>
      </c>
      <c r="I60" s="2">
        <f t="shared" si="54"/>
        <v>1.6</v>
      </c>
      <c r="J60" s="2">
        <f t="shared" si="55"/>
        <v>5</v>
      </c>
      <c r="K60" s="10">
        <f t="shared" si="50"/>
        <v>-3.0000000000000009</v>
      </c>
      <c r="L60" s="10">
        <v>0</v>
      </c>
      <c r="M60" s="10">
        <v>1</v>
      </c>
      <c r="N60" s="2">
        <f t="shared" si="48"/>
        <v>8.0000000000000018</v>
      </c>
      <c r="O60" s="2">
        <f t="shared" si="51"/>
        <v>31.250000000000007</v>
      </c>
      <c r="P60" s="2">
        <f t="shared" si="52"/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56"/>
        <v>45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-2.7E-2</v>
      </c>
      <c r="C61" s="2">
        <v>2</v>
      </c>
      <c r="D61" s="2">
        <v>1</v>
      </c>
      <c r="E61" s="16" t="s">
        <v>74</v>
      </c>
      <c r="F61" s="2">
        <f t="shared" si="10"/>
        <v>4.9729999999999999</v>
      </c>
      <c r="G61" s="2">
        <f t="shared" si="53"/>
        <v>3.2763294117647064</v>
      </c>
      <c r="H61" s="2">
        <f t="shared" si="57"/>
        <v>2.7848800000000002</v>
      </c>
      <c r="I61" s="2">
        <f t="shared" si="54"/>
        <v>2.1881200000000001</v>
      </c>
      <c r="J61" s="2">
        <f t="shared" si="55"/>
        <v>4.9729999999999999</v>
      </c>
      <c r="K61" s="10">
        <f t="shared" si="50"/>
        <v>-1.2142857142857149</v>
      </c>
      <c r="L61" s="10">
        <v>0</v>
      </c>
      <c r="M61" s="10">
        <v>1</v>
      </c>
      <c r="N61" s="2">
        <f t="shared" si="48"/>
        <v>13.105317647058826</v>
      </c>
      <c r="O61" s="2">
        <f t="shared" si="51"/>
        <v>55.012993854258127</v>
      </c>
      <c r="P61" s="2">
        <f t="shared" si="52"/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56"/>
        <v>54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2.7E-2</v>
      </c>
      <c r="C62" s="2">
        <v>3</v>
      </c>
      <c r="D62" s="2">
        <v>-1</v>
      </c>
      <c r="E62" s="16" t="s">
        <v>75</v>
      </c>
      <c r="F62" s="2">
        <f t="shared" si="10"/>
        <v>7.5270000000000001</v>
      </c>
      <c r="G62" s="2">
        <f t="shared" si="53"/>
        <v>7.7698064516129035</v>
      </c>
      <c r="H62" s="2">
        <f t="shared" si="57"/>
        <v>6.0216000000000003</v>
      </c>
      <c r="I62" s="2">
        <f t="shared" si="54"/>
        <v>1.5054000000000001</v>
      </c>
      <c r="J62" s="2">
        <f t="shared" si="55"/>
        <v>7.5270000000000001</v>
      </c>
      <c r="K62" s="10">
        <f t="shared" si="50"/>
        <v>-2.5833333333333339</v>
      </c>
      <c r="L62" s="10">
        <v>0</v>
      </c>
      <c r="M62" s="10">
        <v>1</v>
      </c>
      <c r="N62" s="2">
        <f t="shared" si="48"/>
        <v>7.7698064516129035</v>
      </c>
      <c r="O62" s="2">
        <f t="shared" si="51"/>
        <v>28.753395585738538</v>
      </c>
      <c r="P62" s="2">
        <f t="shared" si="52"/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56"/>
        <v>36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0</v>
      </c>
      <c r="C63" s="2">
        <v>3</v>
      </c>
      <c r="D63" s="2">
        <v>0</v>
      </c>
      <c r="E63" s="16" t="s">
        <v>76</v>
      </c>
      <c r="F63" s="2">
        <f t="shared" si="10"/>
        <v>7.5</v>
      </c>
      <c r="G63" s="2">
        <f t="shared" si="53"/>
        <v>6.580645161290323</v>
      </c>
      <c r="H63" s="2">
        <f t="shared" si="57"/>
        <v>5.1000000000000005</v>
      </c>
      <c r="I63" s="2">
        <f t="shared" si="54"/>
        <v>2.4</v>
      </c>
      <c r="J63" s="2">
        <f t="shared" si="55"/>
        <v>7.5</v>
      </c>
      <c r="K63" s="10">
        <f t="shared" si="50"/>
        <v>-1.8235294117647061</v>
      </c>
      <c r="L63" s="10">
        <v>0</v>
      </c>
      <c r="M63" s="10">
        <v>1</v>
      </c>
      <c r="N63" s="2">
        <f t="shared" si="48"/>
        <v>13.161290322580646</v>
      </c>
      <c r="O63" s="2">
        <f t="shared" si="51"/>
        <v>51.411290322580655</v>
      </c>
      <c r="P63" s="2">
        <f t="shared" si="52"/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56"/>
        <v>45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-2.7E-2</v>
      </c>
      <c r="C64" s="2">
        <v>3</v>
      </c>
      <c r="D64" s="2">
        <v>1</v>
      </c>
      <c r="E64" s="16" t="s">
        <v>77</v>
      </c>
      <c r="F64" s="2">
        <f t="shared" si="10"/>
        <v>7.4729999999999999</v>
      </c>
      <c r="G64" s="2">
        <f t="shared" si="53"/>
        <v>5.3998451612903233</v>
      </c>
      <c r="H64" s="2">
        <f t="shared" si="57"/>
        <v>4.1848800000000006</v>
      </c>
      <c r="I64" s="2">
        <f t="shared" si="54"/>
        <v>3.2881200000000002</v>
      </c>
      <c r="J64" s="2">
        <f t="shared" si="55"/>
        <v>7.4729999999999999</v>
      </c>
      <c r="K64" s="10">
        <f t="shared" si="50"/>
        <v>-0.73809523809523858</v>
      </c>
      <c r="L64" s="10">
        <v>0</v>
      </c>
      <c r="M64" s="10">
        <v>1</v>
      </c>
      <c r="N64" s="2">
        <f t="shared" si="48"/>
        <v>21.599380645161297</v>
      </c>
      <c r="O64" s="2">
        <f t="shared" si="51"/>
        <v>90.669041887337514</v>
      </c>
      <c r="P64" s="2">
        <f t="shared" si="52"/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56"/>
        <v>54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2.7E-2</v>
      </c>
      <c r="C65" s="2">
        <v>4</v>
      </c>
      <c r="D65" s="2">
        <v>-1</v>
      </c>
      <c r="E65" s="16" t="s">
        <v>78</v>
      </c>
      <c r="F65" s="2">
        <f t="shared" si="10"/>
        <v>10.026999999999999</v>
      </c>
      <c r="G65" s="2">
        <f t="shared" si="53"/>
        <v>11.459428571428571</v>
      </c>
      <c r="H65" s="2">
        <f t="shared" si="57"/>
        <v>8.0215999999999994</v>
      </c>
      <c r="I65" s="2">
        <f t="shared" si="54"/>
        <v>2.0053999999999998</v>
      </c>
      <c r="J65" s="2">
        <f t="shared" si="55"/>
        <v>10.026999999999999</v>
      </c>
      <c r="K65" s="10">
        <f t="shared" si="50"/>
        <v>-1.75</v>
      </c>
      <c r="L65" s="10">
        <v>0</v>
      </c>
      <c r="M65" s="10">
        <v>1</v>
      </c>
      <c r="N65" s="2">
        <f t="shared" si="48"/>
        <v>11.459428571428573</v>
      </c>
      <c r="O65" s="2">
        <f t="shared" si="51"/>
        <v>42.407424812030079</v>
      </c>
      <c r="P65" s="2">
        <f t="shared" si="52"/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56"/>
        <v>36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0</v>
      </c>
      <c r="C66" s="2">
        <v>4</v>
      </c>
      <c r="D66" s="2">
        <v>0</v>
      </c>
      <c r="E66" s="16" t="s">
        <v>79</v>
      </c>
      <c r="F66" s="2">
        <f t="shared" si="10"/>
        <v>10</v>
      </c>
      <c r="G66" s="2">
        <f t="shared" si="53"/>
        <v>9.7142857142857153</v>
      </c>
      <c r="H66" s="2">
        <f t="shared" si="57"/>
        <v>6.8000000000000007</v>
      </c>
      <c r="I66" s="2">
        <f t="shared" si="54"/>
        <v>3.2</v>
      </c>
      <c r="J66" s="2">
        <f t="shared" si="55"/>
        <v>10</v>
      </c>
      <c r="K66" s="10">
        <f t="shared" si="50"/>
        <v>-1.2352941176470593</v>
      </c>
      <c r="L66" s="10">
        <v>0</v>
      </c>
      <c r="M66" s="10">
        <v>1</v>
      </c>
      <c r="N66" s="2">
        <f t="shared" si="48"/>
        <v>19.428571428571431</v>
      </c>
      <c r="O66" s="2">
        <f t="shared" si="51"/>
        <v>75.892857142857153</v>
      </c>
      <c r="P66" s="2">
        <f t="shared" si="52"/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56"/>
        <v>45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-2.7E-2</v>
      </c>
      <c r="C67" s="2">
        <v>4</v>
      </c>
      <c r="D67" s="2">
        <v>1</v>
      </c>
      <c r="E67" s="16" t="s">
        <v>80</v>
      </c>
      <c r="F67" s="2">
        <f t="shared" si="10"/>
        <v>9.9730000000000008</v>
      </c>
      <c r="G67" s="2">
        <f t="shared" si="53"/>
        <v>7.9784000000000015</v>
      </c>
      <c r="H67" s="2">
        <f t="shared" si="57"/>
        <v>5.584880000000001</v>
      </c>
      <c r="I67" s="2">
        <f t="shared" si="54"/>
        <v>4.3881200000000007</v>
      </c>
      <c r="J67" s="2">
        <f t="shared" si="55"/>
        <v>9.9730000000000008</v>
      </c>
      <c r="K67" s="10">
        <f t="shared" si="50"/>
        <v>-0.50000000000000022</v>
      </c>
      <c r="L67" s="10">
        <v>0</v>
      </c>
      <c r="M67" s="10">
        <v>1</v>
      </c>
      <c r="N67" s="2">
        <f t="shared" si="48"/>
        <v>31.913600000000006</v>
      </c>
      <c r="O67" s="2">
        <f t="shared" si="51"/>
        <v>133.96567164179106</v>
      </c>
      <c r="P67" s="2">
        <f t="shared" si="52"/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56"/>
        <v>54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2.7E-2</v>
      </c>
      <c r="C68" s="2">
        <v>5</v>
      </c>
      <c r="D68" s="2">
        <v>-1</v>
      </c>
      <c r="E68" s="16" t="s">
        <v>81</v>
      </c>
      <c r="F68" s="2">
        <f t="shared" si="10"/>
        <v>12.526999999999999</v>
      </c>
      <c r="G68" s="2">
        <f t="shared" si="53"/>
        <v>16.034559999999999</v>
      </c>
      <c r="H68" s="2">
        <f t="shared" si="57"/>
        <v>10.021599999999999</v>
      </c>
      <c r="I68" s="2">
        <f t="shared" si="54"/>
        <v>2.5053999999999998</v>
      </c>
      <c r="J68" s="2">
        <f t="shared" si="55"/>
        <v>12.526999999999999</v>
      </c>
      <c r="K68" s="10">
        <f t="shared" si="50"/>
        <v>-1.25</v>
      </c>
      <c r="L68" s="10">
        <v>0</v>
      </c>
      <c r="M68" s="10">
        <v>1</v>
      </c>
      <c r="N68" s="2">
        <f t="shared" si="48"/>
        <v>16.034559999999999</v>
      </c>
      <c r="O68" s="2">
        <f t="shared" si="51"/>
        <v>59.338421052631574</v>
      </c>
      <c r="P68" s="2">
        <f t="shared" si="52"/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56"/>
        <v>36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0</v>
      </c>
      <c r="C69" s="2">
        <v>5</v>
      </c>
      <c r="D69" s="2">
        <v>0</v>
      </c>
      <c r="E69" s="16" t="s">
        <v>82</v>
      </c>
      <c r="F69" s="2">
        <f t="shared" si="10"/>
        <v>12.5</v>
      </c>
      <c r="G69" s="2">
        <f t="shared" si="53"/>
        <v>13.6</v>
      </c>
      <c r="H69" s="2">
        <f>$F69*(0.68-(0.12*$D69))</f>
        <v>8.5</v>
      </c>
      <c r="I69" s="2">
        <f t="shared" si="54"/>
        <v>4</v>
      </c>
      <c r="J69" s="2">
        <f t="shared" si="55"/>
        <v>12.5</v>
      </c>
      <c r="K69" s="10">
        <f t="shared" si="50"/>
        <v>-0.88235294117647034</v>
      </c>
      <c r="L69" s="10">
        <v>0</v>
      </c>
      <c r="M69" s="10">
        <v>1</v>
      </c>
      <c r="N69" s="2">
        <f t="shared" si="48"/>
        <v>27.200000000000003</v>
      </c>
      <c r="O69" s="2">
        <f t="shared" si="51"/>
        <v>106.25000000000001</v>
      </c>
      <c r="P69" s="2">
        <f t="shared" si="52"/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56"/>
        <v>45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-2.7E-2</v>
      </c>
      <c r="C70" s="2">
        <v>5</v>
      </c>
      <c r="D70" s="2">
        <v>1</v>
      </c>
      <c r="E70" s="16" t="s">
        <v>83</v>
      </c>
      <c r="F70" s="2">
        <f t="shared" si="10"/>
        <v>12.473000000000001</v>
      </c>
      <c r="G70" s="2">
        <f t="shared" si="53"/>
        <v>11.175808000000002</v>
      </c>
      <c r="H70" s="2">
        <f t="shared" si="57"/>
        <v>6.9848800000000013</v>
      </c>
      <c r="I70" s="2">
        <f t="shared" si="54"/>
        <v>5.4881200000000003</v>
      </c>
      <c r="J70" s="2">
        <f t="shared" si="55"/>
        <v>12.473000000000001</v>
      </c>
      <c r="K70" s="10">
        <f t="shared" si="50"/>
        <v>-0.35714285714285698</v>
      </c>
      <c r="L70" s="10">
        <v>0</v>
      </c>
      <c r="M70" s="10">
        <v>1</v>
      </c>
      <c r="N70" s="2">
        <f t="shared" si="48"/>
        <v>44.703232000000007</v>
      </c>
      <c r="O70" s="2">
        <f t="shared" si="51"/>
        <v>187.65349253731347</v>
      </c>
      <c r="P70" s="2">
        <f t="shared" si="52"/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56"/>
        <v>54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14"/>
    </row>
    <row r="72" spans="1:21" x14ac:dyDescent="0.25">
      <c r="A72" s="21">
        <f t="shared" si="9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9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9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8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2.7E-2</v>
      </c>
      <c r="C75" s="2">
        <v>3</v>
      </c>
      <c r="D75" s="2">
        <v>-1</v>
      </c>
      <c r="E75" s="16" t="s">
        <v>88</v>
      </c>
      <c r="F75" s="2">
        <f t="shared" si="5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9"/>
        <v>1.2</v>
      </c>
      <c r="K75" s="10">
        <f t="shared" si="23"/>
        <v>0.93939393939393978</v>
      </c>
      <c r="L75" s="10">
        <v>0</v>
      </c>
      <c r="M75" s="10">
        <v>1</v>
      </c>
      <c r="N75" s="2">
        <f t="shared" si="48"/>
        <v>4.258064516129032</v>
      </c>
      <c r="O75" s="2">
        <f t="shared" ref="O75:O83" si="59">0.75*(((G75*INDEX($R$1:$R$3,$D75+2))*Q75)/R75)</f>
        <v>12.267899291896143</v>
      </c>
      <c r="P75" s="2">
        <f t="shared" ref="P75:P83" si="60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1">(S76-$I$2)*$J$2</f>
        <v>0</v>
      </c>
      <c r="C76" s="2">
        <v>3</v>
      </c>
      <c r="D76" s="2">
        <v>0</v>
      </c>
      <c r="E76" s="16" t="s">
        <v>89</v>
      </c>
      <c r="F76" s="2">
        <f t="shared" ref="F76:F115" si="62">($F$2+(C76*$F$1))*(B76+1)</f>
        <v>7.5</v>
      </c>
      <c r="G76" s="2">
        <f t="shared" ref="G76:G83" si="63">IF(G$74=1,H76,H76/(1-INDEX($O$2:$O$6,C76)))</f>
        <v>3.096774193548387</v>
      </c>
      <c r="H76" s="2">
        <f t="shared" ref="H76:H83" si="64">$F76*(0.32-(0.12*$D76))</f>
        <v>2.4</v>
      </c>
      <c r="I76" s="2">
        <f t="shared" ref="I76:I83" si="65">$F76*(0.68+(0.12*D76))</f>
        <v>5.1000000000000005</v>
      </c>
      <c r="J76" s="2">
        <f t="shared" ref="H76:J86" si="66">$F76*(INDEX($F$3:$F$5,J$9)+(($C76+($D76*$F$7))*INDEX($G$3:$G$5,J$9)))</f>
        <v>1.05</v>
      </c>
      <c r="K76" s="10">
        <f t="shared" si="23"/>
        <v>3.8750000000000018</v>
      </c>
      <c r="L76" s="10">
        <v>0</v>
      </c>
      <c r="M76" s="10">
        <v>1</v>
      </c>
      <c r="N76" s="2">
        <f t="shared" si="48"/>
        <v>6.193548387096774</v>
      </c>
      <c r="O76" s="2">
        <f t="shared" si="59"/>
        <v>18.29032258064516</v>
      </c>
      <c r="P76" s="2">
        <f t="shared" si="60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67">$S$74*(1+(D76*$F$8))</f>
        <v>45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1"/>
        <v>-2.7E-2</v>
      </c>
      <c r="C77" s="2">
        <v>3</v>
      </c>
      <c r="D77" s="2">
        <v>1</v>
      </c>
      <c r="E77" s="16" t="s">
        <v>90</v>
      </c>
      <c r="F77" s="2">
        <f t="shared" si="62"/>
        <v>7.5</v>
      </c>
      <c r="G77" s="2">
        <f t="shared" si="63"/>
        <v>1.9354838709677418</v>
      </c>
      <c r="H77" s="2">
        <f t="shared" si="64"/>
        <v>1.5</v>
      </c>
      <c r="I77" s="2">
        <f t="shared" si="65"/>
        <v>6</v>
      </c>
      <c r="J77" s="2">
        <f t="shared" si="66"/>
        <v>0.89999999999999991</v>
      </c>
      <c r="K77" s="10">
        <f t="shared" si="23"/>
        <v>10.333333333333334</v>
      </c>
      <c r="L77" s="10">
        <v>0</v>
      </c>
      <c r="M77" s="10">
        <v>1</v>
      </c>
      <c r="N77" s="2">
        <f t="shared" si="48"/>
        <v>7.7419354838709671</v>
      </c>
      <c r="O77" s="2">
        <f t="shared" si="59"/>
        <v>24.387096774193544</v>
      </c>
      <c r="P77" s="2">
        <f t="shared" si="60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67"/>
        <v>54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1"/>
        <v>2.7E-2</v>
      </c>
      <c r="C78" s="2">
        <v>4</v>
      </c>
      <c r="D78" s="2">
        <v>-1</v>
      </c>
      <c r="E78" s="16" t="s">
        <v>91</v>
      </c>
      <c r="F78" s="2">
        <f t="shared" si="62"/>
        <v>10</v>
      </c>
      <c r="G78" s="2">
        <f t="shared" si="63"/>
        <v>6.2857142857142865</v>
      </c>
      <c r="H78" s="2">
        <f t="shared" si="64"/>
        <v>4.4000000000000004</v>
      </c>
      <c r="I78" s="2">
        <f t="shared" si="65"/>
        <v>5.6000000000000005</v>
      </c>
      <c r="J78" s="2">
        <f t="shared" si="66"/>
        <v>1.4000000000000001</v>
      </c>
      <c r="K78" s="10">
        <f t="shared" si="23"/>
        <v>0.63636363636363624</v>
      </c>
      <c r="L78" s="10">
        <v>0</v>
      </c>
      <c r="M78" s="10">
        <v>1</v>
      </c>
      <c r="N78" s="2">
        <f t="shared" si="48"/>
        <v>6.2857142857142865</v>
      </c>
      <c r="O78" s="2">
        <f t="shared" si="59"/>
        <v>18.109756097560975</v>
      </c>
      <c r="P78" s="2">
        <f t="shared" si="60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67"/>
        <v>36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1"/>
        <v>0</v>
      </c>
      <c r="C79" s="2">
        <v>4</v>
      </c>
      <c r="D79" s="2">
        <v>0</v>
      </c>
      <c r="E79" s="16" t="s">
        <v>92</v>
      </c>
      <c r="F79" s="2">
        <f t="shared" si="62"/>
        <v>10</v>
      </c>
      <c r="G79" s="2">
        <f t="shared" si="63"/>
        <v>4.5714285714285721</v>
      </c>
      <c r="H79" s="2">
        <f t="shared" si="64"/>
        <v>3.2</v>
      </c>
      <c r="I79" s="2">
        <f t="shared" si="65"/>
        <v>6.8000000000000007</v>
      </c>
      <c r="J79" s="2">
        <f t="shared" si="66"/>
        <v>1.2</v>
      </c>
      <c r="K79" s="10">
        <f t="shared" si="23"/>
        <v>2.625</v>
      </c>
      <c r="L79" s="10">
        <v>0</v>
      </c>
      <c r="M79" s="10">
        <v>1</v>
      </c>
      <c r="N79" s="2">
        <f t="shared" si="48"/>
        <v>9.1428571428571441</v>
      </c>
      <c r="O79" s="2">
        <f t="shared" si="59"/>
        <v>27</v>
      </c>
      <c r="P79" s="2">
        <f t="shared" si="60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67"/>
        <v>45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1"/>
        <v>-2.7E-2</v>
      </c>
      <c r="C80" s="2">
        <v>4</v>
      </c>
      <c r="D80" s="2">
        <v>1</v>
      </c>
      <c r="E80" s="16" t="s">
        <v>93</v>
      </c>
      <c r="F80" s="2">
        <f t="shared" si="62"/>
        <v>10</v>
      </c>
      <c r="G80" s="2">
        <f t="shared" si="63"/>
        <v>2.8571428571428572</v>
      </c>
      <c r="H80" s="2">
        <f t="shared" si="64"/>
        <v>2</v>
      </c>
      <c r="I80" s="2">
        <f t="shared" si="65"/>
        <v>8</v>
      </c>
      <c r="J80" s="2">
        <f t="shared" si="66"/>
        <v>0.99999999999999989</v>
      </c>
      <c r="K80" s="10">
        <f t="shared" si="23"/>
        <v>7</v>
      </c>
      <c r="L80" s="10">
        <v>0</v>
      </c>
      <c r="M80" s="10">
        <v>1</v>
      </c>
      <c r="N80" s="2">
        <f t="shared" si="48"/>
        <v>11.428571428571429</v>
      </c>
      <c r="O80" s="2">
        <f t="shared" si="59"/>
        <v>36</v>
      </c>
      <c r="P80" s="2">
        <f t="shared" si="60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67"/>
        <v>54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1"/>
        <v>2.7E-2</v>
      </c>
      <c r="C81" s="2">
        <v>5</v>
      </c>
      <c r="D81" s="2">
        <v>-1</v>
      </c>
      <c r="E81" s="16" t="s">
        <v>94</v>
      </c>
      <c r="F81" s="2">
        <f t="shared" si="62"/>
        <v>12.5</v>
      </c>
      <c r="G81" s="2">
        <f t="shared" si="63"/>
        <v>8.8000000000000007</v>
      </c>
      <c r="H81" s="2">
        <f t="shared" si="64"/>
        <v>5.5</v>
      </c>
      <c r="I81" s="2">
        <f t="shared" si="65"/>
        <v>7.0000000000000009</v>
      </c>
      <c r="J81" s="2">
        <f t="shared" si="66"/>
        <v>1.5</v>
      </c>
      <c r="K81" s="10">
        <f t="shared" si="23"/>
        <v>0.4545454545454547</v>
      </c>
      <c r="L81" s="10">
        <v>0</v>
      </c>
      <c r="M81" s="10">
        <v>1</v>
      </c>
      <c r="N81" s="2">
        <f t="shared" si="48"/>
        <v>8.8000000000000007</v>
      </c>
      <c r="O81" s="2">
        <f t="shared" si="59"/>
        <v>25.353658536585371</v>
      </c>
      <c r="P81" s="2">
        <f t="shared" si="60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67"/>
        <v>36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1"/>
        <v>0</v>
      </c>
      <c r="C82" s="2">
        <v>5</v>
      </c>
      <c r="D82" s="2">
        <v>0</v>
      </c>
      <c r="E82" s="16" t="s">
        <v>95</v>
      </c>
      <c r="F82" s="2">
        <f t="shared" si="62"/>
        <v>12.5</v>
      </c>
      <c r="G82" s="2">
        <f t="shared" si="63"/>
        <v>6.4</v>
      </c>
      <c r="H82" s="2">
        <f t="shared" si="64"/>
        <v>4</v>
      </c>
      <c r="I82" s="2">
        <f t="shared" si="65"/>
        <v>8.5</v>
      </c>
      <c r="J82" s="2">
        <f t="shared" si="66"/>
        <v>1.25</v>
      </c>
      <c r="K82" s="10">
        <f t="shared" si="23"/>
        <v>1.875</v>
      </c>
      <c r="L82" s="10">
        <v>0</v>
      </c>
      <c r="M82" s="10">
        <v>1</v>
      </c>
      <c r="N82" s="2">
        <f t="shared" si="48"/>
        <v>12.8</v>
      </c>
      <c r="O82" s="2">
        <f t="shared" si="59"/>
        <v>37.799999999999997</v>
      </c>
      <c r="P82" s="2">
        <f t="shared" si="60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67"/>
        <v>45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1"/>
        <v>-2.7E-2</v>
      </c>
      <c r="C83" s="2">
        <v>5</v>
      </c>
      <c r="D83" s="2">
        <v>1</v>
      </c>
      <c r="E83" s="16" t="s">
        <v>96</v>
      </c>
      <c r="F83" s="2">
        <f t="shared" si="62"/>
        <v>12.5</v>
      </c>
      <c r="G83" s="2">
        <f t="shared" si="63"/>
        <v>4</v>
      </c>
      <c r="H83" s="2">
        <f t="shared" si="64"/>
        <v>2.5</v>
      </c>
      <c r="I83" s="2">
        <f t="shared" si="65"/>
        <v>10</v>
      </c>
      <c r="J83" s="2">
        <f t="shared" si="66"/>
        <v>0.99999999999999989</v>
      </c>
      <c r="K83" s="10">
        <f t="shared" si="23"/>
        <v>5</v>
      </c>
      <c r="L83" s="10">
        <v>0</v>
      </c>
      <c r="M83" s="10">
        <v>1</v>
      </c>
      <c r="N83" s="2">
        <f t="shared" si="48"/>
        <v>16.000000000000004</v>
      </c>
      <c r="O83" s="2">
        <f t="shared" si="59"/>
        <v>50.400000000000006</v>
      </c>
      <c r="P83" s="2">
        <f t="shared" si="60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67"/>
        <v>54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1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1"/>
        <v>7.4999999999999997E-2</v>
      </c>
      <c r="C85">
        <v>4</v>
      </c>
      <c r="D85">
        <v>1</v>
      </c>
      <c r="E85" s="5" t="s">
        <v>98</v>
      </c>
      <c r="F85" s="2">
        <f t="shared" si="62"/>
        <v>10</v>
      </c>
      <c r="G85" s="2">
        <f>IF(G$84=1,H85,H85/(1-INDEX($O$2:$O$6,C85)))</f>
        <v>21.428571428571431</v>
      </c>
      <c r="H85" s="2">
        <f t="shared" si="66"/>
        <v>15</v>
      </c>
      <c r="I85" s="2">
        <f t="shared" si="66"/>
        <v>3.9999999999999996</v>
      </c>
      <c r="J85" s="2">
        <f t="shared" si="66"/>
        <v>0.99999999999999989</v>
      </c>
      <c r="K85" s="10">
        <v>-1</v>
      </c>
      <c r="L85" s="10">
        <f t="shared" ref="L85" si="68">J85/F85</f>
        <v>9.9999999999999992E-2</v>
      </c>
      <c r="M85" s="10">
        <v>0</v>
      </c>
      <c r="N85" s="2">
        <f t="shared" si="48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20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1"/>
        <v>7.4999999999999997E-2</v>
      </c>
      <c r="C86">
        <v>5</v>
      </c>
      <c r="D86">
        <v>1</v>
      </c>
      <c r="E86" s="5" t="s">
        <v>99</v>
      </c>
      <c r="F86" s="2">
        <f t="shared" si="62"/>
        <v>12.5</v>
      </c>
      <c r="G86" s="2">
        <f>IF(G$84=1,H86,H86/(1-INDEX($O$2:$O$6,C86)))</f>
        <v>32</v>
      </c>
      <c r="H86" s="2">
        <f t="shared" si="66"/>
        <v>20</v>
      </c>
      <c r="I86" s="2">
        <f t="shared" si="66"/>
        <v>3.9999999999999996</v>
      </c>
      <c r="J86" s="2">
        <f t="shared" si="66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1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1"/>
        <v>-9.0000000000000011E-3</v>
      </c>
      <c r="C88" s="2">
        <v>1</v>
      </c>
      <c r="D88" s="2">
        <v>-1</v>
      </c>
      <c r="E88" s="5" t="s">
        <v>101</v>
      </c>
      <c r="F88" s="2">
        <f t="shared" si="62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3"/>
        <v>-1.6666666666666661</v>
      </c>
      <c r="L88" s="10">
        <v>0</v>
      </c>
      <c r="M88" s="10">
        <v>1</v>
      </c>
      <c r="N88" s="2">
        <f t="shared" si="48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1"/>
        <v>-4.4999999999999998E-2</v>
      </c>
      <c r="C89" s="2">
        <v>1</v>
      </c>
      <c r="D89" s="2">
        <v>0</v>
      </c>
      <c r="E89" s="5" t="s">
        <v>102</v>
      </c>
      <c r="F89" s="2">
        <f t="shared" si="62"/>
        <v>2.5</v>
      </c>
      <c r="G89" s="2">
        <f t="shared" ref="G89:G102" si="70">IF(G$87=1,H89,H89/(1-INDEX($O$2:$O$6,C89)))</f>
        <v>2.75</v>
      </c>
      <c r="H89" s="2">
        <f t="shared" si="69"/>
        <v>2.75</v>
      </c>
      <c r="I89" s="2">
        <f t="shared" si="69"/>
        <v>1.7999999999999998</v>
      </c>
      <c r="J89" s="2">
        <f t="shared" si="69"/>
        <v>2.4500000000000002</v>
      </c>
      <c r="K89" s="10">
        <f t="shared" si="23"/>
        <v>-3.6060606060606082</v>
      </c>
      <c r="L89" s="10">
        <v>0</v>
      </c>
      <c r="M89" s="10">
        <v>1</v>
      </c>
      <c r="N89" s="2">
        <f t="shared" si="48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71">$S$87*(1+(D89*$F$8))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1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0"/>
        <v>3</v>
      </c>
      <c r="H90" s="2">
        <f t="shared" si="69"/>
        <v>3</v>
      </c>
      <c r="I90" s="2">
        <f t="shared" si="69"/>
        <v>1.6</v>
      </c>
      <c r="J90" s="2">
        <f t="shared" si="69"/>
        <v>2.4</v>
      </c>
      <c r="K90" s="10">
        <f t="shared" ref="K90:K102" si="73">1-((1-(I90/G90))/INDEX($P$2:$P$6,C90))</f>
        <v>-5.2222222222222223</v>
      </c>
      <c r="L90" s="10">
        <v>0</v>
      </c>
      <c r="M90" s="10">
        <v>1</v>
      </c>
      <c r="N90" s="2">
        <f t="shared" ref="N90:N115" si="74">(AVERAGE(O90,P90)*R90)/Q90</f>
        <v>12</v>
      </c>
      <c r="O90" s="2">
        <f t="shared" ref="O90:O115" si="75">0.75*(((G90*INDEX($R$1:$R$3,$D90+2))*Q90)/R90)</f>
        <v>49.5</v>
      </c>
      <c r="P90" s="2">
        <f t="shared" ref="P90:P115" si="76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1"/>
        <v>-9.0000000000000011E-3</v>
      </c>
      <c r="C91" s="2">
        <v>2</v>
      </c>
      <c r="D91" s="2">
        <v>-1</v>
      </c>
      <c r="E91" s="5" t="s">
        <v>104</v>
      </c>
      <c r="F91" s="2">
        <f t="shared" si="62"/>
        <v>5</v>
      </c>
      <c r="G91" s="2">
        <f t="shared" si="70"/>
        <v>5.5</v>
      </c>
      <c r="H91" s="2">
        <f t="shared" si="69"/>
        <v>5.5</v>
      </c>
      <c r="I91" s="2">
        <f t="shared" si="69"/>
        <v>3.5999999999999996</v>
      </c>
      <c r="J91" s="2">
        <f t="shared" si="69"/>
        <v>4.9000000000000004</v>
      </c>
      <c r="K91" s="10">
        <f t="shared" si="73"/>
        <v>-1.3030303030303041</v>
      </c>
      <c r="L91" s="10">
        <v>0</v>
      </c>
      <c r="M91" s="10">
        <v>1</v>
      </c>
      <c r="N91" s="2">
        <f t="shared" si="74"/>
        <v>5.5</v>
      </c>
      <c r="O91" s="2">
        <f t="shared" si="75"/>
        <v>22.6875</v>
      </c>
      <c r="P91" s="2">
        <f t="shared" si="76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71"/>
        <v>48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1"/>
        <v>-4.4999999999999998E-2</v>
      </c>
      <c r="C92" s="2">
        <v>2</v>
      </c>
      <c r="D92" s="2">
        <v>0</v>
      </c>
      <c r="E92" s="5" t="s">
        <v>105</v>
      </c>
      <c r="F92" s="2">
        <f t="shared" si="62"/>
        <v>5</v>
      </c>
      <c r="G92" s="2">
        <f t="shared" si="70"/>
        <v>6</v>
      </c>
      <c r="H92" s="2">
        <f t="shared" si="69"/>
        <v>6</v>
      </c>
      <c r="I92" s="2">
        <f t="shared" si="69"/>
        <v>3.2</v>
      </c>
      <c r="J92" s="2">
        <f t="shared" si="69"/>
        <v>4.8</v>
      </c>
      <c r="K92" s="10">
        <f t="shared" si="73"/>
        <v>-2.1111111111111112</v>
      </c>
      <c r="L92" s="10">
        <v>0</v>
      </c>
      <c r="M92" s="10">
        <v>1</v>
      </c>
      <c r="N92" s="2">
        <f t="shared" si="74"/>
        <v>12</v>
      </c>
      <c r="O92" s="2">
        <f t="shared" si="75"/>
        <v>49.5</v>
      </c>
      <c r="P92" s="2">
        <f t="shared" si="76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71"/>
        <v>60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1"/>
        <v>-8.1000000000000003E-2</v>
      </c>
      <c r="C93" s="2">
        <v>2</v>
      </c>
      <c r="D93" s="2">
        <v>1</v>
      </c>
      <c r="E93" s="5" t="s">
        <v>106</v>
      </c>
      <c r="F93" s="2">
        <f t="shared" si="62"/>
        <v>5</v>
      </c>
      <c r="G93" s="2">
        <f t="shared" si="70"/>
        <v>6.5</v>
      </c>
      <c r="H93" s="2">
        <f t="shared" si="69"/>
        <v>6.5</v>
      </c>
      <c r="I93" s="2">
        <f t="shared" si="69"/>
        <v>2.8000000000000003</v>
      </c>
      <c r="J93" s="2">
        <f t="shared" si="69"/>
        <v>4.6999999999999993</v>
      </c>
      <c r="K93" s="10">
        <f t="shared" si="73"/>
        <v>-2.7948717948717947</v>
      </c>
      <c r="L93" s="10">
        <v>0</v>
      </c>
      <c r="M93" s="10">
        <v>1</v>
      </c>
      <c r="N93" s="2">
        <f t="shared" si="74"/>
        <v>26</v>
      </c>
      <c r="O93" s="2">
        <f t="shared" si="75"/>
        <v>107.25</v>
      </c>
      <c r="P93" s="2">
        <f t="shared" si="76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71"/>
        <v>72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1"/>
        <v>-9.0000000000000011E-3</v>
      </c>
      <c r="C94" s="2">
        <v>3</v>
      </c>
      <c r="D94" s="2">
        <v>-1</v>
      </c>
      <c r="E94" s="5" t="s">
        <v>107</v>
      </c>
      <c r="F94" s="2">
        <f t="shared" si="62"/>
        <v>7.5</v>
      </c>
      <c r="G94" s="2">
        <f t="shared" si="70"/>
        <v>9</v>
      </c>
      <c r="H94" s="2">
        <f t="shared" si="69"/>
        <v>9</v>
      </c>
      <c r="I94" s="2">
        <f t="shared" si="69"/>
        <v>4.8</v>
      </c>
      <c r="J94" s="2">
        <f t="shared" si="69"/>
        <v>7.1999999999999993</v>
      </c>
      <c r="K94" s="10">
        <f t="shared" si="73"/>
        <v>-1.0740740740740744</v>
      </c>
      <c r="L94" s="10">
        <v>0</v>
      </c>
      <c r="M94" s="10">
        <v>1</v>
      </c>
      <c r="N94" s="2">
        <f t="shared" si="74"/>
        <v>9</v>
      </c>
      <c r="O94" s="2">
        <f t="shared" si="75"/>
        <v>37.125</v>
      </c>
      <c r="P94" s="2">
        <f t="shared" si="76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71"/>
        <v>48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1"/>
        <v>-4.4999999999999998E-2</v>
      </c>
      <c r="C95" s="2">
        <v>3</v>
      </c>
      <c r="D95" s="2">
        <v>0</v>
      </c>
      <c r="E95" s="5" t="s">
        <v>108</v>
      </c>
      <c r="F95" s="2">
        <f t="shared" si="62"/>
        <v>7.5</v>
      </c>
      <c r="G95" s="2">
        <f t="shared" si="70"/>
        <v>9.75</v>
      </c>
      <c r="H95" s="2">
        <f t="shared" si="69"/>
        <v>9.75</v>
      </c>
      <c r="I95" s="2">
        <f t="shared" si="69"/>
        <v>4.2</v>
      </c>
      <c r="J95" s="2">
        <f t="shared" si="69"/>
        <v>7.05</v>
      </c>
      <c r="K95" s="10">
        <f t="shared" si="73"/>
        <v>-1.5299145299145303</v>
      </c>
      <c r="L95" s="10">
        <v>0</v>
      </c>
      <c r="M95" s="10">
        <v>1</v>
      </c>
      <c r="N95" s="2">
        <f t="shared" si="74"/>
        <v>19.5</v>
      </c>
      <c r="O95" s="2">
        <f t="shared" si="75"/>
        <v>80.4375</v>
      </c>
      <c r="P95" s="2">
        <f t="shared" si="76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71"/>
        <v>60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1"/>
        <v>-8.1000000000000003E-2</v>
      </c>
      <c r="C96" s="2">
        <v>3</v>
      </c>
      <c r="D96" s="2">
        <v>1</v>
      </c>
      <c r="E96" s="5" t="s">
        <v>109</v>
      </c>
      <c r="F96" s="2">
        <f t="shared" si="62"/>
        <v>7.5</v>
      </c>
      <c r="G96" s="2">
        <f t="shared" si="70"/>
        <v>10.5</v>
      </c>
      <c r="H96" s="2">
        <f t="shared" si="69"/>
        <v>10.5</v>
      </c>
      <c r="I96" s="2">
        <f t="shared" si="69"/>
        <v>3.5999999999999996</v>
      </c>
      <c r="J96" s="2">
        <f t="shared" si="69"/>
        <v>6.8999999999999995</v>
      </c>
      <c r="K96" s="10">
        <f t="shared" si="73"/>
        <v>-1.9206349206349214</v>
      </c>
      <c r="L96" s="10">
        <v>0</v>
      </c>
      <c r="M96" s="10">
        <v>1</v>
      </c>
      <c r="N96" s="2">
        <f t="shared" si="74"/>
        <v>42</v>
      </c>
      <c r="O96" s="2">
        <f t="shared" si="75"/>
        <v>173.25</v>
      </c>
      <c r="P96" s="2">
        <f t="shared" si="76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71"/>
        <v>72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1"/>
        <v>-9.0000000000000011E-3</v>
      </c>
      <c r="C97" s="2">
        <v>4</v>
      </c>
      <c r="D97" s="2">
        <v>-1</v>
      </c>
      <c r="E97" s="5" t="s">
        <v>110</v>
      </c>
      <c r="F97" s="2">
        <f t="shared" si="62"/>
        <v>10</v>
      </c>
      <c r="G97" s="2">
        <f t="shared" si="70"/>
        <v>13</v>
      </c>
      <c r="H97" s="2">
        <f t="shared" si="69"/>
        <v>13</v>
      </c>
      <c r="I97" s="2">
        <f t="shared" si="69"/>
        <v>5.6000000000000005</v>
      </c>
      <c r="J97" s="2">
        <f t="shared" si="69"/>
        <v>9.3999999999999986</v>
      </c>
      <c r="K97" s="10">
        <f t="shared" si="73"/>
        <v>-0.89743589743589736</v>
      </c>
      <c r="L97" s="10">
        <v>0</v>
      </c>
      <c r="M97" s="10">
        <v>1</v>
      </c>
      <c r="N97" s="2">
        <f t="shared" si="74"/>
        <v>13</v>
      </c>
      <c r="O97" s="2">
        <f t="shared" si="75"/>
        <v>53.625</v>
      </c>
      <c r="P97" s="2">
        <f t="shared" si="76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71"/>
        <v>48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1"/>
        <v>-4.4999999999999998E-2</v>
      </c>
      <c r="C98" s="2">
        <v>4</v>
      </c>
      <c r="D98" s="2">
        <v>0</v>
      </c>
      <c r="E98" s="5" t="s">
        <v>111</v>
      </c>
      <c r="F98" s="2">
        <f t="shared" si="62"/>
        <v>10</v>
      </c>
      <c r="G98" s="2">
        <f t="shared" si="70"/>
        <v>14</v>
      </c>
      <c r="H98" s="2">
        <f t="shared" si="69"/>
        <v>14</v>
      </c>
      <c r="I98" s="2">
        <f t="shared" si="69"/>
        <v>4.8</v>
      </c>
      <c r="J98" s="2">
        <f t="shared" si="69"/>
        <v>9.1999999999999993</v>
      </c>
      <c r="K98" s="10">
        <f t="shared" si="73"/>
        <v>-1.1904761904761907</v>
      </c>
      <c r="L98" s="10">
        <v>0</v>
      </c>
      <c r="M98" s="10">
        <v>1</v>
      </c>
      <c r="N98" s="2">
        <f t="shared" si="74"/>
        <v>28</v>
      </c>
      <c r="O98" s="2">
        <f t="shared" si="75"/>
        <v>115.5</v>
      </c>
      <c r="P98" s="2">
        <f t="shared" si="76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71"/>
        <v>60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1"/>
        <v>-8.1000000000000003E-2</v>
      </c>
      <c r="C99" s="2">
        <v>4</v>
      </c>
      <c r="D99" s="2">
        <v>1</v>
      </c>
      <c r="E99" s="5" t="s">
        <v>112</v>
      </c>
      <c r="F99" s="2">
        <f t="shared" si="62"/>
        <v>10</v>
      </c>
      <c r="G99" s="2">
        <f t="shared" si="70"/>
        <v>15</v>
      </c>
      <c r="H99" s="2">
        <f t="shared" si="69"/>
        <v>15</v>
      </c>
      <c r="I99" s="2">
        <f t="shared" si="69"/>
        <v>3.9999999999999996</v>
      </c>
      <c r="J99" s="2">
        <f t="shared" si="69"/>
        <v>9</v>
      </c>
      <c r="K99" s="10">
        <f t="shared" si="73"/>
        <v>-1.4444444444444446</v>
      </c>
      <c r="L99" s="10">
        <v>0</v>
      </c>
      <c r="M99" s="10">
        <v>1</v>
      </c>
      <c r="N99" s="2">
        <f t="shared" si="74"/>
        <v>60</v>
      </c>
      <c r="O99" s="2">
        <f t="shared" si="75"/>
        <v>247.5</v>
      </c>
      <c r="P99" s="2">
        <f t="shared" si="76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71"/>
        <v>72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1"/>
        <v>-9.0000000000000011E-3</v>
      </c>
      <c r="C100" s="2">
        <v>5</v>
      </c>
      <c r="D100" s="2">
        <v>-1</v>
      </c>
      <c r="E100" s="5" t="s">
        <v>113</v>
      </c>
      <c r="F100" s="2">
        <f t="shared" si="62"/>
        <v>12.5</v>
      </c>
      <c r="G100" s="2">
        <f t="shared" si="70"/>
        <v>17.5</v>
      </c>
      <c r="H100" s="2">
        <f t="shared" si="69"/>
        <v>17.5</v>
      </c>
      <c r="I100" s="2">
        <f t="shared" si="69"/>
        <v>6</v>
      </c>
      <c r="J100" s="2">
        <f t="shared" si="69"/>
        <v>11.5</v>
      </c>
      <c r="K100" s="10">
        <f t="shared" si="73"/>
        <v>-0.75238095238095237</v>
      </c>
      <c r="L100" s="10">
        <v>0</v>
      </c>
      <c r="M100" s="10">
        <v>1</v>
      </c>
      <c r="N100" s="2">
        <f t="shared" si="74"/>
        <v>17.5</v>
      </c>
      <c r="O100" s="2">
        <f t="shared" si="75"/>
        <v>72.1875</v>
      </c>
      <c r="P100" s="2">
        <f t="shared" si="76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71"/>
        <v>48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1"/>
        <v>-4.4999999999999998E-2</v>
      </c>
      <c r="C101" s="2">
        <v>5</v>
      </c>
      <c r="D101" s="2">
        <v>0</v>
      </c>
      <c r="E101" s="5" t="s">
        <v>114</v>
      </c>
      <c r="F101" s="2">
        <f t="shared" si="62"/>
        <v>12.5</v>
      </c>
      <c r="G101" s="2">
        <f t="shared" si="70"/>
        <v>18.75</v>
      </c>
      <c r="H101" s="2">
        <f t="shared" si="69"/>
        <v>18.75</v>
      </c>
      <c r="I101" s="2">
        <f t="shared" si="69"/>
        <v>5</v>
      </c>
      <c r="J101" s="2">
        <f t="shared" si="69"/>
        <v>11.25</v>
      </c>
      <c r="K101" s="10">
        <f t="shared" si="73"/>
        <v>-0.95555555555555571</v>
      </c>
      <c r="L101" s="10">
        <v>0</v>
      </c>
      <c r="M101" s="10">
        <v>1</v>
      </c>
      <c r="N101" s="2">
        <f t="shared" si="74"/>
        <v>37.5</v>
      </c>
      <c r="O101" s="2">
        <f t="shared" si="75"/>
        <v>154.6875</v>
      </c>
      <c r="P101" s="2">
        <f t="shared" si="76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71"/>
        <v>60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1"/>
        <v>-8.1000000000000003E-2</v>
      </c>
      <c r="C102" s="2">
        <v>5</v>
      </c>
      <c r="D102" s="2">
        <v>1</v>
      </c>
      <c r="E102" s="5" t="s">
        <v>115</v>
      </c>
      <c r="F102" s="2">
        <f t="shared" si="62"/>
        <v>12.5</v>
      </c>
      <c r="G102" s="2">
        <f t="shared" si="70"/>
        <v>20</v>
      </c>
      <c r="H102" s="2">
        <f t="shared" si="69"/>
        <v>20</v>
      </c>
      <c r="I102" s="2">
        <f t="shared" si="69"/>
        <v>3.9999999999999996</v>
      </c>
      <c r="J102" s="2">
        <f t="shared" si="69"/>
        <v>11</v>
      </c>
      <c r="K102" s="10">
        <f t="shared" si="73"/>
        <v>-1.1333333333333333</v>
      </c>
      <c r="L102" s="10">
        <v>0</v>
      </c>
      <c r="M102" s="10">
        <v>1</v>
      </c>
      <c r="N102" s="2">
        <f t="shared" si="74"/>
        <v>80</v>
      </c>
      <c r="O102" s="2">
        <f t="shared" si="75"/>
        <v>330</v>
      </c>
      <c r="P102" s="2">
        <f t="shared" si="76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71"/>
        <v>72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1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1"/>
        <v>-9.0000000000000011E-3</v>
      </c>
      <c r="C104">
        <v>3</v>
      </c>
      <c r="D104" s="2">
        <v>-1</v>
      </c>
      <c r="E104" s="5" t="s">
        <v>117</v>
      </c>
      <c r="F104" s="2">
        <f t="shared" si="62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7">1-((1-(I104/G104))/INDEX($P$2:$P$6,C104))</f>
        <v>-0.3333333333333337</v>
      </c>
      <c r="L104" s="10">
        <v>0</v>
      </c>
      <c r="M104" s="10">
        <v>1</v>
      </c>
      <c r="N104" s="2">
        <f t="shared" si="74"/>
        <v>9</v>
      </c>
      <c r="O104" s="2">
        <f t="shared" si="75"/>
        <v>56.362499999999997</v>
      </c>
      <c r="P104" s="2">
        <f t="shared" si="76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1"/>
        <v>-4.4999999999999998E-2</v>
      </c>
      <c r="C105">
        <v>3</v>
      </c>
      <c r="D105" s="2">
        <v>0</v>
      </c>
      <c r="E105" s="5" t="s">
        <v>118</v>
      </c>
      <c r="F105" s="2">
        <f t="shared" si="62"/>
        <v>7.5</v>
      </c>
      <c r="G105" s="2">
        <f t="shared" ref="G105:G112" si="78">H105</f>
        <v>9.75</v>
      </c>
      <c r="H105" s="2">
        <f t="shared" ref="H105:H112" si="79">$F105*(INDEX($F$3:$F$5,H$103)+(($C105+($D105*$F$7))*INDEX($G$3:$G$5,H$9)))</f>
        <v>9.75</v>
      </c>
      <c r="I105" s="2">
        <f t="shared" ref="I105:J112" si="80">$F105*(INDEX($F$3:$F$5,I$103)+(($C105+($D105*$F$7))*INDEX($G$3:$G$5,I$9)))</f>
        <v>5.7</v>
      </c>
      <c r="J105" s="2">
        <f t="shared" si="80"/>
        <v>5.55</v>
      </c>
      <c r="K105" s="10">
        <f t="shared" si="77"/>
        <v>-0.84615384615384626</v>
      </c>
      <c r="L105" s="10">
        <v>0</v>
      </c>
      <c r="M105" s="10">
        <v>1</v>
      </c>
      <c r="N105" s="2">
        <f t="shared" si="74"/>
        <v>19.5</v>
      </c>
      <c r="O105" s="2">
        <f t="shared" si="75"/>
        <v>122.11874999999999</v>
      </c>
      <c r="P105" s="2">
        <f t="shared" si="76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81">$S$103*(1+(D105*$F$8))</f>
        <v>60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1"/>
        <v>-8.1000000000000003E-2</v>
      </c>
      <c r="C106">
        <v>3</v>
      </c>
      <c r="D106" s="2">
        <v>1</v>
      </c>
      <c r="E106" s="5" t="s">
        <v>119</v>
      </c>
      <c r="F106" s="2">
        <f t="shared" si="62"/>
        <v>7.5</v>
      </c>
      <c r="G106" s="2">
        <f t="shared" si="78"/>
        <v>10.5</v>
      </c>
      <c r="H106" s="2">
        <f t="shared" si="79"/>
        <v>10.5</v>
      </c>
      <c r="I106" s="2">
        <f t="shared" si="80"/>
        <v>5.0999999999999996</v>
      </c>
      <c r="J106" s="2">
        <f t="shared" si="80"/>
        <v>5.3999999999999995</v>
      </c>
      <c r="K106" s="10">
        <f t="shared" si="77"/>
        <v>-1.285714285714286</v>
      </c>
      <c r="L106" s="10">
        <v>0</v>
      </c>
      <c r="M106" s="10">
        <v>1</v>
      </c>
      <c r="N106" s="2">
        <f t="shared" si="74"/>
        <v>42</v>
      </c>
      <c r="O106" s="2">
        <f t="shared" si="75"/>
        <v>263.02499999999998</v>
      </c>
      <c r="P106" s="2">
        <f t="shared" si="76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81"/>
        <v>72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1"/>
        <v>-9.0000000000000011E-3</v>
      </c>
      <c r="C107">
        <v>4</v>
      </c>
      <c r="D107" s="2">
        <v>-1</v>
      </c>
      <c r="E107" s="5" t="s">
        <v>120</v>
      </c>
      <c r="F107" s="2">
        <f t="shared" si="62"/>
        <v>10</v>
      </c>
      <c r="G107" s="2">
        <f t="shared" si="78"/>
        <v>13</v>
      </c>
      <c r="H107" s="2">
        <f t="shared" si="79"/>
        <v>13</v>
      </c>
      <c r="I107" s="2">
        <f t="shared" si="80"/>
        <v>7.6</v>
      </c>
      <c r="J107" s="2">
        <f t="shared" si="80"/>
        <v>7.4</v>
      </c>
      <c r="K107" s="10">
        <f t="shared" si="77"/>
        <v>-0.38461538461538503</v>
      </c>
      <c r="L107" s="10">
        <v>0</v>
      </c>
      <c r="M107" s="10">
        <v>1</v>
      </c>
      <c r="N107" s="2">
        <f t="shared" si="74"/>
        <v>13</v>
      </c>
      <c r="O107" s="2">
        <f t="shared" si="75"/>
        <v>81.412499999999994</v>
      </c>
      <c r="P107" s="2">
        <f t="shared" si="76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81"/>
        <v>48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1"/>
        <v>-4.4999999999999998E-2</v>
      </c>
      <c r="C108">
        <v>4</v>
      </c>
      <c r="D108" s="2">
        <v>0</v>
      </c>
      <c r="E108" s="5" t="s">
        <v>121</v>
      </c>
      <c r="F108" s="2">
        <f t="shared" si="62"/>
        <v>10</v>
      </c>
      <c r="G108" s="2">
        <f t="shared" si="78"/>
        <v>14</v>
      </c>
      <c r="H108" s="2">
        <f t="shared" si="79"/>
        <v>14</v>
      </c>
      <c r="I108" s="2">
        <f t="shared" si="80"/>
        <v>6.7999999999999989</v>
      </c>
      <c r="J108" s="2">
        <f t="shared" si="80"/>
        <v>7.1999999999999993</v>
      </c>
      <c r="K108" s="10">
        <f t="shared" si="77"/>
        <v>-0.71428571428571463</v>
      </c>
      <c r="L108" s="10">
        <v>0</v>
      </c>
      <c r="M108" s="10">
        <v>1</v>
      </c>
      <c r="N108" s="2">
        <f t="shared" si="74"/>
        <v>28.000000000000004</v>
      </c>
      <c r="O108" s="2">
        <f t="shared" si="75"/>
        <v>175.35</v>
      </c>
      <c r="P108" s="2">
        <f t="shared" si="76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81"/>
        <v>60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1"/>
        <v>-8.1000000000000003E-2</v>
      </c>
      <c r="C109">
        <v>4</v>
      </c>
      <c r="D109" s="2">
        <v>1</v>
      </c>
      <c r="E109" s="5" t="s">
        <v>122</v>
      </c>
      <c r="F109" s="2">
        <f t="shared" si="62"/>
        <v>10</v>
      </c>
      <c r="G109" s="2">
        <f t="shared" si="78"/>
        <v>15</v>
      </c>
      <c r="H109" s="2">
        <f t="shared" si="79"/>
        <v>15</v>
      </c>
      <c r="I109" s="2">
        <f t="shared" si="80"/>
        <v>5.9999999999999982</v>
      </c>
      <c r="J109" s="2">
        <f t="shared" si="80"/>
        <v>7.0000000000000009</v>
      </c>
      <c r="K109" s="10">
        <f t="shared" si="77"/>
        <v>-1.0000000000000004</v>
      </c>
      <c r="L109" s="10">
        <v>0</v>
      </c>
      <c r="M109" s="10">
        <v>1</v>
      </c>
      <c r="N109" s="2">
        <f t="shared" si="74"/>
        <v>60</v>
      </c>
      <c r="O109" s="2">
        <f t="shared" si="75"/>
        <v>375.75</v>
      </c>
      <c r="P109" s="2">
        <f t="shared" si="76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81"/>
        <v>72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1"/>
        <v>-9.0000000000000011E-3</v>
      </c>
      <c r="C110">
        <v>5</v>
      </c>
      <c r="D110" s="2">
        <v>-1</v>
      </c>
      <c r="E110" s="5" t="s">
        <v>123</v>
      </c>
      <c r="F110" s="2">
        <f t="shared" si="62"/>
        <v>12.5</v>
      </c>
      <c r="G110" s="2">
        <f t="shared" si="78"/>
        <v>17.5</v>
      </c>
      <c r="H110" s="2">
        <f t="shared" si="79"/>
        <v>17.5</v>
      </c>
      <c r="I110" s="2">
        <f t="shared" si="80"/>
        <v>8.5</v>
      </c>
      <c r="J110" s="2">
        <f t="shared" si="80"/>
        <v>9</v>
      </c>
      <c r="K110" s="10">
        <f t="shared" si="77"/>
        <v>-0.37142857142857122</v>
      </c>
      <c r="L110" s="10">
        <v>0</v>
      </c>
      <c r="M110" s="10">
        <v>1</v>
      </c>
      <c r="N110" s="2">
        <f t="shared" si="74"/>
        <v>17.5</v>
      </c>
      <c r="O110" s="2">
        <f t="shared" si="75"/>
        <v>109.59375</v>
      </c>
      <c r="P110" s="2">
        <f t="shared" si="76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81"/>
        <v>48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1"/>
        <v>-4.4999999999999998E-2</v>
      </c>
      <c r="C111">
        <v>5</v>
      </c>
      <c r="D111" s="2">
        <v>0</v>
      </c>
      <c r="E111" s="5" t="s">
        <v>124</v>
      </c>
      <c r="F111" s="2">
        <f t="shared" si="62"/>
        <v>12.5</v>
      </c>
      <c r="G111" s="2">
        <f t="shared" si="78"/>
        <v>18.75</v>
      </c>
      <c r="H111" s="2">
        <f t="shared" si="79"/>
        <v>18.75</v>
      </c>
      <c r="I111" s="2">
        <f t="shared" si="80"/>
        <v>7.4999999999999982</v>
      </c>
      <c r="J111" s="2">
        <f t="shared" si="80"/>
        <v>8.75</v>
      </c>
      <c r="K111" s="10">
        <f t="shared" si="77"/>
        <v>-0.60000000000000031</v>
      </c>
      <c r="L111" s="10">
        <v>0</v>
      </c>
      <c r="M111" s="10">
        <v>1</v>
      </c>
      <c r="N111" s="2">
        <f t="shared" si="74"/>
        <v>37.5</v>
      </c>
      <c r="O111" s="2">
        <f t="shared" si="75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81"/>
        <v>60</v>
      </c>
      <c r="T111" s="2">
        <f t="shared" si="72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1"/>
        <v>-8.1000000000000003E-2</v>
      </c>
      <c r="C112">
        <v>5</v>
      </c>
      <c r="D112" s="2">
        <v>1</v>
      </c>
      <c r="E112" s="5" t="s">
        <v>125</v>
      </c>
      <c r="F112" s="2">
        <f t="shared" si="62"/>
        <v>12.5</v>
      </c>
      <c r="G112" s="2">
        <f t="shared" si="78"/>
        <v>20</v>
      </c>
      <c r="H112" s="2">
        <f t="shared" si="79"/>
        <v>20</v>
      </c>
      <c r="I112" s="2">
        <f t="shared" si="80"/>
        <v>6.4999999999999991</v>
      </c>
      <c r="J112" s="2">
        <f t="shared" si="80"/>
        <v>8.5</v>
      </c>
      <c r="K112" s="10">
        <f t="shared" si="77"/>
        <v>-0.8</v>
      </c>
      <c r="L112" s="10">
        <v>0</v>
      </c>
      <c r="M112" s="10">
        <v>1</v>
      </c>
      <c r="N112" s="2">
        <f t="shared" si="74"/>
        <v>80</v>
      </c>
      <c r="O112" s="2">
        <f t="shared" si="75"/>
        <v>501</v>
      </c>
      <c r="P112" s="2">
        <f t="shared" si="76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81"/>
        <v>72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1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1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2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2">$F114*(INDEX($F$3:$F$5,I$113)+(($C114+($D114*$F$7))*INDEX($G$3:$G$5,I$113)))</f>
        <v>9.6</v>
      </c>
      <c r="J114" s="2">
        <f t="shared" si="82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4"/>
        <v>56</v>
      </c>
      <c r="O114" s="2">
        <f t="shared" si="75"/>
        <v>105</v>
      </c>
      <c r="P114" s="2">
        <f t="shared" si="76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1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2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2"/>
        <v>10</v>
      </c>
      <c r="J115" s="2">
        <f t="shared" si="82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4"/>
        <v>75</v>
      </c>
      <c r="O115" s="2">
        <f t="shared" si="75"/>
        <v>140.625</v>
      </c>
      <c r="P115" s="2">
        <f t="shared" si="76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1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1"/>
        <v>-8.1000000000000003E-2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3">($F$2+(C117*$F$1))*(B117+1)</f>
        <v>15</v>
      </c>
      <c r="G117" s="2">
        <f t="shared" ref="G117:G119" si="84">IF(G$116=1,H117,H117/(1-INDEX($O$2:$O$6,C117)))</f>
        <v>9.2903225806451601</v>
      </c>
      <c r="H117" s="2">
        <f t="shared" ref="H117:H119" si="85">$F117*(INDEX($F$3:$F$5,H$116)+(($C117+($D117*$F$7))*INDEX($G$3:$G$5,H$116)))</f>
        <v>7.1999999999999993</v>
      </c>
      <c r="I117" s="2">
        <f t="shared" ref="I117:J119" si="86">$F117*(INDEX($F$3:$F$5,I$116)+(($C117+($D117*$F$7))*INDEX($G$3:$G$5,I$116)))</f>
        <v>21</v>
      </c>
      <c r="J117" s="2">
        <f t="shared" si="86"/>
        <v>21</v>
      </c>
      <c r="K117" s="10">
        <f t="shared" ref="K117:K119" si="87">1-((1-(I117/G117))/INDEX($P$2:$P$6,C117))</f>
        <v>6.6018518518518539</v>
      </c>
      <c r="L117" s="10">
        <v>0</v>
      </c>
      <c r="M117" s="10">
        <v>1</v>
      </c>
      <c r="N117" s="2">
        <f t="shared" ref="N117:N119" si="88">(AVERAGE(O117,P117)*R117)/Q117</f>
        <v>9.2903225806451584</v>
      </c>
      <c r="O117" s="2">
        <f t="shared" ref="O117:O118" si="89">0.75*(((G117*INDEX($R$1:$R$3,$D117+2))*Q117)/R117)/4</f>
        <v>92.903225806451601</v>
      </c>
      <c r="P117" s="2">
        <f t="shared" ref="P117:P118" si="90">1.25*(((G117*INDEX($R$1:$R$3,$D117+2))*Q117)/R117)/4</f>
        <v>154.83870967741933</v>
      </c>
      <c r="Q117" s="2">
        <v>10</v>
      </c>
      <c r="R117" s="2">
        <v>0.75</v>
      </c>
      <c r="S117" s="2">
        <f t="shared" ref="S117:S119" si="91">$S$116*(1+(D117*$F$8))</f>
        <v>72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1"/>
        <v>-8.1000000000000003E-2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3"/>
        <v>20</v>
      </c>
      <c r="G118" s="2">
        <f t="shared" si="84"/>
        <v>11.428571428571429</v>
      </c>
      <c r="H118" s="2">
        <f t="shared" si="85"/>
        <v>7.9999999999999991</v>
      </c>
      <c r="I118" s="2">
        <f t="shared" si="86"/>
        <v>30</v>
      </c>
      <c r="J118" s="2">
        <f t="shared" si="86"/>
        <v>30</v>
      </c>
      <c r="K118" s="10">
        <f t="shared" si="87"/>
        <v>6.416666666666667</v>
      </c>
      <c r="L118" s="10">
        <v>0</v>
      </c>
      <c r="M118" s="10">
        <v>1</v>
      </c>
      <c r="N118" s="2">
        <f t="shared" si="88"/>
        <v>11.428571428571427</v>
      </c>
      <c r="O118" s="2">
        <f t="shared" si="89"/>
        <v>114.28571428571428</v>
      </c>
      <c r="P118" s="2">
        <f t="shared" si="90"/>
        <v>190.47619047619048</v>
      </c>
      <c r="Q118" s="2">
        <v>10</v>
      </c>
      <c r="R118" s="2">
        <v>0.75</v>
      </c>
      <c r="S118" s="2">
        <f t="shared" si="91"/>
        <v>72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1"/>
        <v>-8.1000000000000003E-2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3"/>
        <v>25</v>
      </c>
      <c r="G119" s="2">
        <f t="shared" si="84"/>
        <v>12.799999999999999</v>
      </c>
      <c r="H119" s="2">
        <f t="shared" si="85"/>
        <v>7.9999999999999991</v>
      </c>
      <c r="I119" s="2">
        <f t="shared" si="86"/>
        <v>40</v>
      </c>
      <c r="J119" s="2">
        <f t="shared" si="86"/>
        <v>40</v>
      </c>
      <c r="K119" s="10">
        <f t="shared" si="87"/>
        <v>6.6666666666666679</v>
      </c>
      <c r="L119" s="10">
        <v>0</v>
      </c>
      <c r="M119" s="10">
        <v>1</v>
      </c>
      <c r="N119" s="2">
        <f t="shared" si="88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f t="shared" si="91"/>
        <v>72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K6"/>
    </sheetView>
  </sheetViews>
  <sheetFormatPr defaultRowHeight="15" x14ac:dyDescent="0.25"/>
  <cols>
    <col min="1" max="1" width="20.42578125" customWidth="1"/>
    <col min="2" max="2" width="12.140625" customWidth="1"/>
    <col min="3" max="3" width="10.140625" customWidth="1"/>
    <col min="4" max="4" width="11.140625" customWidth="1"/>
  </cols>
  <sheetData>
    <row r="1" spans="1:11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</row>
    <row r="2" spans="1:11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</row>
    <row r="3" spans="1:11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</row>
    <row r="4" spans="1:11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</row>
    <row r="5" spans="1:11" x14ac:dyDescent="0.25">
      <c r="C5" s="22"/>
      <c r="D5" s="22"/>
      <c r="I5">
        <v>4</v>
      </c>
      <c r="J5" s="22">
        <f t="shared" si="2"/>
        <v>40</v>
      </c>
      <c r="K5" s="22">
        <f t="shared" si="0"/>
        <v>26.666666666666664</v>
      </c>
    </row>
    <row r="6" spans="1:11" x14ac:dyDescent="0.25">
      <c r="I6">
        <v>5</v>
      </c>
      <c r="J6" s="22">
        <f t="shared" si="2"/>
        <v>80</v>
      </c>
      <c r="K6" s="22">
        <f t="shared" si="0"/>
        <v>53.333333333333329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A27" workbookViewId="0">
      <selection activeCell="J32" sqref="J32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4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5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5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5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Formulas'!$E$10:$Z$115,15,0),weapon_components!L8),2)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Formulas'!$E$10:$Z$115,15,0),weapon_components!L9),2)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Formulas'!$E$10:$Z$115,15,0),weapon_components!L10),2)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19.100000000000001</v>
      </c>
      <c r="E11" s="5">
        <f>ROUND(_xlfn.IFNA(VLOOKUP(A11,'Weapon Formulas'!$E$10:$Q$115,12,0),weapon_components!E11),2)</f>
        <v>31.84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Formulas'!$E$10:$Z$115,15,0),weapon_components!L11),2)</f>
        <v>24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42.57</v>
      </c>
      <c r="E12" s="5">
        <f>ROUND(_xlfn.IFNA(VLOOKUP(A12,'Weapon Formulas'!$E$10:$Q$115,12,0),weapon_components!E12),2)</f>
        <v>70.95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Formulas'!$E$10:$Z$115,15,0),weapon_components!L12),2)</f>
        <v>30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98.03</v>
      </c>
      <c r="E13" s="5">
        <f>ROUND(_xlfn.IFNA(VLOOKUP(A13,'Weapon Formulas'!$E$10:$Q$115,12,0),weapon_components!E13),2)</f>
        <v>163.38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Formulas'!$E$10:$Z$115,15,0),weapon_components!L13),2)</f>
        <v>36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31.13</v>
      </c>
      <c r="E14" s="5">
        <f>ROUND(_xlfn.IFNA(VLOOKUP(A14,'Weapon Formulas'!$E$10:$Q$115,12,0),weapon_components!E14),2)</f>
        <v>51.88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Formulas'!$E$10:$Z$115,15,0),weapon_components!L14),2)</f>
        <v>24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68.97</v>
      </c>
      <c r="E15" s="5">
        <f>ROUND(_xlfn.IFNA(VLOOKUP(A15,'Weapon Formulas'!$E$10:$Q$115,12,0),weapon_components!E15),2)</f>
        <v>114.94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Formulas'!$E$10:$Z$115,15,0),weapon_components!L15),2)</f>
        <v>30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158.07</v>
      </c>
      <c r="E16" s="5">
        <f>ROUND(_xlfn.IFNA(VLOOKUP(A16,'Weapon Formulas'!$E$10:$Q$115,12,0),weapon_components!E16),2)</f>
        <v>263.45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Formulas'!$E$10:$Z$115,15,0),weapon_components!L16),2)</f>
        <v>36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44.87</v>
      </c>
      <c r="E17" s="5">
        <f>ROUND(_xlfn.IFNA(VLOOKUP(A17,'Weapon Formulas'!$E$10:$Q$115,12,0),weapon_components!E17),2)</f>
        <v>74.78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Formulas'!$E$10:$Z$115,15,0),weapon_components!L17),2)</f>
        <v>24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98.88</v>
      </c>
      <c r="E18" s="5">
        <f>ROUND(_xlfn.IFNA(VLOOKUP(A18,'Weapon Formulas'!$E$10:$Q$115,12,0),weapon_components!E18),2)</f>
        <v>164.8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Formulas'!$E$10:$Z$115,15,0),weapon_components!L18),2)</f>
        <v>30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225.61</v>
      </c>
      <c r="E19" s="5">
        <f>ROUND(_xlfn.IFNA(VLOOKUP(A19,'Weapon Formulas'!$E$10:$Q$115,12,0),weapon_components!E19),2)</f>
        <v>376.01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Formulas'!$E$10:$Z$115,15,0),weapon_components!L19),2)</f>
        <v>36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60.33</v>
      </c>
      <c r="E20" s="5">
        <f>ROUND(_xlfn.IFNA(VLOOKUP(A20,'Weapon Formulas'!$E$10:$Q$115,12,0),weapon_components!E20),2)</f>
        <v>100.54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Formulas'!$E$10:$Z$115,15,0),weapon_components!L20),2)</f>
        <v>24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132.31</v>
      </c>
      <c r="E21" s="5">
        <f>ROUND(_xlfn.IFNA(VLOOKUP(A21,'Weapon Formulas'!$E$10:$Q$115,12,0),weapon_components!E21),2)</f>
        <v>220.52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Formulas'!$E$10:$Z$115,15,0),weapon_components!L21),2)</f>
        <v>30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300.64999999999998</v>
      </c>
      <c r="E22" s="5">
        <f>ROUND(_xlfn.IFNA(VLOOKUP(A22,'Weapon Formulas'!$E$10:$Q$115,12,0),weapon_components!E22),2)</f>
        <v>501.08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Formulas'!$E$10:$Z$115,15,0),weapon_components!L22),2)</f>
        <v>36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Formulas'!$E$10:$Z$115,15,0),weapon_components!L24),2)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Formulas'!$E$10:$Z$115,15,0),weapon_components!L25),2)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Formulas'!$E$10:$Z$115,15,0),weapon_components!L26),2)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337.6</v>
      </c>
      <c r="E28" s="5">
        <f>ROUND(_xlfn.IFNA(VLOOKUP(A28,'Weapon Formulas'!$E$10:$Q$115,12,0),weapon_components!E28),2)</f>
        <v>562.66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Formulas'!$E$10:$Z$115,15,0),weapon_components!L28),2)</f>
        <v>36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378.01</v>
      </c>
      <c r="E29" s="5">
        <f>ROUND(_xlfn.IFNA(VLOOKUP(A29,'Weapon Formulas'!$E$10:$Q$115,12,0),weapon_components!E29),2)</f>
        <v>630.01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Formulas'!$E$10:$Z$115,15,0),weapon_components!L29),2)</f>
        <v>36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24.85</v>
      </c>
      <c r="E31" s="5">
        <f>ROUND(_xlfn.IFNA(VLOOKUP(A31,'Weapon Formulas'!$E$10:$Q$115,12,0),weapon_components!E31),2)</f>
        <v>41.42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Formulas'!$E$10:$Z$115,15,0),weapon_components!L31),2)</f>
        <v>24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44.47</v>
      </c>
      <c r="E32" s="5">
        <f>ROUND(_xlfn.IFNA(VLOOKUP(A32,'Weapon Formulas'!$E$10:$Q$115,12,0),weapon_components!E32),2)</f>
        <v>74.11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Formulas'!$E$10:$Z$115,15,0),weapon_components!L32),2)</f>
        <v>30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81.12</v>
      </c>
      <c r="E33" s="5">
        <f>ROUND(_xlfn.IFNA(VLOOKUP(A33,'Weapon Formulas'!$E$10:$Q$115,12,0),weapon_components!E33),2)</f>
        <v>135.19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Formulas'!$E$10:$Z$115,15,0),weapon_components!L33),2)</f>
        <v>36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32.03</v>
      </c>
      <c r="E34" s="5">
        <f>ROUND(_xlfn.IFNA(VLOOKUP(A34,'Weapon Formulas'!$E$10:$Q$115,12,0),weapon_components!E34),2)</f>
        <v>53.38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Formulas'!$E$10:$Z$115,15,0),weapon_components!L34),2)</f>
        <v>24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56.18</v>
      </c>
      <c r="E35" s="5">
        <f>ROUND(_xlfn.IFNA(VLOOKUP(A35,'Weapon Formulas'!$E$10:$Q$115,12,0),weapon_components!E35),2)</f>
        <v>93.63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Formulas'!$E$10:$Z$115,15,0),weapon_components!L35),2)</f>
        <v>30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99.7</v>
      </c>
      <c r="E36" s="5">
        <f>ROUND(_xlfn.IFNA(VLOOKUP(A36,'Weapon Formulas'!$E$10:$Q$115,12,0),weapon_components!E36),2)</f>
        <v>166.16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Formulas'!$E$10:$Z$115,15,0),weapon_components!L36),2)</f>
        <v>36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38.39</v>
      </c>
      <c r="E37" s="5">
        <f>ROUND(_xlfn.IFNA(VLOOKUP(A37,'Weapon Formulas'!$E$10:$Q$115,12,0),weapon_components!E37),2)</f>
        <v>63.98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Formulas'!$E$10:$Z$115,15,0),weapon_components!L37),2)</f>
        <v>24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65.48</v>
      </c>
      <c r="E38" s="5">
        <f>ROUND(_xlfn.IFNA(VLOOKUP(A38,'Weapon Formulas'!$E$10:$Q$115,12,0),weapon_components!E38),2)</f>
        <v>109.14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Formulas'!$E$10:$Z$115,15,0),weapon_components!L38),2)</f>
        <v>30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111.6</v>
      </c>
      <c r="E39" s="5">
        <f>ROUND(_xlfn.IFNA(VLOOKUP(A39,'Weapon Formulas'!$E$10:$Q$115,12,0),weapon_components!E39),2)</f>
        <v>186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Formulas'!$E$10:$Z$115,15,0),weapon_components!L39),2)</f>
        <v>36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849.72</v>
      </c>
      <c r="E41" s="5">
        <f>ROUND(_xlfn.IFNA(VLOOKUP(A41,'Weapon Formulas'!$E$10:$Q$115,12,0),weapon_components!E41),2)</f>
        <v>1416.2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Formulas'!$E$10:$Z$115,15,0),weapon_components!L41),2)</f>
        <v>36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1268.57</v>
      </c>
      <c r="E42" s="5">
        <f>ROUND(_xlfn.IFNA(VLOOKUP(A42,'Weapon Formulas'!$E$10:$Q$115,12,0),weapon_components!E42),2)</f>
        <v>2114.2800000000002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Formulas'!$E$10:$Z$115,15,0),weapon_components!L42),2)</f>
        <v>36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61.84</v>
      </c>
      <c r="E44" s="5">
        <f>ROUND(_xlfn.IFNA(VLOOKUP(A44,'Weapon Formulas'!$E$10:$Q$115,12,0),weapon_components!E44),2)</f>
        <v>103.07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Formulas'!$E$10:$Z$115,15,0),weapon_components!L44),2)</f>
        <v>18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26.38</v>
      </c>
      <c r="E45" s="5">
        <f>ROUND(_xlfn.IFNA(VLOOKUP(A45,'Weapon Formulas'!$E$10:$Q$115,12,0),weapon_components!E45),2)</f>
        <v>43.97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Formulas'!$E$10:$Z$115,15,0),weapon_components!L45),2)</f>
        <v>21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44.97</v>
      </c>
      <c r="E46" s="5">
        <f>ROUND(_xlfn.IFNA(VLOOKUP(A46,'Weapon Formulas'!$E$10:$Q$115,12,0),weapon_components!E46),2)</f>
        <v>74.95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Formulas'!$E$10:$Z$115,15,0),weapon_components!L46),2)</f>
        <v>24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18.97</v>
      </c>
      <c r="E47" s="5">
        <f>ROUND(_xlfn.IFNA(VLOOKUP(A47,'Weapon Formulas'!$E$10:$Q$115,12,0),weapon_components!E47),2)</f>
        <v>31.61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Formulas'!$E$10:$Z$115,15,0),weapon_components!L47),2)</f>
        <v>18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31.08</v>
      </c>
      <c r="E48" s="5">
        <f>ROUND(_xlfn.IFNA(VLOOKUP(A48,'Weapon Formulas'!$E$10:$Q$115,12,0),weapon_components!E48),2)</f>
        <v>51.8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Formulas'!$E$10:$Z$115,15,0),weapon_components!L48),2)</f>
        <v>21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49.68</v>
      </c>
      <c r="E49" s="5">
        <f>ROUND(_xlfn.IFNA(VLOOKUP(A49,'Weapon Formulas'!$E$10:$Q$115,12,0),weapon_components!E49),2)</f>
        <v>82.8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Formulas'!$E$10:$Z$115,15,0),weapon_components!L49),2)</f>
        <v>24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21.21</v>
      </c>
      <c r="E50" s="5">
        <f>ROUND(_xlfn.IFNA(VLOOKUP(A50,'Weapon Formulas'!$E$10:$Q$115,12,0),weapon_components!E50),2)</f>
        <v>35.35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Formulas'!$E$10:$Z$115,15,0),weapon_components!L50),2)</f>
        <v>18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32.590000000000003</v>
      </c>
      <c r="E51" s="5">
        <f>ROUND(_xlfn.IFNA(VLOOKUP(A51,'Weapon Formulas'!$E$10:$Q$115,12,0),weapon_components!E51),2)</f>
        <v>54.31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Formulas'!$E$10:$Z$115,15,0),weapon_components!L51),2)</f>
        <v>21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46.31</v>
      </c>
      <c r="E52" s="5">
        <f>ROUND(_xlfn.IFNA(VLOOKUP(A52,'Weapon Formulas'!$E$10:$Q$115,12,0),weapon_components!E52),2)</f>
        <v>77.19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Formulas'!$E$10:$Z$115,15,0),weapon_components!L52),2)</f>
        <v>24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636.88</v>
      </c>
      <c r="E54" s="5">
        <f>ROUND(_xlfn.IFNA(VLOOKUP(A54,'Weapon Formulas'!$E$10:$Q$115,12,0),weapon_components!E54),2)</f>
        <v>1061.47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Formulas'!$E$10:$Z$115,15,0),weapon_components!L54),2)</f>
        <v>72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849.87</v>
      </c>
      <c r="E55" s="5">
        <f>ROUND(_xlfn.IFNA(VLOOKUP(A55,'Weapon Formulas'!$E$10:$Q$115,12,0),weapon_components!E55),2)</f>
        <v>1416.45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Formulas'!$E$10:$Z$115,15,0),weapon_components!L55),2)</f>
        <v>72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Formulas'!$E$10:$Z$115,15,0),weapon_components!L57),2)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Formulas'!$E$10:$Z$115,15,0),weapon_components!L58),2)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Formulas'!$E$10:$Z$115,15,0),weapon_components!L59),2)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17.510000000000002</v>
      </c>
      <c r="E60" s="5">
        <f>ROUND(_xlfn.IFNA(VLOOKUP(A60,'Weapon Formulas'!$E$10:$Q$115,12,0),weapon_components!E60),2)</f>
        <v>29.18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Formulas'!$E$10:$Z$115,15,0),weapon_components!L60),2)</f>
        <v>36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31.25</v>
      </c>
      <c r="E61" s="5">
        <f>ROUND(_xlfn.IFNA(VLOOKUP(A61,'Weapon Formulas'!$E$10:$Q$115,12,0),weapon_components!E61),2)</f>
        <v>52.08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Formulas'!$E$10:$Z$115,15,0),weapon_components!L61),2)</f>
        <v>45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55.01</v>
      </c>
      <c r="E62" s="5">
        <f>ROUND(_xlfn.IFNA(VLOOKUP(A62,'Weapon Formulas'!$E$10:$Q$115,12,0),weapon_components!E62),2)</f>
        <v>91.69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Formulas'!$E$10:$Z$115,15,0),weapon_components!L62),2)</f>
        <v>54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28.75</v>
      </c>
      <c r="E63" s="5">
        <f>ROUND(_xlfn.IFNA(VLOOKUP(A63,'Weapon Formulas'!$E$10:$Q$115,12,0),weapon_components!E63),2)</f>
        <v>47.92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Formulas'!$E$10:$Z$115,15,0),weapon_components!L63),2)</f>
        <v>36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51.41</v>
      </c>
      <c r="E64" s="5">
        <f>ROUND(_xlfn.IFNA(VLOOKUP(A64,'Weapon Formulas'!$E$10:$Q$115,12,0),weapon_components!E64),2)</f>
        <v>85.69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Formulas'!$E$10:$Z$115,15,0),weapon_components!L64),2)</f>
        <v>45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90.67</v>
      </c>
      <c r="E65" s="5">
        <f>ROUND(_xlfn.IFNA(VLOOKUP(A65,'Weapon Formulas'!$E$10:$Q$115,12,0),weapon_components!E65),2)</f>
        <v>151.12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Formulas'!$E$10:$Z$115,15,0),weapon_components!L65),2)</f>
        <v>54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42.41</v>
      </c>
      <c r="E66" s="5">
        <f>ROUND(_xlfn.IFNA(VLOOKUP(A66,'Weapon Formulas'!$E$10:$Q$115,12,0),weapon_components!E66),2)</f>
        <v>70.680000000000007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Formulas'!$E$10:$Z$115,15,0),weapon_components!L66),2)</f>
        <v>36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75.89</v>
      </c>
      <c r="E67" s="5">
        <f>ROUND(_xlfn.IFNA(VLOOKUP(A67,'Weapon Formulas'!$E$10:$Q$115,12,0),weapon_components!E67),2)</f>
        <v>126.49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Formulas'!$E$10:$Z$115,15,0),weapon_components!L67),2)</f>
        <v>45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133.97</v>
      </c>
      <c r="E68" s="5">
        <f>ROUND(_xlfn.IFNA(VLOOKUP(A68,'Weapon Formulas'!$E$10:$Q$115,12,0),weapon_components!E68),2)</f>
        <v>223.28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Formulas'!$E$10:$Z$115,15,0),weapon_components!L68),2)</f>
        <v>54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59.34</v>
      </c>
      <c r="E69" s="5">
        <f>ROUND(_xlfn.IFNA(VLOOKUP(A69,'Weapon Formulas'!$E$10:$Q$115,12,0),weapon_components!E69),2)</f>
        <v>98.9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Formulas'!$E$10:$Z$115,15,0),weapon_components!L69),2)</f>
        <v>36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106.25</v>
      </c>
      <c r="E70" s="5">
        <f>ROUND(_xlfn.IFNA(VLOOKUP(A70,'Weapon Formulas'!$E$10:$Q$115,12,0),weapon_components!E70),2)</f>
        <v>177.08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Formulas'!$E$10:$Z$115,15,0),weapon_components!L70),2)</f>
        <v>45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187.65</v>
      </c>
      <c r="E71" s="5">
        <f>ROUND(_xlfn.IFNA(VLOOKUP(A71,'Weapon Formulas'!$E$10:$Q$115,12,0),weapon_components!E71),2)</f>
        <v>312.76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Formulas'!$E$10:$Z$115,15,0),weapon_components!L71),2)</f>
        <v>54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Formulas'!$E$10:$Z$115,15,0),weapon_components!L73),2)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Formulas'!$E$10:$Z$115,15,0),weapon_components!L74),2)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Formulas'!$E$10:$Z$115,15,0),weapon_components!L75),2)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Formulas'!$E$10:$Z$115,15,0),weapon_components!L77),2)</f>
        <v>72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Formulas'!$E$10:$Z$115,15,0),weapon_components!L78),2)</f>
        <v>72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Formulas'!$E$10:$Z$115,15,0),weapon_components!L80),2)</f>
        <v>36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Formulas'!$E$10:$Z$115,15,0),weapon_components!L81),2)</f>
        <v>45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Formulas'!$E$10:$Z$115,15,0),weapon_components!L82),2)</f>
        <v>54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Formulas'!$E$10:$Z$115,15,0),weapon_components!L83),2)</f>
        <v>36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Formulas'!$E$10:$Z$115,15,0),weapon_components!L84),2)</f>
        <v>45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Formulas'!$E$10:$Z$115,15,0),weapon_components!L85),2)</f>
        <v>54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Formulas'!$E$10:$Z$115,15,0),weapon_components!L86),2)</f>
        <v>36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Formulas'!$E$10:$Z$115,15,0),weapon_components!L87),2)</f>
        <v>45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Formulas'!$E$10:$Z$115,15,0),weapon_components!L88),2)</f>
        <v>54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Formulas'!$E$10:$Z$115,15,0),weapon_components!L91),2)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Formulas'!$E$10:$Z$115,15,0),weapon_components!L93),2)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Formulas'!$E$10:$Z$115,15,0),weapon_components!L94),2)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Formulas'!$E$10:$Z$115,15,0),weapon_components!L95),2)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Formulas'!$E$10:$Z$115,15,0),weapon_components!L96),2)</f>
        <v>48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21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Formulas'!$E$10:$Z$115,15,0),weapon_components!L97),2)</f>
        <v>60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21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Formulas'!$E$10:$Z$115,15,0),weapon_components!L98),2)</f>
        <v>72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21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Formulas'!$E$10:$Z$115,15,0),weapon_components!L99),2)</f>
        <v>48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21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Formulas'!$E$10:$Z$115,15,0),weapon_components!L100),2)</f>
        <v>60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21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Formulas'!$E$10:$Z$115,15,0),weapon_components!L101),2)</f>
        <v>72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21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Formulas'!$E$10:$Z$115,15,0),weapon_components!L102),2)</f>
        <v>48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21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Formulas'!$E$10:$Z$115,15,0),weapon_components!L103),2)</f>
        <v>60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21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Formulas'!$E$10:$Z$115,15,0),weapon_components!L104),2)</f>
        <v>72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21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Formulas'!$E$10:$Z$115,15,0),weapon_components!L105),2)</f>
        <v>48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21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Formulas'!$E$10:$Z$115,15,0),weapon_components!L106),2)</f>
        <v>60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21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Formulas'!$E$10:$Z$115,15,0),weapon_components!L107),2)</f>
        <v>72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  <c r="U107">
        <f>4/24</f>
        <v>0.16666666666666666</v>
      </c>
    </row>
    <row r="108" spans="1:21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21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Formulas'!$E$10:$Z$115,15,0),weapon_components!L109),2)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21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Formulas'!$E$10:$Z$115,15,0),weapon_components!L110),2)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21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Formulas'!$E$10:$Z$115,15,0),weapon_components!L111),2)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21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Formulas'!$E$10:$Z$115,15,0),weapon_components!L113),2)</f>
        <v>48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Formulas'!$E$10:$Z$115,15,0),weapon_components!L114),2)</f>
        <v>60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Formulas'!$E$10:$Z$115,15,0),weapon_components!L115),2)</f>
        <v>72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Formulas'!$E$10:$Z$115,15,0),weapon_components!L116),2)</f>
        <v>48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Formulas'!$E$10:$Z$115,15,0),weapon_components!L117),2)</f>
        <v>60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Formulas'!$E$10:$Z$115,15,0),weapon_components!L118),2)</f>
        <v>72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Formulas'!$E$10:$Z$115,15,0),weapon_components!L119),2)</f>
        <v>48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Formulas'!$E$10:$Z$115,15,0),weapon_components!L120),2)</f>
        <v>60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Formulas'!$E$10:$Z$115,15,0),weapon_components!L121),2)</f>
        <v>72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Formulas'!$E$10:$Z$115,15,0),weapon_components!L123),2)</f>
        <v>60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Formulas'!$E$10:$Z$115,15,0),weapon_components!L124),2)</f>
        <v>60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Formulas'!$E$10:$Z$115,15,0),weapon_components!L126),2)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Formulas'!$E$10:$Z$115,15,0),weapon_components!L127),2)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Formulas'!$E$10:$Z$115,15,0),weapon_components!L129),2)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Formulas'!$E$10:$Z$115,15,0),weapon_components!L130),2)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Formulas'!$E$10:$Z$115,15,0),weapon_components!L131),2)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Formulas'!$E$10:$Z$115,15,0),weapon_components!L132),2)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Formulas'!$E$10:$Z$115,15,0),weapon_components!L133),2)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Formulas'!$E$10:$Z$115,15,0),weapon_components!L134),2)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Formulas'!$E$10:$Z$115,15,0),weapon_components!L135),2)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Formulas'!$E$10:$Z$115,15,0),weapon_components!L136),2)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Formulas'!$E$10:$Z$115,15,0),weapon_components!L137),2)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Formulas'!$E$10:$Z$115,15,0),weapon_components!L138),2)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Formulas'!$E$10:$Z$115,15,0),weapon_components!L139),2)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Formulas'!$E$10:$Z$115,15,0),weapon_components!L140),2)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Formulas'!$E$10:$Z$115,15,0),weapon_components!L141),2)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Formulas'!$E$10:$Z$115,15,0),weapon_components!L142),2)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Formulas'!$E$10:$Z$115,15,0),weapon_components!L143),2)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Formulas'!$E$10:$Z$115,15,0),weapon_components!L144),2)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Formulas'!$E$10:$Z$115,15,0),weapon_components!L145),2)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Formulas'!$E$10:$Z$115,15,0),weapon_components!L146),2)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Formulas'!$E$10:$Z$115,15,0),weapon_components!L147),2)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Formulas'!$E$10:$Z$115,15,0),weapon_components!L148),2)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Formulas'!$E$10:$Z$115,15,0),weapon_components!L149),2)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Formulas'!$E$10:$Z$115,15,0),weapon_components!L150),2)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Formulas'!$E$10:$Z$115,15,0),weapon_components!L151),2)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Formulas'!$E$10:$Z$115,15,0),weapon_components!L152),2)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Formulas'!$E$10:$Z$115,15,0),weapon_components!L154),2)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Formulas'!$E$10:$Z$115,15,0),weapon_components!L155),2)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Formulas'!$E$10:$Z$115,15,0),weapon_components!L156),2)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Formulas'!$E$10:$Z$115,15,0),weapon_components!L157),2)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Formulas'!$E$10:$Z$115,15,0),weapon_components!L158),2)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Formulas'!$E$10:$Z$115,15,0),weapon_components!L159),2)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Formulas'!$E$10:$Z$115,15,0),weapon_components!L160),2)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Formulas'!$E$10:$Z$115,15,0),weapon_components!L161),2)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Formulas'!$E$10:$Z$115,15,0),weapon_components!L163),2)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Formulas'!$E$10:$Z$115,15,0),weapon_components!L164),2)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Formulas'!$E$10:$Z$115,15,0),weapon_components!L165),2)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Formulas'!$E$10:$Z$115,15,0),weapon_components!L167),2)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Formulas'!$E$10:$Z$115,15,0),weapon_components!L168),2)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Formulas'!$E$10:$Z$115,15,0),weapon_components!L169),2)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Formulas'!$E$10:$Z$115,15,0),weapon_components!L170),2)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Formulas'!$E$10:$Z$115,15,0),weapon_components!L171),2)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Formulas'!$E$10:$Z$115,15,0),weapon_components!L172),2)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Formulas'!$E$10:$Z$115,15,0),weapon_components!L174),2)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f>ROUND(_xlfn.IFNA(VLOOKUP(A176,'Weapon Formulas'!$E$10:$V$115,17,0),weapon_components!C176),2)</f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v>1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f>ROUND(_xlfn.IFNA(VLOOKUP(A177,'Weapon Formulas'!$E$10:$V$115,17,0),weapon_components!C177),2)</f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v>2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f>ROUND(_xlfn.IFNA(VLOOKUP(A178,'Weapon Formulas'!$E$10:$V$115,17,0),weapon_components!C178),2)</f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v>4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2016-05-17T19:15:58Z</dcterms:modified>
</cp:coreProperties>
</file>