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Soren\Documents\Paradox Interactive\Stellaris\mod\CombatRebalance\"/>
    </mc:Choice>
  </mc:AlternateContent>
  <bookViews>
    <workbookView xWindow="0" yWindow="0" windowWidth="28800" windowHeight="11610" tabRatio="737" activeTab="3"/>
  </bookViews>
  <sheets>
    <sheet name="weapon_components" sheetId="4" r:id="rId1"/>
    <sheet name="Weapon Formulas" sheetId="2" r:id="rId2"/>
    <sheet name="Ship Design Balancing" sheetId="5" r:id="rId3"/>
    <sheet name="gen_weapon_components" sheetId="3" r:id="rId4"/>
  </sheets>
  <calcPr calcId="171027"/>
</workbook>
</file>

<file path=xl/calcChain.xml><?xml version="1.0" encoding="utf-8"?>
<calcChain xmlns="http://schemas.openxmlformats.org/spreadsheetml/2006/main">
  <c r="L9" i="3" l="1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4" i="3"/>
  <c r="L25" i="3"/>
  <c r="L26" i="3"/>
  <c r="L28" i="3"/>
  <c r="L29" i="3"/>
  <c r="L31" i="3"/>
  <c r="L32" i="3"/>
  <c r="L33" i="3"/>
  <c r="L34" i="3"/>
  <c r="L35" i="3"/>
  <c r="L36" i="3"/>
  <c r="L37" i="3"/>
  <c r="L38" i="3"/>
  <c r="L39" i="3"/>
  <c r="L41" i="3"/>
  <c r="L42" i="3"/>
  <c r="L44" i="3"/>
  <c r="L45" i="3"/>
  <c r="L46" i="3"/>
  <c r="L47" i="3"/>
  <c r="L48" i="3"/>
  <c r="L49" i="3"/>
  <c r="L50" i="3"/>
  <c r="L51" i="3"/>
  <c r="L52" i="3"/>
  <c r="L54" i="3"/>
  <c r="L55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3" i="3"/>
  <c r="L74" i="3"/>
  <c r="L75" i="3"/>
  <c r="L77" i="3"/>
  <c r="L78" i="3"/>
  <c r="L80" i="3"/>
  <c r="L81" i="3"/>
  <c r="L82" i="3"/>
  <c r="L83" i="3"/>
  <c r="L84" i="3"/>
  <c r="L85" i="3"/>
  <c r="L86" i="3"/>
  <c r="L87" i="3"/>
  <c r="L88" i="3"/>
  <c r="L90" i="3"/>
  <c r="L91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9" i="3"/>
  <c r="L110" i="3"/>
  <c r="L111" i="3"/>
  <c r="L113" i="3"/>
  <c r="L114" i="3"/>
  <c r="L115" i="3"/>
  <c r="L116" i="3"/>
  <c r="L117" i="3"/>
  <c r="L118" i="3"/>
  <c r="L119" i="3"/>
  <c r="L120" i="3"/>
  <c r="L121" i="3"/>
  <c r="L123" i="3"/>
  <c r="L124" i="3"/>
  <c r="L126" i="3"/>
  <c r="L127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4" i="3"/>
  <c r="L155" i="3"/>
  <c r="L156" i="3"/>
  <c r="L157" i="3"/>
  <c r="L158" i="3"/>
  <c r="L159" i="3"/>
  <c r="L160" i="3"/>
  <c r="L161" i="3"/>
  <c r="L163" i="3"/>
  <c r="L164" i="3"/>
  <c r="L165" i="3"/>
  <c r="L167" i="3"/>
  <c r="L168" i="3"/>
  <c r="L169" i="3"/>
  <c r="L170" i="3"/>
  <c r="L171" i="3"/>
  <c r="L172" i="3"/>
  <c r="L174" i="3"/>
  <c r="L8" i="3"/>
  <c r="L176" i="3"/>
  <c r="L177" i="3"/>
  <c r="L178" i="3"/>
  <c r="S115" i="2"/>
  <c r="S114" i="2"/>
  <c r="S105" i="2"/>
  <c r="S106" i="2"/>
  <c r="S107" i="2"/>
  <c r="S108" i="2"/>
  <c r="S109" i="2"/>
  <c r="S110" i="2"/>
  <c r="S111" i="2"/>
  <c r="S112" i="2"/>
  <c r="S104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88" i="2"/>
  <c r="S76" i="2"/>
  <c r="S77" i="2"/>
  <c r="S78" i="2"/>
  <c r="S79" i="2"/>
  <c r="S80" i="2"/>
  <c r="S81" i="2"/>
  <c r="S82" i="2"/>
  <c r="S83" i="2"/>
  <c r="S75" i="2"/>
  <c r="S73" i="2"/>
  <c r="S72" i="2"/>
  <c r="S70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56" i="2"/>
  <c r="S54" i="2"/>
  <c r="S53" i="2"/>
  <c r="S44" i="2"/>
  <c r="S45" i="2"/>
  <c r="S46" i="2"/>
  <c r="S47" i="2"/>
  <c r="S48" i="2"/>
  <c r="S49" i="2"/>
  <c r="S50" i="2"/>
  <c r="S51" i="2"/>
  <c r="S43" i="2"/>
  <c r="S41" i="2"/>
  <c r="S40" i="2"/>
  <c r="S31" i="2"/>
  <c r="S32" i="2"/>
  <c r="S33" i="2"/>
  <c r="S34" i="2"/>
  <c r="S35" i="2"/>
  <c r="S36" i="2"/>
  <c r="S37" i="2"/>
  <c r="S38" i="2"/>
  <c r="S30" i="2"/>
  <c r="S28" i="2"/>
  <c r="S27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11" i="2"/>
  <c r="J3" i="2"/>
  <c r="E14" i="5" l="1"/>
  <c r="B13" i="5"/>
  <c r="O8" i="5" l="1"/>
  <c r="B16" i="5"/>
  <c r="C16" i="5"/>
  <c r="D16" i="5"/>
  <c r="E16" i="5"/>
  <c r="D6" i="5"/>
  <c r="E6" i="5"/>
  <c r="C6" i="5"/>
  <c r="N5" i="5"/>
  <c r="B8" i="5"/>
  <c r="P9" i="5"/>
  <c r="C14" i="5"/>
  <c r="D14" i="5"/>
  <c r="B14" i="5"/>
  <c r="E12" i="5"/>
  <c r="E13" i="5" s="1"/>
  <c r="B11" i="5"/>
  <c r="D12" i="5"/>
  <c r="D13" i="5" s="1"/>
  <c r="C12" i="5"/>
  <c r="C13" i="5" s="1"/>
  <c r="J11" i="5"/>
  <c r="J12" i="5" s="1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K12" i="5"/>
  <c r="L12" i="5"/>
  <c r="M12" i="5"/>
  <c r="C8" i="5"/>
  <c r="D8" i="5"/>
  <c r="E8" i="5"/>
  <c r="S3" i="5"/>
  <c r="C5" i="5"/>
  <c r="D5" i="5"/>
  <c r="E5" i="5"/>
  <c r="B5" i="5"/>
  <c r="E9" i="5" l="1"/>
  <c r="E15" i="5" s="1"/>
  <c r="D9" i="5"/>
  <c r="D15" i="5" s="1"/>
  <c r="C9" i="5"/>
  <c r="C15" i="5" s="1"/>
  <c r="B9" i="5"/>
  <c r="B15" i="5" s="1"/>
  <c r="C24" i="3"/>
  <c r="C25" i="3"/>
  <c r="C26" i="3"/>
  <c r="C73" i="3"/>
  <c r="C74" i="3"/>
  <c r="C75" i="3"/>
  <c r="C109" i="3"/>
  <c r="C110" i="3"/>
  <c r="C111" i="3"/>
  <c r="C126" i="3"/>
  <c r="C127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4" i="3"/>
  <c r="C155" i="3"/>
  <c r="C156" i="3"/>
  <c r="C157" i="3"/>
  <c r="C158" i="3"/>
  <c r="C159" i="3"/>
  <c r="C160" i="3"/>
  <c r="C161" i="3"/>
  <c r="C163" i="3"/>
  <c r="C164" i="3"/>
  <c r="C165" i="3"/>
  <c r="C167" i="3"/>
  <c r="C168" i="3"/>
  <c r="C169" i="3"/>
  <c r="C170" i="3"/>
  <c r="C171" i="3"/>
  <c r="C172" i="3"/>
  <c r="C174" i="3"/>
  <c r="C176" i="3"/>
  <c r="C177" i="3"/>
  <c r="C178" i="3"/>
  <c r="U44" i="2"/>
  <c r="C45" i="3" s="1"/>
  <c r="U45" i="2"/>
  <c r="C46" i="3" s="1"/>
  <c r="U46" i="2"/>
  <c r="C47" i="3" s="1"/>
  <c r="U47" i="2"/>
  <c r="C48" i="3" s="1"/>
  <c r="U48" i="2"/>
  <c r="C49" i="3" s="1"/>
  <c r="U49" i="2"/>
  <c r="C50" i="3" s="1"/>
  <c r="U50" i="2"/>
  <c r="C51" i="3" s="1"/>
  <c r="U51" i="2"/>
  <c r="C52" i="3" s="1"/>
  <c r="U43" i="2"/>
  <c r="C44" i="3" s="1"/>
  <c r="U12" i="2"/>
  <c r="C9" i="3" s="1"/>
  <c r="U13" i="2"/>
  <c r="C10" i="3" s="1"/>
  <c r="U14" i="2"/>
  <c r="C11" i="3" s="1"/>
  <c r="U15" i="2"/>
  <c r="C12" i="3" s="1"/>
  <c r="U16" i="2"/>
  <c r="C13" i="3" s="1"/>
  <c r="U17" i="2"/>
  <c r="C14" i="3" s="1"/>
  <c r="U18" i="2"/>
  <c r="C15" i="3" s="1"/>
  <c r="U19" i="2"/>
  <c r="C16" i="3" s="1"/>
  <c r="U20" i="2"/>
  <c r="C17" i="3" s="1"/>
  <c r="U21" i="2"/>
  <c r="C18" i="3" s="1"/>
  <c r="U22" i="2"/>
  <c r="C19" i="3" s="1"/>
  <c r="U23" i="2"/>
  <c r="C20" i="3" s="1"/>
  <c r="U24" i="2"/>
  <c r="C21" i="3" s="1"/>
  <c r="U25" i="2"/>
  <c r="C22" i="3" s="1"/>
  <c r="U27" i="2"/>
  <c r="C28" i="3" s="1"/>
  <c r="U28" i="2"/>
  <c r="C29" i="3" s="1"/>
  <c r="U30" i="2"/>
  <c r="C31" i="3" s="1"/>
  <c r="U31" i="2"/>
  <c r="C32" i="3" s="1"/>
  <c r="U32" i="2"/>
  <c r="C33" i="3" s="1"/>
  <c r="U33" i="2"/>
  <c r="C34" i="3" s="1"/>
  <c r="U34" i="2"/>
  <c r="C35" i="3" s="1"/>
  <c r="U35" i="2"/>
  <c r="C36" i="3" s="1"/>
  <c r="U36" i="2"/>
  <c r="C37" i="3" s="1"/>
  <c r="U37" i="2"/>
  <c r="C38" i="3" s="1"/>
  <c r="U38" i="2"/>
  <c r="C39" i="3" s="1"/>
  <c r="U40" i="2"/>
  <c r="C41" i="3" s="1"/>
  <c r="U41" i="2"/>
  <c r="C42" i="3" s="1"/>
  <c r="U53" i="2"/>
  <c r="C54" i="3" s="1"/>
  <c r="U54" i="2"/>
  <c r="C55" i="3" s="1"/>
  <c r="U56" i="2"/>
  <c r="C57" i="3" s="1"/>
  <c r="U57" i="2"/>
  <c r="C58" i="3" s="1"/>
  <c r="U58" i="2"/>
  <c r="C59" i="3" s="1"/>
  <c r="U59" i="2"/>
  <c r="C60" i="3" s="1"/>
  <c r="U60" i="2"/>
  <c r="C61" i="3" s="1"/>
  <c r="U61" i="2"/>
  <c r="C62" i="3" s="1"/>
  <c r="U62" i="2"/>
  <c r="C63" i="3" s="1"/>
  <c r="U63" i="2"/>
  <c r="C64" i="3" s="1"/>
  <c r="U64" i="2"/>
  <c r="C65" i="3" s="1"/>
  <c r="U65" i="2"/>
  <c r="C66" i="3" s="1"/>
  <c r="U66" i="2"/>
  <c r="C67" i="3" s="1"/>
  <c r="U67" i="2"/>
  <c r="C68" i="3" s="1"/>
  <c r="U68" i="2"/>
  <c r="C69" i="3" s="1"/>
  <c r="U69" i="2"/>
  <c r="C70" i="3" s="1"/>
  <c r="U70" i="2"/>
  <c r="C71" i="3" s="1"/>
  <c r="U72" i="2"/>
  <c r="C77" i="3" s="1"/>
  <c r="U73" i="2"/>
  <c r="C78" i="3" s="1"/>
  <c r="U75" i="2"/>
  <c r="C80" i="3" s="1"/>
  <c r="U76" i="2"/>
  <c r="C81" i="3" s="1"/>
  <c r="U77" i="2"/>
  <c r="C82" i="3" s="1"/>
  <c r="U78" i="2"/>
  <c r="C83" i="3" s="1"/>
  <c r="U79" i="2"/>
  <c r="C84" i="3" s="1"/>
  <c r="U80" i="2"/>
  <c r="C85" i="3" s="1"/>
  <c r="U81" i="2"/>
  <c r="C86" i="3" s="1"/>
  <c r="U82" i="2"/>
  <c r="C87" i="3" s="1"/>
  <c r="U83" i="2"/>
  <c r="C88" i="3" s="1"/>
  <c r="U85" i="2"/>
  <c r="C90" i="3" s="1"/>
  <c r="U86" i="2"/>
  <c r="C91" i="3" s="1"/>
  <c r="U88" i="2"/>
  <c r="C93" i="3" s="1"/>
  <c r="U89" i="2"/>
  <c r="C94" i="3" s="1"/>
  <c r="U90" i="2"/>
  <c r="C95" i="3" s="1"/>
  <c r="U91" i="2"/>
  <c r="C96" i="3" s="1"/>
  <c r="U92" i="2"/>
  <c r="C97" i="3" s="1"/>
  <c r="U93" i="2"/>
  <c r="C98" i="3" s="1"/>
  <c r="U94" i="2"/>
  <c r="C99" i="3" s="1"/>
  <c r="U95" i="2"/>
  <c r="C100" i="3" s="1"/>
  <c r="U96" i="2"/>
  <c r="C101" i="3" s="1"/>
  <c r="U97" i="2"/>
  <c r="C102" i="3" s="1"/>
  <c r="U98" i="2"/>
  <c r="C103" i="3" s="1"/>
  <c r="U99" i="2"/>
  <c r="C104" i="3" s="1"/>
  <c r="U100" i="2"/>
  <c r="C105" i="3" s="1"/>
  <c r="U101" i="2"/>
  <c r="C106" i="3" s="1"/>
  <c r="U102" i="2"/>
  <c r="C107" i="3" s="1"/>
  <c r="U104" i="2"/>
  <c r="C113" i="3" s="1"/>
  <c r="U105" i="2"/>
  <c r="C114" i="3" s="1"/>
  <c r="U106" i="2"/>
  <c r="C115" i="3" s="1"/>
  <c r="U107" i="2"/>
  <c r="C116" i="3" s="1"/>
  <c r="U108" i="2"/>
  <c r="C117" i="3" s="1"/>
  <c r="U109" i="2"/>
  <c r="C118" i="3" s="1"/>
  <c r="U110" i="2"/>
  <c r="C119" i="3" s="1"/>
  <c r="U111" i="2"/>
  <c r="C120" i="3" s="1"/>
  <c r="U112" i="2"/>
  <c r="C121" i="3" s="1"/>
  <c r="U114" i="2"/>
  <c r="C123" i="3" s="1"/>
  <c r="U115" i="2"/>
  <c r="C124" i="3" s="1"/>
  <c r="U117" i="2"/>
  <c r="U118" i="2"/>
  <c r="U119" i="2"/>
  <c r="U11" i="2"/>
  <c r="C8" i="3" s="1"/>
  <c r="K3" i="5"/>
  <c r="K4" i="5"/>
  <c r="K5" i="5"/>
  <c r="K6" i="5"/>
  <c r="K2" i="5"/>
  <c r="J4" i="5"/>
  <c r="J5" i="5" s="1"/>
  <c r="J6" i="5" s="1"/>
  <c r="J3" i="5"/>
  <c r="C4" i="5"/>
  <c r="D4" i="5"/>
  <c r="E4" i="5"/>
  <c r="B4" i="5"/>
  <c r="D176" i="3" l="1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4" i="3"/>
  <c r="N25" i="3"/>
  <c r="N26" i="3"/>
  <c r="N28" i="3"/>
  <c r="N29" i="3"/>
  <c r="N31" i="3"/>
  <c r="N32" i="3"/>
  <c r="N33" i="3"/>
  <c r="N34" i="3"/>
  <c r="N35" i="3"/>
  <c r="N36" i="3"/>
  <c r="N37" i="3"/>
  <c r="N38" i="3"/>
  <c r="N39" i="3"/>
  <c r="N41" i="3"/>
  <c r="N42" i="3"/>
  <c r="N44" i="3"/>
  <c r="N45" i="3"/>
  <c r="N46" i="3"/>
  <c r="N47" i="3"/>
  <c r="N48" i="3"/>
  <c r="N49" i="3"/>
  <c r="N50" i="3"/>
  <c r="N51" i="3"/>
  <c r="N52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3" i="3"/>
  <c r="N74" i="3"/>
  <c r="N75" i="3"/>
  <c r="N77" i="3"/>
  <c r="N78" i="3"/>
  <c r="N80" i="3"/>
  <c r="N81" i="3"/>
  <c r="N82" i="3"/>
  <c r="N83" i="3"/>
  <c r="N84" i="3"/>
  <c r="N85" i="3"/>
  <c r="N86" i="3"/>
  <c r="N87" i="3"/>
  <c r="N88" i="3"/>
  <c r="N90" i="3"/>
  <c r="N91" i="3"/>
  <c r="N109" i="3"/>
  <c r="N110" i="3"/>
  <c r="N111" i="3"/>
  <c r="N126" i="3"/>
  <c r="N127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4" i="3"/>
  <c r="N155" i="3"/>
  <c r="N156" i="3"/>
  <c r="N157" i="3"/>
  <c r="N158" i="3"/>
  <c r="N159" i="3"/>
  <c r="N160" i="3"/>
  <c r="N161" i="3"/>
  <c r="N163" i="3"/>
  <c r="N164" i="3"/>
  <c r="N165" i="3"/>
  <c r="N167" i="3"/>
  <c r="N168" i="3"/>
  <c r="N169" i="3"/>
  <c r="N170" i="3"/>
  <c r="N171" i="3"/>
  <c r="N172" i="3"/>
  <c r="N174" i="3"/>
  <c r="N176" i="3"/>
  <c r="N177" i="3"/>
  <c r="N17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G28" i="3"/>
  <c r="G29" i="3"/>
  <c r="G31" i="3"/>
  <c r="G32" i="3"/>
  <c r="G33" i="3"/>
  <c r="G34" i="3"/>
  <c r="G35" i="3"/>
  <c r="G36" i="3"/>
  <c r="G37" i="3"/>
  <c r="G38" i="3"/>
  <c r="G39" i="3"/>
  <c r="G41" i="3"/>
  <c r="G42" i="3"/>
  <c r="G44" i="3"/>
  <c r="G45" i="3"/>
  <c r="G46" i="3"/>
  <c r="G47" i="3"/>
  <c r="G48" i="3"/>
  <c r="G49" i="3"/>
  <c r="G50" i="3"/>
  <c r="G51" i="3"/>
  <c r="G52" i="3"/>
  <c r="G54" i="3"/>
  <c r="G55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F77" i="3"/>
  <c r="G77" i="3"/>
  <c r="F78" i="3"/>
  <c r="G78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G90" i="3"/>
  <c r="H90" i="3"/>
  <c r="F91" i="3"/>
  <c r="G91" i="3"/>
  <c r="H91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3" i="3"/>
  <c r="G123" i="3"/>
  <c r="F124" i="3"/>
  <c r="G124" i="3"/>
  <c r="D126" i="3"/>
  <c r="E126" i="3"/>
  <c r="F126" i="3"/>
  <c r="G126" i="3"/>
  <c r="H126" i="3"/>
  <c r="D127" i="3"/>
  <c r="E127" i="3"/>
  <c r="F127" i="3"/>
  <c r="G127" i="3"/>
  <c r="H127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3" i="3"/>
  <c r="E163" i="3"/>
  <c r="F163" i="3"/>
  <c r="G163" i="3"/>
  <c r="H163" i="3"/>
  <c r="D164" i="3"/>
  <c r="E164" i="3"/>
  <c r="F164" i="3"/>
  <c r="G164" i="3"/>
  <c r="H164" i="3"/>
  <c r="D165" i="3"/>
  <c r="E165" i="3"/>
  <c r="F165" i="3"/>
  <c r="G165" i="3"/>
  <c r="H165" i="3"/>
  <c r="D167" i="3"/>
  <c r="E167" i="3"/>
  <c r="F167" i="3"/>
  <c r="G167" i="3"/>
  <c r="H167" i="3"/>
  <c r="D168" i="3"/>
  <c r="E168" i="3"/>
  <c r="F168" i="3"/>
  <c r="G168" i="3"/>
  <c r="H168" i="3"/>
  <c r="D169" i="3"/>
  <c r="E169" i="3"/>
  <c r="F169" i="3"/>
  <c r="G169" i="3"/>
  <c r="H169" i="3"/>
  <c r="D170" i="3"/>
  <c r="E170" i="3"/>
  <c r="F170" i="3"/>
  <c r="G170" i="3"/>
  <c r="H170" i="3"/>
  <c r="D171" i="3"/>
  <c r="E171" i="3"/>
  <c r="F171" i="3"/>
  <c r="G171" i="3"/>
  <c r="H171" i="3"/>
  <c r="D172" i="3"/>
  <c r="E172" i="3"/>
  <c r="F172" i="3"/>
  <c r="G172" i="3"/>
  <c r="H172" i="3"/>
  <c r="D174" i="3"/>
  <c r="E174" i="3"/>
  <c r="F174" i="3"/>
  <c r="G174" i="3"/>
  <c r="H174" i="3"/>
  <c r="E176" i="3"/>
  <c r="F176" i="3"/>
  <c r="G176" i="3"/>
  <c r="H176" i="3"/>
  <c r="D177" i="3"/>
  <c r="E177" i="3"/>
  <c r="F177" i="3"/>
  <c r="G177" i="3"/>
  <c r="H177" i="3"/>
  <c r="D178" i="3"/>
  <c r="E178" i="3"/>
  <c r="F178" i="3"/>
  <c r="G178" i="3"/>
  <c r="H178" i="3"/>
  <c r="G8" i="3"/>
  <c r="N8" i="3"/>
  <c r="T115" i="2" l="1"/>
  <c r="N124" i="3" s="1"/>
  <c r="T114" i="2"/>
  <c r="N123" i="3" s="1"/>
  <c r="T105" i="2"/>
  <c r="N114" i="3" s="1"/>
  <c r="T106" i="2"/>
  <c r="N115" i="3" s="1"/>
  <c r="T107" i="2"/>
  <c r="N116" i="3" s="1"/>
  <c r="T108" i="2"/>
  <c r="N117" i="3" s="1"/>
  <c r="T109" i="2"/>
  <c r="N118" i="3" s="1"/>
  <c r="T110" i="2"/>
  <c r="N119" i="3" s="1"/>
  <c r="T111" i="2"/>
  <c r="N120" i="3" s="1"/>
  <c r="T112" i="2"/>
  <c r="N121" i="3" s="1"/>
  <c r="T104" i="2"/>
  <c r="N113" i="3" s="1"/>
  <c r="T89" i="2"/>
  <c r="N94" i="3" s="1"/>
  <c r="T90" i="2"/>
  <c r="N95" i="3" s="1"/>
  <c r="T91" i="2"/>
  <c r="N96" i="3" s="1"/>
  <c r="T92" i="2"/>
  <c r="N97" i="3" s="1"/>
  <c r="T93" i="2"/>
  <c r="N98" i="3" s="1"/>
  <c r="T94" i="2"/>
  <c r="N99" i="3" s="1"/>
  <c r="T95" i="2"/>
  <c r="N100" i="3" s="1"/>
  <c r="T96" i="2"/>
  <c r="N101" i="3" s="1"/>
  <c r="T97" i="2"/>
  <c r="N102" i="3" s="1"/>
  <c r="T98" i="2"/>
  <c r="N103" i="3" s="1"/>
  <c r="T99" i="2"/>
  <c r="N104" i="3" s="1"/>
  <c r="T100" i="2"/>
  <c r="N105" i="3" s="1"/>
  <c r="T101" i="2"/>
  <c r="N106" i="3" s="1"/>
  <c r="T102" i="2"/>
  <c r="N107" i="3" s="1"/>
  <c r="T88" i="2"/>
  <c r="N93" i="3" s="1"/>
  <c r="T54" i="2"/>
  <c r="N55" i="3" s="1"/>
  <c r="T53" i="2"/>
  <c r="N54" i="3" s="1"/>
  <c r="A118" i="2"/>
  <c r="A119" i="2"/>
  <c r="R43" i="2"/>
  <c r="A117" i="2"/>
  <c r="A58" i="2"/>
  <c r="F58" i="2" s="1"/>
  <c r="A62" i="2"/>
  <c r="F62" i="2" s="1"/>
  <c r="A66" i="2"/>
  <c r="F66" i="2" s="1"/>
  <c r="A74" i="2"/>
  <c r="A78" i="2"/>
  <c r="A82" i="2"/>
  <c r="A86" i="2"/>
  <c r="A106" i="2"/>
  <c r="A110" i="2"/>
  <c r="A13" i="2"/>
  <c r="F13" i="2" s="1"/>
  <c r="I13" i="2" s="1"/>
  <c r="A17" i="2"/>
  <c r="A21" i="2"/>
  <c r="A25" i="2"/>
  <c r="A26" i="2"/>
  <c r="A39" i="2"/>
  <c r="A42" i="2"/>
  <c r="A46" i="2"/>
  <c r="F46" i="2" s="1"/>
  <c r="A48" i="2"/>
  <c r="F48" i="2" s="1"/>
  <c r="H48" i="2" s="1"/>
  <c r="A50" i="2"/>
  <c r="F50" i="2" s="1"/>
  <c r="A52" i="2"/>
  <c r="A54" i="2"/>
  <c r="F54" i="2" s="1"/>
  <c r="A55" i="2"/>
  <c r="A59" i="2"/>
  <c r="F59" i="2" s="1"/>
  <c r="A63" i="2"/>
  <c r="F63" i="2" s="1"/>
  <c r="A67" i="2"/>
  <c r="F67" i="2" s="1"/>
  <c r="A71" i="2"/>
  <c r="A75" i="2"/>
  <c r="A76" i="2"/>
  <c r="A77" i="2"/>
  <c r="A80" i="2"/>
  <c r="A81" i="2"/>
  <c r="A84" i="2"/>
  <c r="A85" i="2"/>
  <c r="A87" i="2"/>
  <c r="A89" i="2"/>
  <c r="A99" i="2"/>
  <c r="A103" i="2"/>
  <c r="A104" i="2"/>
  <c r="A105" i="2"/>
  <c r="A107" i="2"/>
  <c r="A109" i="2"/>
  <c r="A113" i="2"/>
  <c r="A115" i="2"/>
  <c r="A116" i="2"/>
  <c r="A11" i="2"/>
  <c r="F11" i="2" s="1"/>
  <c r="F17" i="2"/>
  <c r="I17" i="2" s="1"/>
  <c r="S29" i="2"/>
  <c r="H119" i="2"/>
  <c r="G119" i="2" s="1"/>
  <c r="F119" i="2"/>
  <c r="F118" i="2"/>
  <c r="H118" i="2" s="1"/>
  <c r="G118" i="2" s="1"/>
  <c r="F117" i="2"/>
  <c r="F73" i="2"/>
  <c r="H73" i="2" s="1"/>
  <c r="I73" i="2"/>
  <c r="B2" i="2"/>
  <c r="Y3" i="2"/>
  <c r="Z3" i="2"/>
  <c r="AA3" i="2"/>
  <c r="AB3" i="2"/>
  <c r="AC3" i="2"/>
  <c r="Y4" i="2"/>
  <c r="Z4" i="2"/>
  <c r="AA4" i="2"/>
  <c r="AB4" i="2"/>
  <c r="AC4" i="2"/>
  <c r="Y5" i="2"/>
  <c r="Z5" i="2"/>
  <c r="AA5" i="2"/>
  <c r="AB5" i="2"/>
  <c r="AC5" i="2"/>
  <c r="Y6" i="2"/>
  <c r="Z6" i="2"/>
  <c r="AA6" i="2"/>
  <c r="AB6" i="2"/>
  <c r="AC6" i="2"/>
  <c r="Y7" i="2"/>
  <c r="Z7" i="2"/>
  <c r="AA7" i="2"/>
  <c r="AB7" i="2"/>
  <c r="AC7" i="2"/>
  <c r="Y8" i="2"/>
  <c r="Z8" i="2"/>
  <c r="AA8" i="2"/>
  <c r="AB8" i="2"/>
  <c r="AC8" i="2"/>
  <c r="X4" i="2"/>
  <c r="X5" i="2"/>
  <c r="X6" i="2"/>
  <c r="X7" i="2"/>
  <c r="X8" i="2"/>
  <c r="X3" i="2"/>
  <c r="Y26" i="2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F115" i="2"/>
  <c r="H115" i="2" s="1"/>
  <c r="F90" i="2"/>
  <c r="I105" i="2"/>
  <c r="J106" i="2"/>
  <c r="I109" i="2"/>
  <c r="J110" i="2"/>
  <c r="H88" i="2"/>
  <c r="G88" i="2" s="1"/>
  <c r="P3" i="2"/>
  <c r="Q3" i="2" s="1"/>
  <c r="P4" i="2"/>
  <c r="Q4" i="2" s="1"/>
  <c r="P5" i="2"/>
  <c r="Q5" i="2" s="1"/>
  <c r="P6" i="2"/>
  <c r="Q6" i="2" s="1"/>
  <c r="P2" i="2"/>
  <c r="Q2" i="2" s="1"/>
  <c r="O3" i="2"/>
  <c r="O4" i="2"/>
  <c r="O5" i="2"/>
  <c r="O6" i="2"/>
  <c r="O2" i="2"/>
  <c r="H90" i="2"/>
  <c r="J92" i="2"/>
  <c r="H94" i="2"/>
  <c r="J96" i="2"/>
  <c r="H98" i="2"/>
  <c r="J100" i="2"/>
  <c r="H102" i="2"/>
  <c r="J88" i="2"/>
  <c r="I77" i="2"/>
  <c r="I79" i="2"/>
  <c r="I81" i="2"/>
  <c r="I83" i="2"/>
  <c r="Q27" i="2"/>
  <c r="Q28" i="2"/>
  <c r="Q30" i="2"/>
  <c r="Q31" i="2"/>
  <c r="Q32" i="2"/>
  <c r="Q33" i="2"/>
  <c r="Q34" i="2"/>
  <c r="Q35" i="2"/>
  <c r="Q36" i="2"/>
  <c r="Q37" i="2"/>
  <c r="Q38" i="2"/>
  <c r="Q40" i="2"/>
  <c r="Q41" i="2"/>
  <c r="Q43" i="2"/>
  <c r="Q44" i="2"/>
  <c r="Q45" i="2"/>
  <c r="Q46" i="2"/>
  <c r="Q47" i="2"/>
  <c r="Q48" i="2"/>
  <c r="Q49" i="2"/>
  <c r="Q50" i="2"/>
  <c r="Q51" i="2"/>
  <c r="Q53" i="2"/>
  <c r="Q54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2" i="2"/>
  <c r="Q73" i="2"/>
  <c r="Q75" i="2"/>
  <c r="Q76" i="2"/>
  <c r="Q77" i="2"/>
  <c r="Q78" i="2"/>
  <c r="Q79" i="2"/>
  <c r="Q80" i="2"/>
  <c r="Q81" i="2"/>
  <c r="Q82" i="2"/>
  <c r="Q83" i="2"/>
  <c r="Q85" i="2"/>
  <c r="Q86" i="2"/>
  <c r="N86" i="2" s="1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4" i="2"/>
  <c r="Q105" i="2"/>
  <c r="Q106" i="2"/>
  <c r="Q107" i="2"/>
  <c r="Q108" i="2"/>
  <c r="Q109" i="2"/>
  <c r="Q110" i="2"/>
  <c r="Q111" i="2"/>
  <c r="Q112" i="2"/>
  <c r="Q114" i="2"/>
  <c r="Q115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1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7" i="2"/>
  <c r="R28" i="2"/>
  <c r="R30" i="2"/>
  <c r="R31" i="2"/>
  <c r="R32" i="2"/>
  <c r="R33" i="2"/>
  <c r="R34" i="2"/>
  <c r="R35" i="2"/>
  <c r="R36" i="2"/>
  <c r="R37" i="2"/>
  <c r="R38" i="2"/>
  <c r="R40" i="2"/>
  <c r="R41" i="2"/>
  <c r="R44" i="2"/>
  <c r="R45" i="2"/>
  <c r="R46" i="2"/>
  <c r="R47" i="2"/>
  <c r="R48" i="2"/>
  <c r="R49" i="2"/>
  <c r="R50" i="2"/>
  <c r="R51" i="2"/>
  <c r="R53" i="2"/>
  <c r="R54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2" i="2"/>
  <c r="R73" i="2"/>
  <c r="R75" i="2"/>
  <c r="R76" i="2"/>
  <c r="R77" i="2"/>
  <c r="R78" i="2"/>
  <c r="R79" i="2"/>
  <c r="R80" i="2"/>
  <c r="R81" i="2"/>
  <c r="R82" i="2"/>
  <c r="R83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4" i="2"/>
  <c r="R105" i="2"/>
  <c r="R106" i="2"/>
  <c r="R107" i="2"/>
  <c r="R108" i="2"/>
  <c r="R109" i="2"/>
  <c r="R110" i="2"/>
  <c r="R111" i="2"/>
  <c r="R112" i="2"/>
  <c r="R114" i="2"/>
  <c r="R115" i="2"/>
  <c r="G5" i="2"/>
  <c r="J90" i="2" s="1"/>
  <c r="G4" i="2"/>
  <c r="I90" i="2" s="1"/>
  <c r="G3" i="2"/>
  <c r="I119" i="2" s="1"/>
  <c r="F72" i="2"/>
  <c r="I72" i="2" s="1"/>
  <c r="J73" i="2"/>
  <c r="F75" i="2"/>
  <c r="J75" i="2" s="1"/>
  <c r="F76" i="2"/>
  <c r="H76" i="2" s="1"/>
  <c r="F77" i="2"/>
  <c r="H77" i="2" s="1"/>
  <c r="F78" i="2"/>
  <c r="H78" i="2" s="1"/>
  <c r="F79" i="2"/>
  <c r="J79" i="2" s="1"/>
  <c r="F80" i="2"/>
  <c r="H80" i="2" s="1"/>
  <c r="F81" i="2"/>
  <c r="H81" i="2" s="1"/>
  <c r="F82" i="2"/>
  <c r="H82" i="2" s="1"/>
  <c r="F83" i="2"/>
  <c r="J83" i="2" s="1"/>
  <c r="F85" i="2"/>
  <c r="I85" i="2" s="1"/>
  <c r="F86" i="2"/>
  <c r="H86" i="2" s="1"/>
  <c r="F88" i="2"/>
  <c r="I88" i="2" s="1"/>
  <c r="F89" i="2"/>
  <c r="H89" i="2" s="1"/>
  <c r="F91" i="2"/>
  <c r="H91" i="2" s="1"/>
  <c r="F92" i="2"/>
  <c r="H92" i="2" s="1"/>
  <c r="F93" i="2"/>
  <c r="H93" i="2" s="1"/>
  <c r="G93" i="2" s="1"/>
  <c r="F94" i="2"/>
  <c r="I94" i="2" s="1"/>
  <c r="F95" i="2"/>
  <c r="F96" i="2"/>
  <c r="H96" i="2" s="1"/>
  <c r="F97" i="2"/>
  <c r="H97" i="2" s="1"/>
  <c r="F98" i="2"/>
  <c r="F99" i="2"/>
  <c r="I99" i="2" s="1"/>
  <c r="F100" i="2"/>
  <c r="H100" i="2" s="1"/>
  <c r="F101" i="2"/>
  <c r="H101" i="2" s="1"/>
  <c r="F102" i="2"/>
  <c r="I102" i="2" s="1"/>
  <c r="F104" i="2"/>
  <c r="I104" i="2" s="1"/>
  <c r="F105" i="2"/>
  <c r="J105" i="2" s="1"/>
  <c r="F106" i="2"/>
  <c r="H106" i="2" s="1"/>
  <c r="G106" i="2" s="1"/>
  <c r="F107" i="2"/>
  <c r="H107" i="2" s="1"/>
  <c r="G107" i="2" s="1"/>
  <c r="F108" i="2"/>
  <c r="I108" i="2" s="1"/>
  <c r="F109" i="2"/>
  <c r="J109" i="2" s="1"/>
  <c r="F110" i="2"/>
  <c r="H110" i="2" s="1"/>
  <c r="G110" i="2" s="1"/>
  <c r="F111" i="2"/>
  <c r="H111" i="2" s="1"/>
  <c r="G111" i="2" s="1"/>
  <c r="F112" i="2"/>
  <c r="I112" i="2" s="1"/>
  <c r="F114" i="2"/>
  <c r="I114" i="2" s="1"/>
  <c r="L47" i="2" l="1"/>
  <c r="F48" i="3" s="1"/>
  <c r="L21" i="2"/>
  <c r="F18" i="3" s="1"/>
  <c r="L48" i="2"/>
  <c r="F49" i="3" s="1"/>
  <c r="L33" i="2"/>
  <c r="F34" i="3" s="1"/>
  <c r="L27" i="2"/>
  <c r="F28" i="3" s="1"/>
  <c r="L22" i="2"/>
  <c r="F19" i="3" s="1"/>
  <c r="L46" i="2"/>
  <c r="F47" i="3" s="1"/>
  <c r="L40" i="2"/>
  <c r="F41" i="3" s="1"/>
  <c r="L34" i="2"/>
  <c r="F35" i="3" s="1"/>
  <c r="L53" i="2"/>
  <c r="F54" i="3" s="1"/>
  <c r="L35" i="2"/>
  <c r="F36" i="3" s="1"/>
  <c r="L20" i="2"/>
  <c r="F17" i="3" s="1"/>
  <c r="L18" i="2"/>
  <c r="F15" i="3" s="1"/>
  <c r="L43" i="2"/>
  <c r="F44" i="3" s="1"/>
  <c r="L32" i="2"/>
  <c r="F33" i="3" s="1"/>
  <c r="L44" i="2"/>
  <c r="F45" i="3" s="1"/>
  <c r="L17" i="2"/>
  <c r="F14" i="3" s="1"/>
  <c r="L31" i="2"/>
  <c r="F32" i="3" s="1"/>
  <c r="L30" i="2"/>
  <c r="F31" i="3" s="1"/>
  <c r="L45" i="2"/>
  <c r="F46" i="3" s="1"/>
  <c r="L19" i="2"/>
  <c r="F16" i="3" s="1"/>
  <c r="A33" i="2"/>
  <c r="F33" i="2" s="1"/>
  <c r="H33" i="2" s="1"/>
  <c r="L11" i="2"/>
  <c r="F8" i="3" s="1"/>
  <c r="L12" i="2"/>
  <c r="F9" i="3" s="1"/>
  <c r="L13" i="2"/>
  <c r="F10" i="3" s="1"/>
  <c r="L16" i="2"/>
  <c r="F13" i="3" s="1"/>
  <c r="L15" i="2"/>
  <c r="F12" i="3" s="1"/>
  <c r="L14" i="2"/>
  <c r="F11" i="3" s="1"/>
  <c r="L25" i="2"/>
  <c r="F22" i="3" s="1"/>
  <c r="L51" i="2"/>
  <c r="F52" i="3" s="1"/>
  <c r="L36" i="2"/>
  <c r="F37" i="3" s="1"/>
  <c r="L28" i="2"/>
  <c r="F29" i="3" s="1"/>
  <c r="L41" i="2"/>
  <c r="F42" i="3" s="1"/>
  <c r="L37" i="2"/>
  <c r="F38" i="3" s="1"/>
  <c r="L54" i="2"/>
  <c r="F55" i="3" s="1"/>
  <c r="L49" i="2"/>
  <c r="F50" i="3" s="1"/>
  <c r="L38" i="2"/>
  <c r="F39" i="3" s="1"/>
  <c r="L50" i="2"/>
  <c r="F51" i="3" s="1"/>
  <c r="O118" i="2"/>
  <c r="N118" i="2" s="1"/>
  <c r="P118" i="2"/>
  <c r="H112" i="2"/>
  <c r="G112" i="2" s="1"/>
  <c r="J115" i="2"/>
  <c r="G98" i="2"/>
  <c r="H85" i="2"/>
  <c r="H83" i="2"/>
  <c r="H79" i="2"/>
  <c r="J101" i="2"/>
  <c r="I100" i="2"/>
  <c r="H99" i="2"/>
  <c r="J97" i="2"/>
  <c r="I96" i="2"/>
  <c r="H95" i="2"/>
  <c r="G95" i="2" s="1"/>
  <c r="J93" i="2"/>
  <c r="I92" i="2"/>
  <c r="J89" i="2"/>
  <c r="J111" i="2"/>
  <c r="I110" i="2"/>
  <c r="H109" i="2"/>
  <c r="G109" i="2" s="1"/>
  <c r="J107" i="2"/>
  <c r="I106" i="2"/>
  <c r="H105" i="2"/>
  <c r="G105" i="2" s="1"/>
  <c r="H114" i="2"/>
  <c r="I115" i="2"/>
  <c r="J118" i="2"/>
  <c r="A95" i="2"/>
  <c r="A79" i="2"/>
  <c r="A61" i="2"/>
  <c r="F61" i="2" s="1"/>
  <c r="I61" i="2" s="1"/>
  <c r="H54" i="2"/>
  <c r="J46" i="2"/>
  <c r="A40" i="2"/>
  <c r="F40" i="2" s="1"/>
  <c r="J40" i="2" s="1"/>
  <c r="A28" i="2"/>
  <c r="F28" i="2" s="1"/>
  <c r="J28" i="2" s="1"/>
  <c r="A24" i="2"/>
  <c r="A20" i="2"/>
  <c r="A16" i="2"/>
  <c r="F16" i="2" s="1"/>
  <c r="H16" i="2" s="1"/>
  <c r="G16" i="2" s="1"/>
  <c r="P16" i="2" s="1"/>
  <c r="E13" i="3" s="1"/>
  <c r="A12" i="2"/>
  <c r="F12" i="2" s="1"/>
  <c r="H12" i="2" s="1"/>
  <c r="G12" i="2" s="1"/>
  <c r="O12" i="2" s="1"/>
  <c r="D9" i="3" s="1"/>
  <c r="A68" i="2"/>
  <c r="F68" i="2" s="1"/>
  <c r="A64" i="2"/>
  <c r="F64" i="2" s="1"/>
  <c r="J64" i="2" s="1"/>
  <c r="A60" i="2"/>
  <c r="F60" i="2" s="1"/>
  <c r="A72" i="2"/>
  <c r="A51" i="2"/>
  <c r="F51" i="2" s="1"/>
  <c r="I51" i="2" s="1"/>
  <c r="A47" i="2"/>
  <c r="F47" i="2" s="1"/>
  <c r="J47" i="2" s="1"/>
  <c r="G91" i="2"/>
  <c r="I95" i="2"/>
  <c r="H108" i="2"/>
  <c r="G108" i="2" s="1"/>
  <c r="A29" i="2"/>
  <c r="A53" i="2"/>
  <c r="F53" i="2" s="1"/>
  <c r="H53" i="2" s="1"/>
  <c r="G53" i="2" s="1"/>
  <c r="A65" i="2"/>
  <c r="F65" i="2" s="1"/>
  <c r="I65" i="2" s="1"/>
  <c r="J76" i="2"/>
  <c r="H75" i="2"/>
  <c r="G75" i="2" s="1"/>
  <c r="I82" i="2"/>
  <c r="I80" i="2"/>
  <c r="I78" i="2"/>
  <c r="I76" i="2"/>
  <c r="J102" i="2"/>
  <c r="I101" i="2"/>
  <c r="J98" i="2"/>
  <c r="I97" i="2"/>
  <c r="J94" i="2"/>
  <c r="I93" i="2"/>
  <c r="I89" i="2"/>
  <c r="J112" i="2"/>
  <c r="I111" i="2"/>
  <c r="J108" i="2"/>
  <c r="I107" i="2"/>
  <c r="J104" i="2"/>
  <c r="J114" i="2"/>
  <c r="H72" i="2"/>
  <c r="J119" i="2"/>
  <c r="I118" i="2"/>
  <c r="K118" i="2" s="1"/>
  <c r="A91" i="2"/>
  <c r="A69" i="2"/>
  <c r="F69" i="2" s="1"/>
  <c r="I69" i="2" s="1"/>
  <c r="A44" i="2"/>
  <c r="F44" i="2" s="1"/>
  <c r="H44" i="2" s="1"/>
  <c r="A23" i="2"/>
  <c r="F23" i="2" s="1"/>
  <c r="J23" i="2" s="1"/>
  <c r="A19" i="2"/>
  <c r="F19" i="2" s="1"/>
  <c r="H19" i="2" s="1"/>
  <c r="G19" i="2" s="1"/>
  <c r="P19" i="2" s="1"/>
  <c r="E16" i="3" s="1"/>
  <c r="A15" i="2"/>
  <c r="F15" i="2" s="1"/>
  <c r="H15" i="2" s="1"/>
  <c r="G15" i="2" s="1"/>
  <c r="A41" i="2"/>
  <c r="F41" i="2" s="1"/>
  <c r="H41" i="2" s="1"/>
  <c r="A73" i="2"/>
  <c r="G99" i="2"/>
  <c r="I91" i="2"/>
  <c r="H104" i="2"/>
  <c r="G104" i="2" s="1"/>
  <c r="K119" i="2"/>
  <c r="A83" i="2"/>
  <c r="P119" i="2"/>
  <c r="I75" i="2"/>
  <c r="J99" i="2"/>
  <c r="I98" i="2"/>
  <c r="J95" i="2"/>
  <c r="J91" i="2"/>
  <c r="H117" i="2"/>
  <c r="G117" i="2" s="1"/>
  <c r="A108" i="2"/>
  <c r="A57" i="2"/>
  <c r="F57" i="2" s="1"/>
  <c r="I57" i="2" s="1"/>
  <c r="J50" i="2"/>
  <c r="A22" i="2"/>
  <c r="A18" i="2"/>
  <c r="F18" i="2" s="1"/>
  <c r="J18" i="2" s="1"/>
  <c r="A14" i="2"/>
  <c r="F14" i="2" s="1"/>
  <c r="J14" i="2" s="1"/>
  <c r="A56" i="2"/>
  <c r="F56" i="2" s="1"/>
  <c r="H56" i="2" s="1"/>
  <c r="G56" i="2" s="1"/>
  <c r="A70" i="2"/>
  <c r="F70" i="2" s="1"/>
  <c r="A49" i="2"/>
  <c r="F49" i="2" s="1"/>
  <c r="I49" i="2" s="1"/>
  <c r="A45" i="2"/>
  <c r="F45" i="2" s="1"/>
  <c r="I45" i="2" s="1"/>
  <c r="O119" i="2"/>
  <c r="A100" i="2"/>
  <c r="A102" i="2"/>
  <c r="A112" i="2"/>
  <c r="A111" i="2"/>
  <c r="A98" i="2"/>
  <c r="A94" i="2"/>
  <c r="A96" i="2"/>
  <c r="A92" i="2"/>
  <c r="A101" i="2"/>
  <c r="A90" i="2"/>
  <c r="A88" i="2"/>
  <c r="A97" i="2"/>
  <c r="A93" i="2"/>
  <c r="O117" i="2"/>
  <c r="P117" i="2"/>
  <c r="J117" i="2"/>
  <c r="I117" i="2"/>
  <c r="K117" i="2" s="1"/>
  <c r="H68" i="2"/>
  <c r="I68" i="2"/>
  <c r="I64" i="2"/>
  <c r="H60" i="2"/>
  <c r="G60" i="2" s="1"/>
  <c r="K60" i="2" s="1"/>
  <c r="H61" i="3" s="1"/>
  <c r="I60" i="2"/>
  <c r="N119" i="2"/>
  <c r="J69" i="2"/>
  <c r="H59" i="2"/>
  <c r="G59" i="2" s="1"/>
  <c r="I59" i="2"/>
  <c r="H70" i="2"/>
  <c r="I70" i="2"/>
  <c r="J70" i="2"/>
  <c r="I66" i="2"/>
  <c r="J66" i="2"/>
  <c r="H66" i="2"/>
  <c r="G66" i="2" s="1"/>
  <c r="K66" i="2" s="1"/>
  <c r="H67" i="3" s="1"/>
  <c r="I62" i="2"/>
  <c r="H62" i="2"/>
  <c r="J62" i="2"/>
  <c r="I58" i="2"/>
  <c r="J58" i="2"/>
  <c r="H58" i="2"/>
  <c r="H63" i="2"/>
  <c r="G63" i="2" s="1"/>
  <c r="K63" i="2" s="1"/>
  <c r="H64" i="3" s="1"/>
  <c r="I63" i="2"/>
  <c r="H57" i="2"/>
  <c r="H67" i="2"/>
  <c r="I67" i="2"/>
  <c r="J61" i="2"/>
  <c r="H65" i="2"/>
  <c r="G65" i="2" s="1"/>
  <c r="K65" i="2" s="1"/>
  <c r="H66" i="3" s="1"/>
  <c r="J68" i="2"/>
  <c r="J60" i="2"/>
  <c r="J67" i="2"/>
  <c r="J63" i="2"/>
  <c r="J59" i="2"/>
  <c r="I11" i="2"/>
  <c r="G114" i="2"/>
  <c r="O114" i="2" s="1"/>
  <c r="D123" i="3" s="1"/>
  <c r="J56" i="2"/>
  <c r="L24" i="2"/>
  <c r="F21" i="3" s="1"/>
  <c r="L23" i="2"/>
  <c r="F20" i="3" s="1"/>
  <c r="O16" i="2"/>
  <c r="D13" i="3" s="1"/>
  <c r="P93" i="2"/>
  <c r="E98" i="3" s="1"/>
  <c r="O93" i="2"/>
  <c r="D98" i="3" s="1"/>
  <c r="O98" i="2"/>
  <c r="D103" i="3" s="1"/>
  <c r="P98" i="2"/>
  <c r="E103" i="3" s="1"/>
  <c r="H11" i="2"/>
  <c r="G11" i="2" s="1"/>
  <c r="G101" i="2"/>
  <c r="K99" i="2"/>
  <c r="H104" i="3" s="1"/>
  <c r="G94" i="2"/>
  <c r="G92" i="2"/>
  <c r="J85" i="2"/>
  <c r="L85" i="2" s="1"/>
  <c r="F90" i="3" s="1"/>
  <c r="J77" i="2"/>
  <c r="I23" i="2"/>
  <c r="H18" i="2"/>
  <c r="G18" i="2" s="1"/>
  <c r="H51" i="2"/>
  <c r="H49" i="2"/>
  <c r="I47" i="2"/>
  <c r="J45" i="2"/>
  <c r="I53" i="2"/>
  <c r="J53" i="2"/>
  <c r="J11" i="2"/>
  <c r="F20" i="2" s="1"/>
  <c r="H20" i="2" s="1"/>
  <c r="G20" i="2" s="1"/>
  <c r="O20" i="2" s="1"/>
  <c r="D17" i="3" s="1"/>
  <c r="G102" i="2"/>
  <c r="G97" i="2"/>
  <c r="K93" i="2"/>
  <c r="H98" i="3" s="1"/>
  <c r="G90" i="2"/>
  <c r="J82" i="2"/>
  <c r="J80" i="2"/>
  <c r="J17" i="2"/>
  <c r="J15" i="2"/>
  <c r="F24" i="2" s="1"/>
  <c r="H24" i="2" s="1"/>
  <c r="G24" i="2" s="1"/>
  <c r="O24" i="2" s="1"/>
  <c r="D21" i="3" s="1"/>
  <c r="J33" i="2"/>
  <c r="I50" i="2"/>
  <c r="J48" i="2"/>
  <c r="H47" i="2"/>
  <c r="H45" i="2"/>
  <c r="G45" i="2" s="1"/>
  <c r="P45" i="2" s="1"/>
  <c r="E46" i="3" s="1"/>
  <c r="O99" i="2"/>
  <c r="D104" i="3" s="1"/>
  <c r="P99" i="2"/>
  <c r="E104" i="3" s="1"/>
  <c r="G100" i="2"/>
  <c r="K91" i="2"/>
  <c r="H96" i="3" s="1"/>
  <c r="J86" i="2"/>
  <c r="J78" i="2"/>
  <c r="H17" i="2"/>
  <c r="G17" i="2" s="1"/>
  <c r="P17" i="2" s="1"/>
  <c r="E14" i="3" s="1"/>
  <c r="I15" i="2"/>
  <c r="K15" i="2" s="1"/>
  <c r="H12" i="3" s="1"/>
  <c r="J13" i="2"/>
  <c r="F22" i="2" s="1"/>
  <c r="J22" i="2" s="1"/>
  <c r="I28" i="2"/>
  <c r="I33" i="2"/>
  <c r="J51" i="2"/>
  <c r="H50" i="2"/>
  <c r="I48" i="2"/>
  <c r="I46" i="2"/>
  <c r="J44" i="2"/>
  <c r="P91" i="2"/>
  <c r="E96" i="3" s="1"/>
  <c r="O91" i="2"/>
  <c r="D96" i="3" s="1"/>
  <c r="K98" i="2"/>
  <c r="H103" i="3" s="1"/>
  <c r="G115" i="2"/>
  <c r="G96" i="2"/>
  <c r="K96" i="2" s="1"/>
  <c r="H101" i="3" s="1"/>
  <c r="G89" i="2"/>
  <c r="K89" i="2" s="1"/>
  <c r="H94" i="3" s="1"/>
  <c r="I86" i="2"/>
  <c r="J81" i="2"/>
  <c r="I18" i="2"/>
  <c r="H13" i="2"/>
  <c r="H28" i="2"/>
  <c r="J49" i="2"/>
  <c r="H46" i="2"/>
  <c r="I44" i="2"/>
  <c r="O15" i="2"/>
  <c r="D12" i="3" s="1"/>
  <c r="P15" i="2"/>
  <c r="E12" i="3" s="1"/>
  <c r="G67" i="2"/>
  <c r="G57" i="2"/>
  <c r="G58" i="2"/>
  <c r="G76" i="2"/>
  <c r="G77" i="2"/>
  <c r="K106" i="2"/>
  <c r="H115" i="3" s="1"/>
  <c r="G44" i="2"/>
  <c r="O44" i="2" s="1"/>
  <c r="D45" i="3" s="1"/>
  <c r="G62" i="2"/>
  <c r="I54" i="2"/>
  <c r="J54" i="2"/>
  <c r="J72" i="2"/>
  <c r="J41" i="2"/>
  <c r="I41" i="2"/>
  <c r="H61" i="2" l="1"/>
  <c r="G61" i="2" s="1"/>
  <c r="K61" i="2" s="1"/>
  <c r="H62" i="3" s="1"/>
  <c r="H69" i="2"/>
  <c r="J65" i="2"/>
  <c r="J57" i="2"/>
  <c r="H64" i="2"/>
  <c r="G64" i="2" s="1"/>
  <c r="K64" i="2" s="1"/>
  <c r="H65" i="3" s="1"/>
  <c r="K58" i="2"/>
  <c r="H59" i="3" s="1"/>
  <c r="I56" i="2"/>
  <c r="K56" i="2" s="1"/>
  <c r="H57" i="3" s="1"/>
  <c r="H40" i="2"/>
  <c r="H23" i="2"/>
  <c r="G23" i="2" s="1"/>
  <c r="K23" i="2" s="1"/>
  <c r="H20" i="3" s="1"/>
  <c r="I14" i="2"/>
  <c r="K17" i="2"/>
  <c r="H14" i="3" s="1"/>
  <c r="O19" i="2"/>
  <c r="D16" i="3" s="1"/>
  <c r="I19" i="2"/>
  <c r="K19" i="2" s="1"/>
  <c r="H16" i="3" s="1"/>
  <c r="P12" i="2"/>
  <c r="E9" i="3" s="1"/>
  <c r="I12" i="2"/>
  <c r="K12" i="2" s="1"/>
  <c r="H9" i="3" s="1"/>
  <c r="J19" i="2"/>
  <c r="J12" i="2"/>
  <c r="F21" i="2" s="1"/>
  <c r="P95" i="2"/>
  <c r="E100" i="3" s="1"/>
  <c r="K95" i="2"/>
  <c r="H100" i="3" s="1"/>
  <c r="O95" i="2"/>
  <c r="D100" i="3" s="1"/>
  <c r="I40" i="2"/>
  <c r="O17" i="2"/>
  <c r="D14" i="3" s="1"/>
  <c r="J24" i="2"/>
  <c r="I16" i="2"/>
  <c r="K16" i="2" s="1"/>
  <c r="H13" i="3" s="1"/>
  <c r="A38" i="2"/>
  <c r="F38" i="2" s="1"/>
  <c r="A35" i="2"/>
  <c r="F35" i="2" s="1"/>
  <c r="A34" i="2"/>
  <c r="F34" i="2" s="1"/>
  <c r="A31" i="2"/>
  <c r="F31" i="2" s="1"/>
  <c r="A37" i="2"/>
  <c r="F37" i="2" s="1"/>
  <c r="A32" i="2"/>
  <c r="F32" i="2" s="1"/>
  <c r="A30" i="2"/>
  <c r="F30" i="2" s="1"/>
  <c r="K62" i="2"/>
  <c r="H63" i="3" s="1"/>
  <c r="K57" i="2"/>
  <c r="H58" i="3" s="1"/>
  <c r="K67" i="2"/>
  <c r="H68" i="3" s="1"/>
  <c r="J16" i="2"/>
  <c r="F25" i="2" s="1"/>
  <c r="I25" i="2" s="1"/>
  <c r="K18" i="2"/>
  <c r="H15" i="3" s="1"/>
  <c r="I24" i="2"/>
  <c r="K24" i="2" s="1"/>
  <c r="H21" i="3" s="1"/>
  <c r="H14" i="2"/>
  <c r="G14" i="2" s="1"/>
  <c r="O14" i="2" s="1"/>
  <c r="D11" i="3" s="1"/>
  <c r="A36" i="2"/>
  <c r="F36" i="2" s="1"/>
  <c r="N117" i="2"/>
  <c r="P24" i="2"/>
  <c r="E21" i="3" s="1"/>
  <c r="K59" i="2"/>
  <c r="H60" i="3" s="1"/>
  <c r="O45" i="2"/>
  <c r="D46" i="3" s="1"/>
  <c r="P44" i="2"/>
  <c r="E45" i="3" s="1"/>
  <c r="I20" i="2"/>
  <c r="K20" i="2" s="1"/>
  <c r="H17" i="3" s="1"/>
  <c r="J20" i="2"/>
  <c r="P20" i="2"/>
  <c r="E17" i="3" s="1"/>
  <c r="H22" i="2"/>
  <c r="G22" i="2" s="1"/>
  <c r="P22" i="2" s="1"/>
  <c r="E19" i="3" s="1"/>
  <c r="J21" i="2"/>
  <c r="J25" i="2"/>
  <c r="I22" i="2"/>
  <c r="G13" i="2"/>
  <c r="O13" i="2" s="1"/>
  <c r="D10" i="3" s="1"/>
  <c r="K114" i="2"/>
  <c r="H123" i="3" s="1"/>
  <c r="N15" i="2"/>
  <c r="P114" i="2"/>
  <c r="E123" i="3" s="1"/>
  <c r="N12" i="2"/>
  <c r="N17" i="2"/>
  <c r="K53" i="2"/>
  <c r="H54" i="3" s="1"/>
  <c r="N16" i="2"/>
  <c r="N95" i="2"/>
  <c r="P13" i="2"/>
  <c r="E10" i="3" s="1"/>
  <c r="K75" i="2"/>
  <c r="H80" i="3" s="1"/>
  <c r="N93" i="2"/>
  <c r="N99" i="2"/>
  <c r="K77" i="2"/>
  <c r="H82" i="3" s="1"/>
  <c r="K90" i="2"/>
  <c r="H95" i="3" s="1"/>
  <c r="K97" i="2"/>
  <c r="H102" i="3" s="1"/>
  <c r="N91" i="2"/>
  <c r="O63" i="2"/>
  <c r="D64" i="3" s="1"/>
  <c r="P63" i="2"/>
  <c r="E64" i="3" s="1"/>
  <c r="K45" i="2"/>
  <c r="H46" i="3" s="1"/>
  <c r="O104" i="2"/>
  <c r="D113" i="3" s="1"/>
  <c r="P104" i="2"/>
  <c r="E113" i="3" s="1"/>
  <c r="O57" i="2"/>
  <c r="D58" i="3" s="1"/>
  <c r="P57" i="2"/>
  <c r="E58" i="3" s="1"/>
  <c r="O105" i="2"/>
  <c r="D114" i="3" s="1"/>
  <c r="P105" i="2"/>
  <c r="E114" i="3" s="1"/>
  <c r="O62" i="2"/>
  <c r="D63" i="3" s="1"/>
  <c r="P62" i="2"/>
  <c r="E63" i="3" s="1"/>
  <c r="P77" i="2"/>
  <c r="E82" i="3" s="1"/>
  <c r="O77" i="2"/>
  <c r="D82" i="3" s="1"/>
  <c r="P75" i="2"/>
  <c r="E80" i="3" s="1"/>
  <c r="O75" i="2"/>
  <c r="D80" i="3" s="1"/>
  <c r="O56" i="2"/>
  <c r="D57" i="3" s="1"/>
  <c r="P56" i="2"/>
  <c r="E57" i="3" s="1"/>
  <c r="O65" i="2"/>
  <c r="D66" i="3" s="1"/>
  <c r="P65" i="2"/>
  <c r="E66" i="3" s="1"/>
  <c r="O67" i="2"/>
  <c r="D68" i="3" s="1"/>
  <c r="P67" i="2"/>
  <c r="E68" i="3" s="1"/>
  <c r="O64" i="2"/>
  <c r="D65" i="3" s="1"/>
  <c r="P64" i="2"/>
  <c r="E65" i="3" s="1"/>
  <c r="P100" i="2"/>
  <c r="E105" i="3" s="1"/>
  <c r="O100" i="2"/>
  <c r="D105" i="3" s="1"/>
  <c r="O94" i="2"/>
  <c r="D99" i="3" s="1"/>
  <c r="P94" i="2"/>
  <c r="E99" i="3" s="1"/>
  <c r="O101" i="2"/>
  <c r="D106" i="3" s="1"/>
  <c r="P101" i="2"/>
  <c r="E106" i="3" s="1"/>
  <c r="O66" i="2"/>
  <c r="D67" i="3" s="1"/>
  <c r="P66" i="2"/>
  <c r="E67" i="3" s="1"/>
  <c r="O60" i="2"/>
  <c r="D61" i="3" s="1"/>
  <c r="P60" i="2"/>
  <c r="E61" i="3" s="1"/>
  <c r="O89" i="2"/>
  <c r="D94" i="3" s="1"/>
  <c r="P89" i="2"/>
  <c r="E94" i="3" s="1"/>
  <c r="O115" i="2"/>
  <c r="D124" i="3" s="1"/>
  <c r="P115" i="2"/>
  <c r="E124" i="3" s="1"/>
  <c r="K105" i="2"/>
  <c r="H114" i="3" s="1"/>
  <c r="O53" i="2"/>
  <c r="D54" i="3" s="1"/>
  <c r="P53" i="2"/>
  <c r="E54" i="3" s="1"/>
  <c r="K102" i="2"/>
  <c r="H107" i="3" s="1"/>
  <c r="O11" i="2"/>
  <c r="D8" i="3" s="1"/>
  <c r="P11" i="2"/>
  <c r="E8" i="3" s="1"/>
  <c r="K100" i="2"/>
  <c r="H105" i="3" s="1"/>
  <c r="P59" i="2"/>
  <c r="E60" i="3" s="1"/>
  <c r="O59" i="2"/>
  <c r="D60" i="3" s="1"/>
  <c r="O88" i="2"/>
  <c r="D93" i="3" s="1"/>
  <c r="P88" i="2"/>
  <c r="E93" i="3" s="1"/>
  <c r="P102" i="2"/>
  <c r="E107" i="3" s="1"/>
  <c r="O102" i="2"/>
  <c r="D107" i="3" s="1"/>
  <c r="O18" i="2"/>
  <c r="D15" i="3" s="1"/>
  <c r="P18" i="2"/>
  <c r="E15" i="3" s="1"/>
  <c r="N98" i="2"/>
  <c r="K88" i="2"/>
  <c r="H93" i="3" s="1"/>
  <c r="K11" i="2"/>
  <c r="H8" i="3" s="1"/>
  <c r="K115" i="2"/>
  <c r="H124" i="3" s="1"/>
  <c r="O76" i="2"/>
  <c r="D81" i="3" s="1"/>
  <c r="P76" i="2"/>
  <c r="E81" i="3" s="1"/>
  <c r="O106" i="2"/>
  <c r="D115" i="3" s="1"/>
  <c r="P106" i="2"/>
  <c r="E115" i="3" s="1"/>
  <c r="O58" i="2"/>
  <c r="D59" i="3" s="1"/>
  <c r="P58" i="2"/>
  <c r="E59" i="3" s="1"/>
  <c r="P61" i="2"/>
  <c r="E62" i="3" s="1"/>
  <c r="O61" i="2"/>
  <c r="D62" i="3" s="1"/>
  <c r="K44" i="2"/>
  <c r="H45" i="3" s="1"/>
  <c r="O22" i="2"/>
  <c r="D19" i="3" s="1"/>
  <c r="O96" i="2"/>
  <c r="D101" i="3" s="1"/>
  <c r="P96" i="2"/>
  <c r="E101" i="3" s="1"/>
  <c r="O90" i="2"/>
  <c r="D95" i="3" s="1"/>
  <c r="P90" i="2"/>
  <c r="E95" i="3" s="1"/>
  <c r="O97" i="2"/>
  <c r="D102" i="3" s="1"/>
  <c r="P97" i="2"/>
  <c r="E102" i="3" s="1"/>
  <c r="N114" i="2"/>
  <c r="O92" i="2"/>
  <c r="D97" i="3" s="1"/>
  <c r="P92" i="2"/>
  <c r="E97" i="3" s="1"/>
  <c r="K76" i="2"/>
  <c r="H81" i="3" s="1"/>
  <c r="K92" i="2"/>
  <c r="H97" i="3" s="1"/>
  <c r="K101" i="2"/>
  <c r="H106" i="3" s="1"/>
  <c r="K94" i="2"/>
  <c r="H99" i="3" s="1"/>
  <c r="K104" i="2"/>
  <c r="H113" i="3" s="1"/>
  <c r="G85" i="2"/>
  <c r="G79" i="2"/>
  <c r="K79" i="2" s="1"/>
  <c r="H84" i="3" s="1"/>
  <c r="G40" i="2"/>
  <c r="G80" i="2"/>
  <c r="G46" i="2"/>
  <c r="G33" i="2"/>
  <c r="G47" i="2"/>
  <c r="G78" i="2"/>
  <c r="G48" i="2"/>
  <c r="G69" i="2"/>
  <c r="K69" i="2" s="1"/>
  <c r="H70" i="3" s="1"/>
  <c r="N19" i="2" l="1"/>
  <c r="H25" i="2"/>
  <c r="G25" i="2" s="1"/>
  <c r="K25" i="2" s="1"/>
  <c r="H22" i="3" s="1"/>
  <c r="O23" i="2"/>
  <c r="P23" i="2"/>
  <c r="E20" i="3" s="1"/>
  <c r="I21" i="2"/>
  <c r="H21" i="2"/>
  <c r="G21" i="2" s="1"/>
  <c r="N24" i="2"/>
  <c r="J32" i="2"/>
  <c r="H32" i="2"/>
  <c r="G32" i="2" s="1"/>
  <c r="AM29" i="2" s="1"/>
  <c r="I32" i="2"/>
  <c r="K32" i="2" s="1"/>
  <c r="H33" i="3" s="1"/>
  <c r="I31" i="2"/>
  <c r="H31" i="2"/>
  <c r="G31" i="2" s="1"/>
  <c r="J31" i="2"/>
  <c r="I35" i="2"/>
  <c r="H35" i="2"/>
  <c r="G35" i="2" s="1"/>
  <c r="J35" i="2"/>
  <c r="P14" i="2"/>
  <c r="E11" i="3" s="1"/>
  <c r="N20" i="2"/>
  <c r="J36" i="2"/>
  <c r="I36" i="2"/>
  <c r="H36" i="2"/>
  <c r="K14" i="2"/>
  <c r="H11" i="3" s="1"/>
  <c r="J30" i="2"/>
  <c r="H30" i="2"/>
  <c r="G30" i="2" s="1"/>
  <c r="I30" i="2"/>
  <c r="H37" i="2"/>
  <c r="I37" i="2"/>
  <c r="J37" i="2"/>
  <c r="H34" i="2"/>
  <c r="G34" i="2" s="1"/>
  <c r="I34" i="2"/>
  <c r="K34" i="2" s="1"/>
  <c r="J34" i="2"/>
  <c r="H38" i="2"/>
  <c r="I38" i="2"/>
  <c r="J38" i="2"/>
  <c r="P47" i="2"/>
  <c r="E48" i="3" s="1"/>
  <c r="O47" i="2"/>
  <c r="D48" i="3" s="1"/>
  <c r="O48" i="2"/>
  <c r="D49" i="3" s="1"/>
  <c r="P48" i="2"/>
  <c r="E49" i="3" s="1"/>
  <c r="N45" i="2"/>
  <c r="N44" i="2"/>
  <c r="P46" i="2"/>
  <c r="E47" i="3" s="1"/>
  <c r="O46" i="2"/>
  <c r="D47" i="3" s="1"/>
  <c r="AF29" i="2"/>
  <c r="K33" i="2"/>
  <c r="H34" i="3" s="1"/>
  <c r="AK29" i="2"/>
  <c r="K22" i="2"/>
  <c r="H19" i="3" s="1"/>
  <c r="K13" i="2"/>
  <c r="H10" i="3" s="1"/>
  <c r="O25" i="2"/>
  <c r="D22" i="3" s="1"/>
  <c r="P25" i="2"/>
  <c r="E22" i="3" s="1"/>
  <c r="N13" i="2"/>
  <c r="K40" i="2"/>
  <c r="H41" i="3" s="1"/>
  <c r="O40" i="2"/>
  <c r="D41" i="3" s="1"/>
  <c r="N18" i="2"/>
  <c r="N22" i="2"/>
  <c r="N11" i="2"/>
  <c r="N115" i="2"/>
  <c r="N75" i="2"/>
  <c r="N56" i="2"/>
  <c r="N92" i="2"/>
  <c r="N59" i="2"/>
  <c r="N97" i="2"/>
  <c r="N58" i="2"/>
  <c r="N53" i="2"/>
  <c r="N60" i="2"/>
  <c r="N101" i="2"/>
  <c r="N57" i="2"/>
  <c r="N63" i="2"/>
  <c r="N106" i="2"/>
  <c r="N89" i="2"/>
  <c r="O69" i="2"/>
  <c r="D70" i="3" s="1"/>
  <c r="P69" i="2"/>
  <c r="E70" i="3" s="1"/>
  <c r="P107" i="2"/>
  <c r="E116" i="3" s="1"/>
  <c r="O107" i="2"/>
  <c r="D116" i="3" s="1"/>
  <c r="O35" i="2"/>
  <c r="D36" i="3" s="1"/>
  <c r="P35" i="2"/>
  <c r="E36" i="3" s="1"/>
  <c r="K35" i="2"/>
  <c r="H36" i="3" s="1"/>
  <c r="N96" i="2"/>
  <c r="K47" i="2"/>
  <c r="H48" i="3" s="1"/>
  <c r="N88" i="2"/>
  <c r="N67" i="2"/>
  <c r="O34" i="2"/>
  <c r="D35" i="3" s="1"/>
  <c r="P34" i="2"/>
  <c r="E35" i="3" s="1"/>
  <c r="O33" i="2"/>
  <c r="D34" i="3" s="1"/>
  <c r="P33" i="2"/>
  <c r="E34" i="3" s="1"/>
  <c r="O80" i="2"/>
  <c r="D85" i="3" s="1"/>
  <c r="P80" i="2"/>
  <c r="E85" i="3" s="1"/>
  <c r="K80" i="2"/>
  <c r="H85" i="3" s="1"/>
  <c r="O79" i="2"/>
  <c r="D84" i="3" s="1"/>
  <c r="P79" i="2"/>
  <c r="E84" i="3" s="1"/>
  <c r="N102" i="2"/>
  <c r="N66" i="2"/>
  <c r="K107" i="2"/>
  <c r="H116" i="3" s="1"/>
  <c r="N94" i="2"/>
  <c r="N64" i="2"/>
  <c r="N62" i="2"/>
  <c r="N104" i="2"/>
  <c r="O78" i="2"/>
  <c r="D83" i="3" s="1"/>
  <c r="P78" i="2"/>
  <c r="E83" i="3" s="1"/>
  <c r="K78" i="2"/>
  <c r="H83" i="3" s="1"/>
  <c r="P109" i="2"/>
  <c r="E118" i="3" s="1"/>
  <c r="O109" i="2"/>
  <c r="D118" i="3" s="1"/>
  <c r="O108" i="2"/>
  <c r="D117" i="3" s="1"/>
  <c r="P108" i="2"/>
  <c r="E117" i="3" s="1"/>
  <c r="K108" i="2"/>
  <c r="H117" i="3" s="1"/>
  <c r="K48" i="2"/>
  <c r="H49" i="3" s="1"/>
  <c r="N61" i="2"/>
  <c r="K109" i="2"/>
  <c r="H118" i="3" s="1"/>
  <c r="N100" i="2"/>
  <c r="N77" i="2"/>
  <c r="K46" i="2"/>
  <c r="H47" i="3" s="1"/>
  <c r="P40" i="2"/>
  <c r="E41" i="3" s="1"/>
  <c r="N90" i="2"/>
  <c r="N76" i="2"/>
  <c r="N65" i="2"/>
  <c r="N105" i="2"/>
  <c r="P111" i="2"/>
  <c r="E120" i="3" s="1"/>
  <c r="G83" i="2"/>
  <c r="G28" i="2"/>
  <c r="G49" i="2"/>
  <c r="G36" i="2"/>
  <c r="G50" i="2"/>
  <c r="G81" i="2"/>
  <c r="G73" i="2"/>
  <c r="K73" i="2" s="1"/>
  <c r="H78" i="3" s="1"/>
  <c r="G37" i="2"/>
  <c r="G41" i="2"/>
  <c r="G51" i="2"/>
  <c r="G86" i="2"/>
  <c r="G82" i="2"/>
  <c r="G38" i="2"/>
  <c r="G54" i="2"/>
  <c r="K54" i="2" s="1"/>
  <c r="H55" i="3" s="1"/>
  <c r="G70" i="2"/>
  <c r="K70" i="2" s="1"/>
  <c r="H71" i="3" s="1"/>
  <c r="G68" i="2"/>
  <c r="K68" i="2" s="1"/>
  <c r="H69" i="3" s="1"/>
  <c r="AN29" i="2" l="1"/>
  <c r="D20" i="3"/>
  <c r="N23" i="2"/>
  <c r="N14" i="2"/>
  <c r="K21" i="2"/>
  <c r="H18" i="3" s="1"/>
  <c r="O21" i="2"/>
  <c r="P21" i="2"/>
  <c r="E18" i="3" s="1"/>
  <c r="H35" i="3"/>
  <c r="AN31" i="2"/>
  <c r="AC31" i="2"/>
  <c r="AL29" i="2"/>
  <c r="AB29" i="2"/>
  <c r="AI29" i="2"/>
  <c r="AD29" i="2"/>
  <c r="AH29" i="2"/>
  <c r="K30" i="2"/>
  <c r="P32" i="2"/>
  <c r="E33" i="3" s="1"/>
  <c r="O32" i="2"/>
  <c r="AG29" i="2"/>
  <c r="Z29" i="2"/>
  <c r="Y29" i="2"/>
  <c r="AJ29" i="2"/>
  <c r="AC29" i="2"/>
  <c r="P30" i="2"/>
  <c r="E31" i="3" s="1"/>
  <c r="O30" i="2"/>
  <c r="O31" i="2"/>
  <c r="P31" i="2"/>
  <c r="E32" i="3" s="1"/>
  <c r="X29" i="2"/>
  <c r="AE29" i="2"/>
  <c r="AP29" i="2"/>
  <c r="AO29" i="2"/>
  <c r="AA29" i="2"/>
  <c r="K31" i="2"/>
  <c r="AK28" i="2" s="1"/>
  <c r="N25" i="2"/>
  <c r="AB30" i="2"/>
  <c r="Y31" i="2"/>
  <c r="AF31" i="2"/>
  <c r="AD30" i="2"/>
  <c r="AM31" i="2"/>
  <c r="AL31" i="2"/>
  <c r="AA30" i="2"/>
  <c r="AK31" i="2"/>
  <c r="AI31" i="2"/>
  <c r="AH31" i="2"/>
  <c r="AO32" i="2"/>
  <c r="AP32" i="2"/>
  <c r="AI30" i="2"/>
  <c r="Z30" i="2"/>
  <c r="AK30" i="2"/>
  <c r="AN32" i="2"/>
  <c r="AC32" i="2"/>
  <c r="AN30" i="2"/>
  <c r="AP30" i="2"/>
  <c r="AM30" i="2"/>
  <c r="AG30" i="2"/>
  <c r="AJ32" i="2"/>
  <c r="AM32" i="2"/>
  <c r="AJ30" i="2"/>
  <c r="AH30" i="2"/>
  <c r="AE30" i="2"/>
  <c r="AC30" i="2"/>
  <c r="AD32" i="2"/>
  <c r="X32" i="2"/>
  <c r="AA32" i="2"/>
  <c r="N46" i="2"/>
  <c r="O51" i="2"/>
  <c r="D52" i="3" s="1"/>
  <c r="P51" i="2"/>
  <c r="E52" i="3" s="1"/>
  <c r="N48" i="2"/>
  <c r="N47" i="2"/>
  <c r="P49" i="2"/>
  <c r="E50" i="3" s="1"/>
  <c r="O49" i="2"/>
  <c r="D50" i="3" s="1"/>
  <c r="O50" i="2"/>
  <c r="D51" i="3" s="1"/>
  <c r="P50" i="2"/>
  <c r="E51" i="3" s="1"/>
  <c r="AF30" i="2"/>
  <c r="AL30" i="2"/>
  <c r="X30" i="2"/>
  <c r="AO30" i="2"/>
  <c r="Y30" i="2"/>
  <c r="AH32" i="2"/>
  <c r="AG32" i="2"/>
  <c r="AF32" i="2"/>
  <c r="Z32" i="2"/>
  <c r="AI32" i="2"/>
  <c r="AO31" i="2"/>
  <c r="AJ31" i="2"/>
  <c r="AE31" i="2"/>
  <c r="AB31" i="2"/>
  <c r="AD31" i="2"/>
  <c r="AL32" i="2"/>
  <c r="Y32" i="2"/>
  <c r="AB32" i="2"/>
  <c r="AK32" i="2"/>
  <c r="AE32" i="2"/>
  <c r="AG31" i="2"/>
  <c r="X31" i="2"/>
  <c r="AA31" i="2"/>
  <c r="AP31" i="2"/>
  <c r="Z31" i="2"/>
  <c r="N35" i="2"/>
  <c r="N34" i="2"/>
  <c r="N33" i="2"/>
  <c r="K28" i="2"/>
  <c r="H29" i="3" s="1"/>
  <c r="N40" i="2"/>
  <c r="N107" i="2"/>
  <c r="N79" i="2"/>
  <c r="O82" i="2"/>
  <c r="D87" i="3" s="1"/>
  <c r="P82" i="2"/>
  <c r="E87" i="3" s="1"/>
  <c r="K82" i="2"/>
  <c r="H87" i="3" s="1"/>
  <c r="O28" i="2"/>
  <c r="D29" i="3" s="1"/>
  <c r="P28" i="2"/>
  <c r="E29" i="3" s="1"/>
  <c r="O41" i="2"/>
  <c r="D42" i="3" s="1"/>
  <c r="P41" i="2"/>
  <c r="E42" i="3" s="1"/>
  <c r="K41" i="2"/>
  <c r="H42" i="3" s="1"/>
  <c r="O37" i="2"/>
  <c r="D38" i="3" s="1"/>
  <c r="P37" i="2"/>
  <c r="E38" i="3" s="1"/>
  <c r="K37" i="2"/>
  <c r="H38" i="3" s="1"/>
  <c r="O83" i="2"/>
  <c r="D88" i="3" s="1"/>
  <c r="P83" i="2"/>
  <c r="E88" i="3" s="1"/>
  <c r="K83" i="2"/>
  <c r="H88" i="3" s="1"/>
  <c r="P70" i="2"/>
  <c r="E71" i="3" s="1"/>
  <c r="O70" i="2"/>
  <c r="D71" i="3" s="1"/>
  <c r="P54" i="2"/>
  <c r="E55" i="3" s="1"/>
  <c r="O54" i="2"/>
  <c r="D55" i="3" s="1"/>
  <c r="O110" i="2"/>
  <c r="D119" i="3" s="1"/>
  <c r="P110" i="2"/>
  <c r="E119" i="3" s="1"/>
  <c r="K110" i="2"/>
  <c r="H119" i="3" s="1"/>
  <c r="O73" i="2"/>
  <c r="D78" i="3" s="1"/>
  <c r="P73" i="2"/>
  <c r="E78" i="3" s="1"/>
  <c r="O112" i="2"/>
  <c r="D121" i="3" s="1"/>
  <c r="P112" i="2"/>
  <c r="E121" i="3" s="1"/>
  <c r="K112" i="2"/>
  <c r="H121" i="3" s="1"/>
  <c r="O111" i="2"/>
  <c r="D120" i="3" s="1"/>
  <c r="K111" i="2"/>
  <c r="H120" i="3" s="1"/>
  <c r="N69" i="2"/>
  <c r="P68" i="2"/>
  <c r="E69" i="3" s="1"/>
  <c r="O68" i="2"/>
  <c r="D69" i="3" s="1"/>
  <c r="K50" i="2"/>
  <c r="H51" i="3" s="1"/>
  <c r="P36" i="2"/>
  <c r="E37" i="3" s="1"/>
  <c r="O36" i="2"/>
  <c r="D37" i="3" s="1"/>
  <c r="K36" i="2"/>
  <c r="H37" i="3" s="1"/>
  <c r="N108" i="2"/>
  <c r="N78" i="2"/>
  <c r="P38" i="2"/>
  <c r="E39" i="3" s="1"/>
  <c r="O38" i="2"/>
  <c r="D39" i="3" s="1"/>
  <c r="K38" i="2"/>
  <c r="H39" i="3" s="1"/>
  <c r="K51" i="2"/>
  <c r="H52" i="3" s="1"/>
  <c r="O81" i="2"/>
  <c r="D86" i="3" s="1"/>
  <c r="P81" i="2"/>
  <c r="E86" i="3" s="1"/>
  <c r="K81" i="2"/>
  <c r="H86" i="3" s="1"/>
  <c r="K49" i="2"/>
  <c r="H50" i="3" s="1"/>
  <c r="N85" i="2"/>
  <c r="N109" i="2"/>
  <c r="N80" i="2"/>
  <c r="AH28" i="2" l="1"/>
  <c r="AJ28" i="2"/>
  <c r="D18" i="3"/>
  <c r="N21" i="2"/>
  <c r="H32" i="3"/>
  <c r="AP28" i="2"/>
  <c r="AE28" i="2"/>
  <c r="AN28" i="2"/>
  <c r="Z28" i="2"/>
  <c r="AO28" i="2"/>
  <c r="X28" i="2"/>
  <c r="AD28" i="2"/>
  <c r="AM28" i="2"/>
  <c r="AI28" i="2"/>
  <c r="AB28" i="2"/>
  <c r="Y28" i="2"/>
  <c r="AC28" i="2"/>
  <c r="AL28" i="2"/>
  <c r="AA28" i="2"/>
  <c r="H31" i="3"/>
  <c r="AN27" i="2"/>
  <c r="AJ27" i="2"/>
  <c r="AI27" i="2"/>
  <c r="Y27" i="2"/>
  <c r="Z27" i="2"/>
  <c r="AL27" i="2"/>
  <c r="AO27" i="2"/>
  <c r="AH27" i="2"/>
  <c r="AP27" i="2"/>
  <c r="X27" i="2"/>
  <c r="AM27" i="2"/>
  <c r="AC27" i="2"/>
  <c r="AB27" i="2"/>
  <c r="AF27" i="2"/>
  <c r="AA27" i="2"/>
  <c r="AK27" i="2"/>
  <c r="AG27" i="2"/>
  <c r="AD27" i="2"/>
  <c r="AE27" i="2"/>
  <c r="D31" i="3"/>
  <c r="N30" i="2"/>
  <c r="AG28" i="2"/>
  <c r="D32" i="3"/>
  <c r="N31" i="2"/>
  <c r="D33" i="3"/>
  <c r="N32" i="2"/>
  <c r="AF28" i="2"/>
  <c r="X34" i="2"/>
  <c r="AC34" i="2"/>
  <c r="AJ35" i="2"/>
  <c r="AE34" i="2"/>
  <c r="AE35" i="2"/>
  <c r="AD34" i="2"/>
  <c r="Y35" i="2"/>
  <c r="AA34" i="2"/>
  <c r="AL35" i="2"/>
  <c r="N50" i="2"/>
  <c r="N51" i="2"/>
  <c r="N49" i="2"/>
  <c r="AK33" i="2"/>
  <c r="AM33" i="2"/>
  <c r="AD33" i="2"/>
  <c r="AG33" i="2"/>
  <c r="AH33" i="2"/>
  <c r="AB33" i="2"/>
  <c r="AN34" i="2"/>
  <c r="AP34" i="2"/>
  <c r="Z34" i="2"/>
  <c r="AO34" i="2"/>
  <c r="Y34" i="2"/>
  <c r="AC35" i="2"/>
  <c r="AB35" i="2"/>
  <c r="AA35" i="2"/>
  <c r="AF35" i="2"/>
  <c r="AH35" i="2"/>
  <c r="AL33" i="2"/>
  <c r="AI33" i="2"/>
  <c r="AF33" i="2"/>
  <c r="AA33" i="2"/>
  <c r="Z33" i="2"/>
  <c r="AC33" i="2"/>
  <c r="AN33" i="2"/>
  <c r="X33" i="2"/>
  <c r="AB34" i="2"/>
  <c r="AL34" i="2"/>
  <c r="AF34" i="2"/>
  <c r="AK34" i="2"/>
  <c r="AK35" i="2"/>
  <c r="AM35" i="2"/>
  <c r="AO35" i="2"/>
  <c r="X35" i="2"/>
  <c r="AD35" i="2"/>
  <c r="AE33" i="2"/>
  <c r="AP33" i="2"/>
  <c r="AO33" i="2"/>
  <c r="Y33" i="2"/>
  <c r="AJ33" i="2"/>
  <c r="AJ34" i="2"/>
  <c r="AM34" i="2"/>
  <c r="AH34" i="2"/>
  <c r="AI34" i="2"/>
  <c r="AG34" i="2"/>
  <c r="AN35" i="2"/>
  <c r="AI35" i="2"/>
  <c r="AG35" i="2"/>
  <c r="AP35" i="2"/>
  <c r="Z35" i="2"/>
  <c r="AI37" i="2"/>
  <c r="AE37" i="2"/>
  <c r="AP37" i="2"/>
  <c r="AO37" i="2"/>
  <c r="AJ37" i="2"/>
  <c r="AL37" i="2"/>
  <c r="AG37" i="2"/>
  <c r="AB37" i="2"/>
  <c r="AD37" i="2"/>
  <c r="X37" i="2"/>
  <c r="Z37" i="2"/>
  <c r="N28" i="2"/>
  <c r="AC37" i="2"/>
  <c r="AN37" i="2"/>
  <c r="AA37" i="2"/>
  <c r="N37" i="2"/>
  <c r="N111" i="2"/>
  <c r="N36" i="2"/>
  <c r="N38" i="2"/>
  <c r="N41" i="2"/>
  <c r="AH37" i="2"/>
  <c r="AK37" i="2"/>
  <c r="AM37" i="2"/>
  <c r="AF37" i="2"/>
  <c r="Y37" i="2"/>
  <c r="N70" i="2"/>
  <c r="N82" i="2"/>
  <c r="N81" i="2"/>
  <c r="N110" i="2"/>
  <c r="N73" i="2"/>
  <c r="N68" i="2"/>
  <c r="N112" i="2"/>
  <c r="N54" i="2"/>
  <c r="N83" i="2"/>
  <c r="G72" i="2"/>
  <c r="O72" i="2" s="1"/>
  <c r="D77" i="3" s="1"/>
  <c r="P72" i="2" l="1"/>
  <c r="E77" i="3" s="1"/>
  <c r="K72" i="2"/>
  <c r="H77" i="3" s="1"/>
  <c r="N72" i="2" l="1"/>
  <c r="E11" i="5"/>
  <c r="E7" i="5" s="1"/>
  <c r="D11" i="5" l="1"/>
  <c r="D7" i="5" s="1"/>
  <c r="C11" i="5"/>
  <c r="C7" i="5" s="1"/>
  <c r="I27" i="2"/>
  <c r="A27" i="2"/>
  <c r="F27" i="2"/>
  <c r="J27" i="2" s="1"/>
  <c r="H27" i="2" l="1"/>
  <c r="G27" i="2" s="1"/>
  <c r="K27" i="2" s="1"/>
  <c r="H28" i="3" s="1"/>
  <c r="X36" i="2" l="1"/>
  <c r="Y36" i="2"/>
  <c r="AB36" i="2"/>
  <c r="AA36" i="2"/>
  <c r="P27" i="2"/>
  <c r="E28" i="3" s="1"/>
  <c r="AD36" i="2"/>
  <c r="AM36" i="2"/>
  <c r="AE36" i="2"/>
  <c r="AF36" i="2"/>
  <c r="AL36" i="2"/>
  <c r="AJ36" i="2"/>
  <c r="AI36" i="2"/>
  <c r="AK36" i="2"/>
  <c r="Z36" i="2"/>
  <c r="AO36" i="2"/>
  <c r="O27" i="2"/>
  <c r="AH36" i="2"/>
  <c r="AP36" i="2"/>
  <c r="AG36" i="2"/>
  <c r="AC36" i="2"/>
  <c r="AN36" i="2"/>
  <c r="D28" i="3" l="1"/>
  <c r="N27" i="2"/>
  <c r="A43" i="2"/>
  <c r="F43" i="2"/>
  <c r="I43" i="2" s="1"/>
  <c r="H43" i="2"/>
  <c r="G43" i="2" s="1"/>
  <c r="P43" i="2" l="1"/>
  <c r="E44" i="3" s="1"/>
  <c r="O43" i="2"/>
  <c r="K43" i="2"/>
  <c r="H44" i="3" s="1"/>
  <c r="J43" i="2"/>
  <c r="N43" i="2" l="1"/>
  <c r="D44" i="3"/>
  <c r="A114" i="2"/>
</calcChain>
</file>

<file path=xl/sharedStrings.xml><?xml version="1.0" encoding="utf-8"?>
<sst xmlns="http://schemas.openxmlformats.org/spreadsheetml/2006/main" count="633" uniqueCount="276">
  <si>
    <t># Lines starting with ”#” will be treated as comments.</t>
  </si>
  <si>
    <t># This file can be reloaded with the ”reload stats” console command</t>
  </si>
  <si>
    <t>#</t>
  </si>
  <si>
    <t>dmg reduction from</t>
  </si>
  <si>
    <t>% of dmg that will</t>
  </si>
  <si>
    <t xml:space="preserve">armor is multiplied </t>
  </si>
  <si>
    <t>%bonus dmg</t>
  </si>
  <si>
    <t>go through shields</t>
  </si>
  <si>
    <t>with this</t>
  </si>
  <si>
    <t>key</t>
  </si>
  <si>
    <t>cost</t>
  </si>
  <si>
    <t>power</t>
  </si>
  <si>
    <t>min_damage</t>
  </si>
  <si>
    <t>max_damage</t>
  </si>
  <si>
    <t>shield_damage</t>
  </si>
  <si>
    <t>shield_penetration</t>
  </si>
  <si>
    <t>armor_penetration</t>
  </si>
  <si>
    <t>min_windup</t>
  </si>
  <si>
    <t>max_windup</t>
  </si>
  <si>
    <t>cooldown</t>
  </si>
  <si>
    <t>range</t>
  </si>
  <si>
    <t>accuracy</t>
  </si>
  <si>
    <t># Lasers</t>
  </si>
  <si>
    <t>Evasion</t>
  </si>
  <si>
    <t>SMALL_RED_LASER</t>
  </si>
  <si>
    <t>MEDIUM_RED_LASER</t>
  </si>
  <si>
    <t>LARGE_RED_LASER</t>
  </si>
  <si>
    <t>SMALL_BLUE_LASER</t>
  </si>
  <si>
    <t>MEDIUM_BLUE_LASER</t>
  </si>
  <si>
    <t>LARGE_BLUE_LASER</t>
  </si>
  <si>
    <t>SMALL_UV_LASER</t>
  </si>
  <si>
    <t>MEDIUM_UV_LASER</t>
  </si>
  <si>
    <t>LARGE_UV_LASER</t>
  </si>
  <si>
    <t>SMALL_XRAY_LASER</t>
  </si>
  <si>
    <t>MEDIUM_XRAY_LASER</t>
  </si>
  <si>
    <t>LARGE_XRAY_LASER</t>
  </si>
  <si>
    <t>SMALL_GAMMA_LASER</t>
  </si>
  <si>
    <t>MEDIUM_GAMMA_LASER</t>
  </si>
  <si>
    <t>LARGE_GAMMA_LASER</t>
  </si>
  <si>
    <t># Energy Lance</t>
  </si>
  <si>
    <t>LARGE_ENERGY_LANCE_1</t>
  </si>
  <si>
    <t>LARGE_ENERGY_LANCE_2</t>
  </si>
  <si>
    <t># Plasma</t>
  </si>
  <si>
    <t>SMALL_PLASMA_1</t>
  </si>
  <si>
    <t>MEDIUM_PLASMA_1</t>
  </si>
  <si>
    <t>LARGE_PLASMA_1</t>
  </si>
  <si>
    <t>SMALL_PLASMA_2</t>
  </si>
  <si>
    <t>MEDIUM_PLASMA_2</t>
  </si>
  <si>
    <t>LARGE_PLASMA_2</t>
  </si>
  <si>
    <t>SMALL_PLASMA_3</t>
  </si>
  <si>
    <t>MEDIUM_PLASMA_3</t>
  </si>
  <si>
    <t>LARGE_PLASMA_3</t>
  </si>
  <si>
    <t># Arc Emitter</t>
  </si>
  <si>
    <t>LARGE_ARC_EMITTER_1</t>
  </si>
  <si>
    <t>LARGE_ARC_EMITTER_2</t>
  </si>
  <si>
    <t># Disruptors</t>
  </si>
  <si>
    <t>SMALL_DISRUPTOR_1</t>
  </si>
  <si>
    <t>MEDIUM_DISRUPTOR_1</t>
  </si>
  <si>
    <t>LARGE_DISRUPTOR_1</t>
  </si>
  <si>
    <t>SMALL_DISRUPTOR_2</t>
  </si>
  <si>
    <t>MEDIUM_DISRUPTOR_2</t>
  </si>
  <si>
    <t>LARGE_DISRUPTOR_2</t>
  </si>
  <si>
    <t>SMALL_DISRUPTOR_3</t>
  </si>
  <si>
    <t>MEDIUM_DISRUPTOR_3</t>
  </si>
  <si>
    <t>LARGE_DISRUPTOR_3</t>
  </si>
  <si>
    <t># Energy Torpedo</t>
  </si>
  <si>
    <t>LARGE_ENERGY_TORPEDO_1</t>
  </si>
  <si>
    <t>LARGE_ENERGY_TORPEDO_2</t>
  </si>
  <si>
    <t># Mass Drivers</t>
  </si>
  <si>
    <t>SMALL_MASS_DRIVER_1</t>
  </si>
  <si>
    <t>MEDIUM_MASS_DRIVER_1</t>
  </si>
  <si>
    <t>LARGE_MASS_DRIVER_1</t>
  </si>
  <si>
    <t>SMALL_MASS_DRIVER_2</t>
  </si>
  <si>
    <t>MEDIUM_MASS_DRIVER_2</t>
  </si>
  <si>
    <t>LARGE_MASS_DRIVER_2</t>
  </si>
  <si>
    <t>SMALL_MASS_DRIVER_3</t>
  </si>
  <si>
    <t>MEDIUM_MASS_DRIVER_3</t>
  </si>
  <si>
    <t>LARGE_MASS_DRIVER_3</t>
  </si>
  <si>
    <t>SMALL_MASS_DRIVER_4</t>
  </si>
  <si>
    <t>MEDIUM_MASS_DRIVER_4</t>
  </si>
  <si>
    <t>LARGE_MASS_DRIVER_4</t>
  </si>
  <si>
    <t>SMALL_MASS_DRIVER_5</t>
  </si>
  <si>
    <t>MEDIUM_MASS_DRIVER_5</t>
  </si>
  <si>
    <t>LARGE_MASS_DRIVER_5</t>
  </si>
  <si>
    <t># Kinetic Artillery</t>
  </si>
  <si>
    <t>LARGE_KINETIC_ARTILLERY_1</t>
  </si>
  <si>
    <t>LARGE_KINETIC_ARTILLERY_2</t>
  </si>
  <si>
    <t># Autocannons</t>
  </si>
  <si>
    <t>SMALL_AUTOCANNON_1</t>
  </si>
  <si>
    <t>MEDIUM_AUTOCANNON_1</t>
  </si>
  <si>
    <t>LARGE_AUTOCANNON_1</t>
  </si>
  <si>
    <t>SMALL_AUTOCANNON_2</t>
  </si>
  <si>
    <t>MEDIUM_AUTOCANNON_2</t>
  </si>
  <si>
    <t>LARGE_AUTOCANNON_2</t>
  </si>
  <si>
    <t>SMALL_AUTOCANNON_3</t>
  </si>
  <si>
    <t>MEDIUM_AUTOCANNON_3</t>
  </si>
  <si>
    <t>LARGE_AUTOCANNON_3</t>
  </si>
  <si>
    <t># Flak Battery</t>
  </si>
  <si>
    <t>LARGE_FLAK_BATTERY_1</t>
  </si>
  <si>
    <t>LARGE_FLAK_BATTERY_2</t>
  </si>
  <si>
    <t># Missiles</t>
  </si>
  <si>
    <t>SMALL_MISSILE_1</t>
  </si>
  <si>
    <t>MEDIUM_MISSILE_1</t>
  </si>
  <si>
    <t>LARGE_MISSILE_1</t>
  </si>
  <si>
    <t>SMALL_MISSILE_2</t>
  </si>
  <si>
    <t>MEDIUM_MISSILE_2</t>
  </si>
  <si>
    <t>LARGE_MISSILE_2</t>
  </si>
  <si>
    <t>SMALL_MISSILE_3</t>
  </si>
  <si>
    <t>MEDIUM_MISSILE_3</t>
  </si>
  <si>
    <t>LARGE_MISSILE_3</t>
  </si>
  <si>
    <t>SMALL_MISSILE_4</t>
  </si>
  <si>
    <t>MEDIUM_MISSILE_4</t>
  </si>
  <si>
    <t>LARGE_MISSILE_4</t>
  </si>
  <si>
    <t>SMALL_MISSILE_5</t>
  </si>
  <si>
    <t>MEDIUM_MISSILE_5</t>
  </si>
  <si>
    <t>LARGE_MISSILE_5</t>
  </si>
  <si>
    <t># Torpedoes</t>
  </si>
  <si>
    <t>SMALL_TORPEDO_1</t>
  </si>
  <si>
    <t>MEDIUM_TORPEDO_1</t>
  </si>
  <si>
    <t>LARGE_TORPEDO_1</t>
  </si>
  <si>
    <t>SMALL_TORPEDO_2</t>
  </si>
  <si>
    <t>MEDIUM_TORPEDO_2</t>
  </si>
  <si>
    <t>LARGE_TORPEDO_2</t>
  </si>
  <si>
    <t>SMALL_TORPEDO_3</t>
  </si>
  <si>
    <t>MEDIUM_TORPEDO_3</t>
  </si>
  <si>
    <t>LARGE_TORPEDO_3</t>
  </si>
  <si>
    <t># Swarmer Missiles</t>
  </si>
  <si>
    <t>LARGE_SWARMER_MISSILE_1</t>
  </si>
  <si>
    <t>LARGE_SWARMER_MISSILE_2</t>
  </si>
  <si>
    <t>Size</t>
  </si>
  <si>
    <t>Tier</t>
  </si>
  <si>
    <t>dDMG/dTier</t>
  </si>
  <si>
    <t>Base Damage</t>
  </si>
  <si>
    <t>DPS</t>
  </si>
  <si>
    <t>To Evade</t>
  </si>
  <si>
    <t>To Armor</t>
  </si>
  <si>
    <t>To Shields</t>
  </si>
  <si>
    <t>Tier 0 DMG</t>
  </si>
  <si>
    <t>dHardness/dTier</t>
  </si>
  <si>
    <t>DMG Mult</t>
  </si>
  <si>
    <t>Missile Y/N</t>
  </si>
  <si>
    <t>Target Damage</t>
  </si>
  <si>
    <t>AP</t>
  </si>
  <si>
    <t>SDMG</t>
  </si>
  <si>
    <t>Armor</t>
  </si>
  <si>
    <t>SPEN</t>
  </si>
  <si>
    <t>time before dmg</t>
  </si>
  <si>
    <t>is applied</t>
  </si>
  <si>
    <t>missile_speed</t>
  </si>
  <si>
    <t>end</t>
  </si>
  <si>
    <t># Spaceport Laser</t>
  </si>
  <si>
    <t>SMALL_SPACEPORT_LASER</t>
  </si>
  <si>
    <t>MEDIUM_SPACEPORT_LASER</t>
  </si>
  <si>
    <t>LARGE_SPACEPORT_LASER</t>
  </si>
  <si>
    <t>SMALL_SPACEPORT_MASS_DRIVER</t>
  </si>
  <si>
    <t>MEDIUM_SPACEPORT_MASS_DRIVER</t>
  </si>
  <si>
    <t>LARGE_SPACEPORT_MASS_DRIVER</t>
  </si>
  <si>
    <t># Spaceport Missiles</t>
  </si>
  <si>
    <t>SMALL_SPACEPORT_MISSILE</t>
  </si>
  <si>
    <t>MEDIUM_SPACEPORT_MISSILE</t>
  </si>
  <si>
    <t>LARGE_SPACEPORT_MISSILE</t>
  </si>
  <si>
    <t># Space Cloud</t>
  </si>
  <si>
    <t>SMALL_SPACE_CLOUD_LIGHTNING</t>
  </si>
  <si>
    <t>LARGE_SPACE_CLOUD_LIGHTNING</t>
  </si>
  <si>
    <t># Crystalline Entities</t>
  </si>
  <si>
    <t>SMALL_CRYSTAL_SHIP_BLUE_LIGHTNING</t>
  </si>
  <si>
    <t>MEDIUM_CRYSTAL_SHIP_BLUE_LIGHTNING</t>
  </si>
  <si>
    <t>LARGE_CRYSTAL_SHIP_BLUE_LIGHTNING</t>
  </si>
  <si>
    <t>SMALL_CRYSTAL_SHIP_GREEN_LIGHTNING</t>
  </si>
  <si>
    <t>MEDIUM_CRYSTAL_SHIP_GREEN_LIGHTNING</t>
  </si>
  <si>
    <t>LARGE_CRYSTAL_SHIP_GREEN_LIGHTNING</t>
  </si>
  <si>
    <t>SMALL_CRYSTAL_SHIP_YELLOW_LIGHTNING</t>
  </si>
  <si>
    <t>MEDIUM_CRYSTAL_SHIP_YELLOW_LIGHTNING</t>
  </si>
  <si>
    <t>LARGE_CRYSTAL_SHIP_YELLOW_LIGHTNING</t>
  </si>
  <si>
    <t>SMALL_CRYSTAL_SHIP_RED_LIGHTNING</t>
  </si>
  <si>
    <t>MEDIUM_CRYSTAL_SHIP_RED_LIGHTNING</t>
  </si>
  <si>
    <t>LARGE_CRYSTAL_SHIP_RED_LIGHTNING</t>
  </si>
  <si>
    <t>SMALL_CRYSTAL_SHIP_BLUE_ELITE_LIGHTNING</t>
  </si>
  <si>
    <t>MEDIUM_CRYSTAL_SHIP_BLUE_ELITE_LIGHTNING</t>
  </si>
  <si>
    <t>LARGE_CRYSTAL_SHIP_BLUE_ELITE_LIGHTNING</t>
  </si>
  <si>
    <t>SMALL_CRYSTAL_SHIP_GREEN_ELITE_LIGHTNING</t>
  </si>
  <si>
    <t>MEDIUM_CRYSTAL_SHIP_GREEN_ELITE_LIGHTNING</t>
  </si>
  <si>
    <t>LARGE_CRYSTAL_SHIP_GREEN_ELITE_LIGHTNING</t>
  </si>
  <si>
    <t>SMALL_CRYSTAL_SHIP_YELLOW_ELITE_LIGHTNING</t>
  </si>
  <si>
    <t>MEDIUM_CRYSTAL_SHIP_YELLOW_ELITE_LIGHTNING</t>
  </si>
  <si>
    <t>LARGE_CRYSTAL_SHIP_YELLOW_ELITE_LIGHTNING</t>
  </si>
  <si>
    <t>SMALL_CRYSTAL_SHIP_RED_ELITE_LIGHTNING</t>
  </si>
  <si>
    <t>MEDIUM_CRYSTAL_SHIP_RED_ELITE_LIGHTNING</t>
  </si>
  <si>
    <t>LARGE_CRYSTAL_SHIP_RED_ELITE_LIGHTNING</t>
  </si>
  <si>
    <t># Misc Space Critters</t>
  </si>
  <si>
    <t>MEDIUM_PROBE_LIGHTNING</t>
  </si>
  <si>
    <t>SMALL_SPACE_WHALE_WEAPON</t>
  </si>
  <si>
    <t>MEDIUM_SPACE_WHALE_WEAPON</t>
  </si>
  <si>
    <t>LARGE_SPACE_WHALE_WEAPON</t>
  </si>
  <si>
    <t>SMALL_SPACE_AMOEBA_WEAPON</t>
  </si>
  <si>
    <t>SPACE_AMOEBA_WEAPON</t>
  </si>
  <si>
    <t>SMALL_MINING_LASER</t>
  </si>
  <si>
    <t>MEDIUM_MINING_LASER</t>
  </si>
  <si>
    <t># ED invaders</t>
  </si>
  <si>
    <t>SMALL_ED_WEAPON</t>
  </si>
  <si>
    <t>MEDIUM_ED_WEAPON</t>
  </si>
  <si>
    <t>LARGE_ED_WEAPON</t>
  </si>
  <si>
    <t># Swarm</t>
  </si>
  <si>
    <t>SMALL_SPACEPORT_SCOURGE_MISSILE</t>
  </si>
  <si>
    <t>MEDIUM_SPACEPORT_SCOURGE_MISSILE</t>
  </si>
  <si>
    <t>LARGE_SPACEPORT_SCOURGE_MISSILE</t>
  </si>
  <si>
    <t>LARGE_SCOURGE_MISSILE_1</t>
  </si>
  <si>
    <t>SMALL_SCOURGE_PROJECTILE_WEAPON</t>
  </si>
  <si>
    <t>SCOURGE_PROJECTILE_WEAPON</t>
  </si>
  <si>
    <t># Fallen Empire</t>
  </si>
  <si>
    <t>LARGE_FALLEN_EMPIRE_SPACEPORT_LANCE</t>
  </si>
  <si>
    <t># Point-Defense</t>
  </si>
  <si>
    <t>POINT_DEFENCE_1</t>
  </si>
  <si>
    <t>POINT_DEFENCE_2</t>
  </si>
  <si>
    <t>POINT_DEFENCE_3</t>
  </si>
  <si>
    <t>MIN DMG</t>
  </si>
  <si>
    <t>MAX DMG</t>
  </si>
  <si>
    <t>Real Cooldown</t>
  </si>
  <si>
    <t># Mass Drivers These Have Sepcial Formuals</t>
  </si>
  <si>
    <t># STRIKE CRAFT</t>
  </si>
  <si>
    <t>DMG</t>
  </si>
  <si>
    <t>3S</t>
  </si>
  <si>
    <t>3M</t>
  </si>
  <si>
    <t>3L</t>
  </si>
  <si>
    <t>4S</t>
  </si>
  <si>
    <t>4M</t>
  </si>
  <si>
    <t>4L</t>
  </si>
  <si>
    <t>5S</t>
  </si>
  <si>
    <t>5M</t>
  </si>
  <si>
    <t>5L</t>
  </si>
  <si>
    <t>Lance 1</t>
  </si>
  <si>
    <t>Lance 2</t>
  </si>
  <si>
    <t>Has to be Manually added to component file</t>
  </si>
  <si>
    <t>S%</t>
  </si>
  <si>
    <t>Bomber I</t>
  </si>
  <si>
    <t>Bomber II</t>
  </si>
  <si>
    <t>Bomber III</t>
  </si>
  <si>
    <t>AVG DMG/SIZE</t>
  </si>
  <si>
    <t>RANGE</t>
  </si>
  <si>
    <t>Hardness Size Effect</t>
  </si>
  <si>
    <t>Range Size Effect</t>
  </si>
  <si>
    <t>Base Range</t>
  </si>
  <si>
    <t>Range Damage Penalty</t>
  </si>
  <si>
    <t>DMG v. Target</t>
  </si>
  <si>
    <t>DMG v. Soft Counter</t>
  </si>
  <si>
    <t>DMG v. Hard Counter</t>
  </si>
  <si>
    <t>Range DMG Effect</t>
  </si>
  <si>
    <t>RANGE -&gt;</t>
  </si>
  <si>
    <t>Special</t>
  </si>
  <si>
    <t>Missile Speed</t>
  </si>
  <si>
    <t>Corvettes</t>
  </si>
  <si>
    <t>Destroyer</t>
  </si>
  <si>
    <t>Cruiser</t>
  </si>
  <si>
    <t>Battleship</t>
  </si>
  <si>
    <t>Should be 24</t>
  </si>
  <si>
    <t>Weapon Slots</t>
  </si>
  <si>
    <t>Utility Slots</t>
  </si>
  <si>
    <t>Weapon Power Size Cost</t>
  </si>
  <si>
    <t>Power/Size</t>
  </si>
  <si>
    <t>Weapon Power/ Size</t>
  </si>
  <si>
    <t>Power</t>
  </si>
  <si>
    <t>Slots Left</t>
  </si>
  <si>
    <t>Max Defense per tier</t>
  </si>
  <si>
    <t>Shields</t>
  </si>
  <si>
    <t>Evasion Mult</t>
  </si>
  <si>
    <t>Armor Add</t>
  </si>
  <si>
    <t>Per Slot</t>
  </si>
  <si>
    <t>True Max Evasion</t>
  </si>
  <si>
    <t>Normal Max Armor</t>
  </si>
  <si>
    <t>Total Evasion</t>
  </si>
  <si>
    <t>Total Armor Needed</t>
  </si>
  <si>
    <t>Max Possible Armor</t>
  </si>
  <si>
    <t>Max Possible Armor %</t>
  </si>
  <si>
    <t>Normal Shield HP %</t>
  </si>
  <si>
    <t>HP</t>
  </si>
  <si>
    <t>Tier Range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</si>
</sst>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General"/>
    <numFmt numFmtId="165" formatCode="#"/>
    <numFmt numFmtId="166" formatCode="0.0000"/>
    <numFmt numFmtId="167" formatCode="0.0%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9900"/>
      <name val="Times New Roman"/>
    </font>
    <font>
      <sz val="10"/>
      <color rgb="FF000000"/>
      <name val="Times New Roman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9">
    <xf numFmtId="0" fontId="0" fillId="0" borderId="0" xfId="0" applyFont="1" applyAlignment="1"/>
    <xf numFmtId="2" fontId="0" fillId="0" borderId="0" xfId="0" applyNumberFormat="1" applyFont="1"/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/>
    <xf numFmtId="0" fontId="0" fillId="0" borderId="0" xfId="0" applyFont="1"/>
    <xf numFmtId="2" fontId="4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 applyAlignment="1"/>
    <xf numFmtId="9" fontId="0" fillId="0" borderId="0" xfId="1" applyFont="1" applyAlignment="1"/>
    <xf numFmtId="10" fontId="0" fillId="0" borderId="0" xfId="0" applyNumberFormat="1" applyFont="1" applyAlignment="1"/>
    <xf numFmtId="2" fontId="0" fillId="0" borderId="0" xfId="1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8" fillId="0" borderId="0" xfId="0" applyFont="1"/>
    <xf numFmtId="0" fontId="6" fillId="0" borderId="0" xfId="0" applyFont="1"/>
    <xf numFmtId="9" fontId="6" fillId="0" borderId="0" xfId="1" applyFont="1" applyAlignment="1"/>
    <xf numFmtId="10" fontId="0" fillId="0" borderId="0" xfId="1" applyNumberFormat="1" applyFont="1" applyAlignment="1"/>
    <xf numFmtId="9" fontId="0" fillId="0" borderId="0" xfId="1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1" applyNumberFormat="1" applyFont="1" applyAlignment="1"/>
    <xf numFmtId="0" fontId="0" fillId="0" borderId="0" xfId="0" applyFont="1" applyAlignment="1"/>
    <xf numFmtId="0" fontId="6" fillId="0" borderId="0" xfId="0" applyFont="1" applyAlignment="1">
      <alignment horizontal="center"/>
    </xf>
    <xf numFmtId="2" fontId="1" fillId="0" borderId="0" xfId="0" applyNumberFormat="1" applyFont="1" applyAlignment="1">
      <alignment vertical="top" wrapText="1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'Weapon Formulas'!$T$7:$T$111</c:f>
              <c:strCache>
                <c:ptCount val="105"/>
                <c:pt idx="3">
                  <c:v>Missile Speed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7.5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10</c:v>
                </c:pt>
                <c:pt idx="104">
                  <c:v>10</c:v>
                </c:pt>
              </c:strCache>
            </c:strRef>
          </c:xVal>
          <c:yVal>
            <c:numRef>
              <c:f>'Weapon Formulas'!$U$7:$U$111</c:f>
              <c:numCache>
                <c:formatCode>General</c:formatCode>
                <c:ptCount val="105"/>
                <c:pt idx="3">
                  <c:v>0</c:v>
                </c:pt>
                <c:pt idx="4">
                  <c:v>-3.333333333333333</c:v>
                </c:pt>
                <c:pt idx="5">
                  <c:v>-6.6666666666666661</c:v>
                </c:pt>
                <c:pt idx="6">
                  <c:v>-13.333333333333332</c:v>
                </c:pt>
                <c:pt idx="7">
                  <c:v>-6.6666666666666661</c:v>
                </c:pt>
                <c:pt idx="8">
                  <c:v>-13.333333333333332</c:v>
                </c:pt>
                <c:pt idx="9">
                  <c:v>-26.666666666666664</c:v>
                </c:pt>
                <c:pt idx="10">
                  <c:v>-13.333333333333332</c:v>
                </c:pt>
                <c:pt idx="11">
                  <c:v>-26.666666666666664</c:v>
                </c:pt>
                <c:pt idx="12">
                  <c:v>-53.333333333333329</c:v>
                </c:pt>
                <c:pt idx="13">
                  <c:v>-26.666666666666664</c:v>
                </c:pt>
                <c:pt idx="14">
                  <c:v>-53.333333333333329</c:v>
                </c:pt>
                <c:pt idx="15">
                  <c:v>-106.66666666666666</c:v>
                </c:pt>
                <c:pt idx="16">
                  <c:v>-53.333333333333329</c:v>
                </c:pt>
                <c:pt idx="17">
                  <c:v>-106.66666666666666</c:v>
                </c:pt>
                <c:pt idx="18">
                  <c:v>-213.33333333333331</c:v>
                </c:pt>
                <c:pt idx="20">
                  <c:v>-213.33333333333331</c:v>
                </c:pt>
                <c:pt idx="21">
                  <c:v>-426.66666666666663</c:v>
                </c:pt>
                <c:pt idx="23">
                  <c:v>-13.333333333333332</c:v>
                </c:pt>
                <c:pt idx="24">
                  <c:v>-26.666666666666664</c:v>
                </c:pt>
                <c:pt idx="25">
                  <c:v>-53.333333333333329</c:v>
                </c:pt>
                <c:pt idx="26">
                  <c:v>-26.666666666666664</c:v>
                </c:pt>
                <c:pt idx="27">
                  <c:v>-53.333333333333329</c:v>
                </c:pt>
                <c:pt idx="28">
                  <c:v>-106.66666666666666</c:v>
                </c:pt>
                <c:pt idx="29">
                  <c:v>-53.333333333333329</c:v>
                </c:pt>
                <c:pt idx="30">
                  <c:v>-106.66666666666666</c:v>
                </c:pt>
                <c:pt idx="31">
                  <c:v>-213.33333333333331</c:v>
                </c:pt>
                <c:pt idx="33">
                  <c:v>-213.33333333333331</c:v>
                </c:pt>
                <c:pt idx="34">
                  <c:v>-426.66666666666663</c:v>
                </c:pt>
                <c:pt idx="36">
                  <c:v>-13.333333333333332</c:v>
                </c:pt>
                <c:pt idx="37">
                  <c:v>-26.666666666666664</c:v>
                </c:pt>
                <c:pt idx="38">
                  <c:v>-53.333333333333329</c:v>
                </c:pt>
                <c:pt idx="39">
                  <c:v>-26.666666666666664</c:v>
                </c:pt>
                <c:pt idx="40">
                  <c:v>-53.333333333333329</c:v>
                </c:pt>
                <c:pt idx="41">
                  <c:v>-106.66666666666666</c:v>
                </c:pt>
                <c:pt idx="42">
                  <c:v>-53.333333333333329</c:v>
                </c:pt>
                <c:pt idx="43">
                  <c:v>-106.66666666666666</c:v>
                </c:pt>
                <c:pt idx="44">
                  <c:v>-213.33333333333331</c:v>
                </c:pt>
                <c:pt idx="46">
                  <c:v>-213.33333333333331</c:v>
                </c:pt>
                <c:pt idx="47">
                  <c:v>-426.66666666666663</c:v>
                </c:pt>
                <c:pt idx="49">
                  <c:v>-3.333333333333333</c:v>
                </c:pt>
                <c:pt idx="50">
                  <c:v>-6.6666666666666661</c:v>
                </c:pt>
                <c:pt idx="51">
                  <c:v>-13.333333333333332</c:v>
                </c:pt>
                <c:pt idx="52">
                  <c:v>-6.6666666666666661</c:v>
                </c:pt>
                <c:pt idx="53">
                  <c:v>-13.333333333333332</c:v>
                </c:pt>
                <c:pt idx="54">
                  <c:v>-26.666666666666664</c:v>
                </c:pt>
                <c:pt idx="55">
                  <c:v>-13.333333333333332</c:v>
                </c:pt>
                <c:pt idx="56">
                  <c:v>-26.666666666666664</c:v>
                </c:pt>
                <c:pt idx="57">
                  <c:v>-53.333333333333329</c:v>
                </c:pt>
                <c:pt idx="58">
                  <c:v>-26.666666666666664</c:v>
                </c:pt>
                <c:pt idx="59">
                  <c:v>-53.333333333333329</c:v>
                </c:pt>
                <c:pt idx="60">
                  <c:v>-106.66666666666666</c:v>
                </c:pt>
                <c:pt idx="61">
                  <c:v>-53.333333333333329</c:v>
                </c:pt>
                <c:pt idx="62">
                  <c:v>-106.66666666666666</c:v>
                </c:pt>
                <c:pt idx="63">
                  <c:v>-213.33333333333331</c:v>
                </c:pt>
                <c:pt idx="65">
                  <c:v>-213.33333333333331</c:v>
                </c:pt>
                <c:pt idx="66">
                  <c:v>-426.66666666666663</c:v>
                </c:pt>
                <c:pt idx="68">
                  <c:v>-13.333333333333332</c:v>
                </c:pt>
                <c:pt idx="69">
                  <c:v>-26.666666666666664</c:v>
                </c:pt>
                <c:pt idx="70">
                  <c:v>-53.333333333333329</c:v>
                </c:pt>
                <c:pt idx="71">
                  <c:v>-26.666666666666664</c:v>
                </c:pt>
                <c:pt idx="72">
                  <c:v>-53.333333333333329</c:v>
                </c:pt>
                <c:pt idx="73">
                  <c:v>-106.66666666666666</c:v>
                </c:pt>
                <c:pt idx="74">
                  <c:v>-53.333333333333329</c:v>
                </c:pt>
                <c:pt idx="75">
                  <c:v>-106.66666666666666</c:v>
                </c:pt>
                <c:pt idx="76">
                  <c:v>-213.33333333333331</c:v>
                </c:pt>
                <c:pt idx="78">
                  <c:v>-106.66666666666666</c:v>
                </c:pt>
                <c:pt idx="79">
                  <c:v>-213.33333333333331</c:v>
                </c:pt>
                <c:pt idx="81">
                  <c:v>-3.333333333333333</c:v>
                </c:pt>
                <c:pt idx="82">
                  <c:v>-6.6666666666666661</c:v>
                </c:pt>
                <c:pt idx="83">
                  <c:v>-13.333333333333332</c:v>
                </c:pt>
                <c:pt idx="84">
                  <c:v>-6.6666666666666661</c:v>
                </c:pt>
                <c:pt idx="85">
                  <c:v>-13.333333333333332</c:v>
                </c:pt>
                <c:pt idx="86">
                  <c:v>-26.666666666666664</c:v>
                </c:pt>
                <c:pt idx="87">
                  <c:v>-13.333333333333332</c:v>
                </c:pt>
                <c:pt idx="88">
                  <c:v>-26.666666666666664</c:v>
                </c:pt>
                <c:pt idx="89">
                  <c:v>-53.333333333333329</c:v>
                </c:pt>
                <c:pt idx="90">
                  <c:v>-26.666666666666664</c:v>
                </c:pt>
                <c:pt idx="91">
                  <c:v>-53.333333333333329</c:v>
                </c:pt>
                <c:pt idx="92">
                  <c:v>-106.66666666666666</c:v>
                </c:pt>
                <c:pt idx="93">
                  <c:v>-53.333333333333329</c:v>
                </c:pt>
                <c:pt idx="94">
                  <c:v>-106.66666666666666</c:v>
                </c:pt>
                <c:pt idx="95">
                  <c:v>-213.33333333333331</c:v>
                </c:pt>
                <c:pt idx="97">
                  <c:v>-13.333333333333332</c:v>
                </c:pt>
                <c:pt idx="98">
                  <c:v>-26.666666666666664</c:v>
                </c:pt>
                <c:pt idx="99">
                  <c:v>-53.333333333333329</c:v>
                </c:pt>
                <c:pt idx="100">
                  <c:v>-26.666666666666664</c:v>
                </c:pt>
                <c:pt idx="101">
                  <c:v>-53.333333333333329</c:v>
                </c:pt>
                <c:pt idx="102">
                  <c:v>-106.66666666666666</c:v>
                </c:pt>
                <c:pt idx="103">
                  <c:v>-53.333333333333329</c:v>
                </c:pt>
                <c:pt idx="104">
                  <c:v>-106.66666666666666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0-4FDE-BC42-C38F8BC7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40136"/>
        <c:axId val="289441776"/>
      </c:scatterChart>
      <c:valAx>
        <c:axId val="2894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1776"/>
        <c:crosses val="autoZero"/>
        <c:crossBetween val="midCat"/>
      </c:valAx>
      <c:valAx>
        <c:axId val="289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vs. Armor by AP</a:t>
            </a:r>
            <a:r>
              <a:rPr lang="en-US" baseline="0"/>
              <a:t> Weapon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Formulas'!$X$27:$AP$27</c:f>
              <c:numCache>
                <c:formatCode>General</c:formatCode>
                <c:ptCount val="19"/>
                <c:pt idx="0">
                  <c:v>6.8587619784946234</c:v>
                </c:pt>
                <c:pt idx="1">
                  <c:v>7.4862196989247307</c:v>
                </c:pt>
                <c:pt idx="2">
                  <c:v>8.1136774193548398</c:v>
                </c:pt>
                <c:pt idx="3">
                  <c:v>8.7411351397849462</c:v>
                </c:pt>
                <c:pt idx="4">
                  <c:v>9.3685928602150543</c:v>
                </c:pt>
                <c:pt idx="5">
                  <c:v>9.9960505806451625</c:v>
                </c:pt>
                <c:pt idx="6">
                  <c:v>10.623508301075269</c:v>
                </c:pt>
                <c:pt idx="7">
                  <c:v>11.250966021505377</c:v>
                </c:pt>
                <c:pt idx="8">
                  <c:v>11.878423741935483</c:v>
                </c:pt>
                <c:pt idx="9">
                  <c:v>12.505881462365593</c:v>
                </c:pt>
                <c:pt idx="10">
                  <c:v>13.133339182795702</c:v>
                </c:pt>
                <c:pt idx="11">
                  <c:v>13.760796903225808</c:v>
                </c:pt>
                <c:pt idx="12">
                  <c:v>14.388254623655916</c:v>
                </c:pt>
                <c:pt idx="13">
                  <c:v>15.015712344086023</c:v>
                </c:pt>
                <c:pt idx="14">
                  <c:v>15.643170064516131</c:v>
                </c:pt>
                <c:pt idx="15">
                  <c:v>16.270627784946239</c:v>
                </c:pt>
                <c:pt idx="16">
                  <c:v>16.898085505376347</c:v>
                </c:pt>
                <c:pt idx="17">
                  <c:v>17.525543225806459</c:v>
                </c:pt>
                <c:pt idx="18">
                  <c:v>18.153000946236567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7-484F-A528-61ED98FEF5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Formulas'!$X$28:$AP$28</c:f>
              <c:numCache>
                <c:formatCode>General</c:formatCode>
                <c:ptCount val="19"/>
                <c:pt idx="0">
                  <c:v>6.4016313978494628</c:v>
                </c:pt>
                <c:pt idx="1">
                  <c:v>7.3669995698924726</c:v>
                </c:pt>
                <c:pt idx="2">
                  <c:v>8.3323677419354834</c:v>
                </c:pt>
                <c:pt idx="3">
                  <c:v>9.2977359139784941</c:v>
                </c:pt>
                <c:pt idx="4">
                  <c:v>10.263104086021505</c:v>
                </c:pt>
                <c:pt idx="5">
                  <c:v>11.228472258064514</c:v>
                </c:pt>
                <c:pt idx="6">
                  <c:v>12.193840430107526</c:v>
                </c:pt>
                <c:pt idx="7">
                  <c:v>13.159208602150535</c:v>
                </c:pt>
                <c:pt idx="8">
                  <c:v>14.124576774193546</c:v>
                </c:pt>
                <c:pt idx="9">
                  <c:v>15.089944946236557</c:v>
                </c:pt>
                <c:pt idx="10">
                  <c:v>16.055313118279567</c:v>
                </c:pt>
                <c:pt idx="11">
                  <c:v>17.020681290322578</c:v>
                </c:pt>
                <c:pt idx="12">
                  <c:v>17.986049462365589</c:v>
                </c:pt>
                <c:pt idx="13">
                  <c:v>18.951417634408603</c:v>
                </c:pt>
                <c:pt idx="14">
                  <c:v>19.916785806451614</c:v>
                </c:pt>
                <c:pt idx="15">
                  <c:v>20.882153978494625</c:v>
                </c:pt>
                <c:pt idx="16">
                  <c:v>21.847522150537632</c:v>
                </c:pt>
                <c:pt idx="17">
                  <c:v>22.812890322580646</c:v>
                </c:pt>
                <c:pt idx="18">
                  <c:v>23.77825849462366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7-484F-A528-61ED98FEF5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Formulas'!$X$29:$AP$29</c:f>
              <c:numCache>
                <c:formatCode>General</c:formatCode>
                <c:ptCount val="19"/>
                <c:pt idx="0">
                  <c:v>5.9470928172043012</c:v>
                </c:pt>
                <c:pt idx="1">
                  <c:v>7.2483554408602151</c:v>
                </c:pt>
                <c:pt idx="2">
                  <c:v>8.5496180645161299</c:v>
                </c:pt>
                <c:pt idx="3">
                  <c:v>9.8508806881720421</c:v>
                </c:pt>
                <c:pt idx="4">
                  <c:v>11.152143311827956</c:v>
                </c:pt>
                <c:pt idx="5">
                  <c:v>12.45340593548387</c:v>
                </c:pt>
                <c:pt idx="6">
                  <c:v>13.754668559139784</c:v>
                </c:pt>
                <c:pt idx="7">
                  <c:v>15.055931182795698</c:v>
                </c:pt>
                <c:pt idx="8">
                  <c:v>16.357193806451612</c:v>
                </c:pt>
                <c:pt idx="9">
                  <c:v>17.658456430107528</c:v>
                </c:pt>
                <c:pt idx="10">
                  <c:v>18.95971905376344</c:v>
                </c:pt>
                <c:pt idx="11">
                  <c:v>20.260981677419352</c:v>
                </c:pt>
                <c:pt idx="12">
                  <c:v>21.562244301075271</c:v>
                </c:pt>
                <c:pt idx="13">
                  <c:v>22.863506924731187</c:v>
                </c:pt>
                <c:pt idx="14">
                  <c:v>24.164769548387099</c:v>
                </c:pt>
                <c:pt idx="15">
                  <c:v>25.466032172043018</c:v>
                </c:pt>
                <c:pt idx="16">
                  <c:v>26.76729479569893</c:v>
                </c:pt>
                <c:pt idx="17">
                  <c:v>28.068557419354846</c:v>
                </c:pt>
                <c:pt idx="18">
                  <c:v>29.369820043010762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7-484F-A528-61ED98FEF5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Formulas'!$X$30:$AP$30</c:f>
              <c:numCache>
                <c:formatCode>General</c:formatCode>
                <c:ptCount val="19"/>
                <c:pt idx="0">
                  <c:v>8.8660873333333345</c:v>
                </c:pt>
                <c:pt idx="1">
                  <c:v>9.7025106666666687</c:v>
                </c:pt>
                <c:pt idx="2">
                  <c:v>10.538934000000001</c:v>
                </c:pt>
                <c:pt idx="3">
                  <c:v>11.375357333333335</c:v>
                </c:pt>
                <c:pt idx="4">
                  <c:v>12.211780666666668</c:v>
                </c:pt>
                <c:pt idx="5">
                  <c:v>13.048204</c:v>
                </c:pt>
                <c:pt idx="6">
                  <c:v>13.884627333333333</c:v>
                </c:pt>
                <c:pt idx="7">
                  <c:v>14.721050666666669</c:v>
                </c:pt>
                <c:pt idx="8">
                  <c:v>15.557474000000001</c:v>
                </c:pt>
                <c:pt idx="9">
                  <c:v>16.393897333333332</c:v>
                </c:pt>
                <c:pt idx="10">
                  <c:v>17.230320666666664</c:v>
                </c:pt>
                <c:pt idx="11">
                  <c:v>18.066744</c:v>
                </c:pt>
                <c:pt idx="12">
                  <c:v>18.903167333333336</c:v>
                </c:pt>
                <c:pt idx="13">
                  <c:v>19.739590666666668</c:v>
                </c:pt>
                <c:pt idx="14">
                  <c:v>20.576014000000004</c:v>
                </c:pt>
                <c:pt idx="15">
                  <c:v>21.412437333333337</c:v>
                </c:pt>
                <c:pt idx="16">
                  <c:v>22.248860666666673</c:v>
                </c:pt>
                <c:pt idx="17">
                  <c:v>23.085284000000009</c:v>
                </c:pt>
                <c:pt idx="18">
                  <c:v>23.921707333333341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7-484F-A528-61ED98FEF5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Formulas'!$X$31:$AP$31</c:f>
              <c:numCache>
                <c:formatCode>General</c:formatCode>
                <c:ptCount val="19"/>
                <c:pt idx="0">
                  <c:v>8.057759047619049</c:v>
                </c:pt>
                <c:pt idx="1">
                  <c:v>9.2497352380952389</c:v>
                </c:pt>
                <c:pt idx="2">
                  <c:v>10.441711428571431</c:v>
                </c:pt>
                <c:pt idx="3">
                  <c:v>11.633687619047619</c:v>
                </c:pt>
                <c:pt idx="4">
                  <c:v>12.82566380952381</c:v>
                </c:pt>
                <c:pt idx="5">
                  <c:v>14.017639999999998</c:v>
                </c:pt>
                <c:pt idx="6">
                  <c:v>15.209616190476192</c:v>
                </c:pt>
                <c:pt idx="7">
                  <c:v>16.40159238095238</c:v>
                </c:pt>
                <c:pt idx="8">
                  <c:v>17.59356857142857</c:v>
                </c:pt>
                <c:pt idx="9">
                  <c:v>18.785544761904763</c:v>
                </c:pt>
                <c:pt idx="10">
                  <c:v>19.977520952380949</c:v>
                </c:pt>
                <c:pt idx="11">
                  <c:v>21.169497142857143</c:v>
                </c:pt>
                <c:pt idx="12">
                  <c:v>22.361473333333336</c:v>
                </c:pt>
                <c:pt idx="13">
                  <c:v>23.553449523809526</c:v>
                </c:pt>
                <c:pt idx="14">
                  <c:v>24.745425714285716</c:v>
                </c:pt>
                <c:pt idx="15">
                  <c:v>25.937401904761909</c:v>
                </c:pt>
                <c:pt idx="16">
                  <c:v>27.129378095238099</c:v>
                </c:pt>
                <c:pt idx="17">
                  <c:v>28.321354285714289</c:v>
                </c:pt>
                <c:pt idx="18">
                  <c:v>29.513330476190479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7-484F-A528-61ED98FEF5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Formulas'!$X$32:$AP$32</c:f>
              <c:numCache>
                <c:formatCode>General</c:formatCode>
                <c:ptCount val="19"/>
                <c:pt idx="0">
                  <c:v>7.25327761904762</c:v>
                </c:pt>
                <c:pt idx="1">
                  <c:v>8.7990580952380952</c:v>
                </c:pt>
                <c:pt idx="2">
                  <c:v>10.344838571428571</c:v>
                </c:pt>
                <c:pt idx="3">
                  <c:v>11.890619047619049</c:v>
                </c:pt>
                <c:pt idx="4">
                  <c:v>13.436399523809525</c:v>
                </c:pt>
                <c:pt idx="5">
                  <c:v>14.98218</c:v>
                </c:pt>
                <c:pt idx="6">
                  <c:v>16.527960476190476</c:v>
                </c:pt>
                <c:pt idx="7">
                  <c:v>18.073740952380952</c:v>
                </c:pt>
                <c:pt idx="8">
                  <c:v>19.619521428571428</c:v>
                </c:pt>
                <c:pt idx="9">
                  <c:v>21.165301904761904</c:v>
                </c:pt>
                <c:pt idx="10">
                  <c:v>22.71108238095238</c:v>
                </c:pt>
                <c:pt idx="11">
                  <c:v>24.256862857142856</c:v>
                </c:pt>
                <c:pt idx="12">
                  <c:v>25.802643333333336</c:v>
                </c:pt>
                <c:pt idx="13">
                  <c:v>27.348423809523815</c:v>
                </c:pt>
                <c:pt idx="14">
                  <c:v>28.894204285714292</c:v>
                </c:pt>
                <c:pt idx="15">
                  <c:v>30.439984761904771</c:v>
                </c:pt>
                <c:pt idx="16">
                  <c:v>31.985765238095247</c:v>
                </c:pt>
                <c:pt idx="17">
                  <c:v>33.531545714285727</c:v>
                </c:pt>
                <c:pt idx="18">
                  <c:v>35.077326190476199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7-484F-A528-61ED98FEF5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Formulas'!$X$33:$AP$33</c:f>
              <c:numCache>
                <c:formatCode>General</c:formatCode>
                <c:ptCount val="19"/>
                <c:pt idx="0">
                  <c:v>10.677571797333334</c:v>
                </c:pt>
                <c:pt idx="1">
                  <c:v>11.733301674666667</c:v>
                </c:pt>
                <c:pt idx="2">
                  <c:v>12.789031551999999</c:v>
                </c:pt>
                <c:pt idx="3">
                  <c:v>13.844761429333333</c:v>
                </c:pt>
                <c:pt idx="4">
                  <c:v>14.900491306666666</c:v>
                </c:pt>
                <c:pt idx="5">
                  <c:v>15.956221183999999</c:v>
                </c:pt>
                <c:pt idx="6">
                  <c:v>17.011951061333331</c:v>
                </c:pt>
                <c:pt idx="7">
                  <c:v>18.067680938666665</c:v>
                </c:pt>
                <c:pt idx="8">
                  <c:v>19.123410815999996</c:v>
                </c:pt>
                <c:pt idx="9">
                  <c:v>20.179140693333331</c:v>
                </c:pt>
                <c:pt idx="10">
                  <c:v>21.234870570666661</c:v>
                </c:pt>
                <c:pt idx="11">
                  <c:v>22.290600447999996</c:v>
                </c:pt>
                <c:pt idx="12">
                  <c:v>23.346330325333334</c:v>
                </c:pt>
                <c:pt idx="13">
                  <c:v>24.402060202666664</c:v>
                </c:pt>
                <c:pt idx="14">
                  <c:v>25.457790079999999</c:v>
                </c:pt>
                <c:pt idx="15">
                  <c:v>26.513519957333333</c:v>
                </c:pt>
                <c:pt idx="16">
                  <c:v>27.569249834666667</c:v>
                </c:pt>
                <c:pt idx="17">
                  <c:v>28.624979712000005</c:v>
                </c:pt>
                <c:pt idx="18">
                  <c:v>29.680709589333336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7-484F-A528-61ED98FEF5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Formulas'!$X$34:$AP$34</c:f>
              <c:numCache>
                <c:formatCode>General</c:formatCode>
                <c:ptCount val="19"/>
                <c:pt idx="0">
                  <c:v>9.4346917333333327</c:v>
                </c:pt>
                <c:pt idx="1">
                  <c:v>10.868231466666666</c:v>
                </c:pt>
                <c:pt idx="2">
                  <c:v>12.301771199999999</c:v>
                </c:pt>
                <c:pt idx="3">
                  <c:v>13.735310933333333</c:v>
                </c:pt>
                <c:pt idx="4">
                  <c:v>15.168850666666666</c:v>
                </c:pt>
                <c:pt idx="5">
                  <c:v>16.602390400000001</c:v>
                </c:pt>
                <c:pt idx="6">
                  <c:v>18.035930133333334</c:v>
                </c:pt>
                <c:pt idx="7">
                  <c:v>19.469469866666667</c:v>
                </c:pt>
                <c:pt idx="8">
                  <c:v>20.903009599999997</c:v>
                </c:pt>
                <c:pt idx="9">
                  <c:v>22.336549333333334</c:v>
                </c:pt>
                <c:pt idx="10">
                  <c:v>23.770089066666664</c:v>
                </c:pt>
                <c:pt idx="11">
                  <c:v>25.203628800000001</c:v>
                </c:pt>
                <c:pt idx="12">
                  <c:v>26.637168533333334</c:v>
                </c:pt>
                <c:pt idx="13">
                  <c:v>28.070708266666671</c:v>
                </c:pt>
                <c:pt idx="14">
                  <c:v>29.504248000000004</c:v>
                </c:pt>
                <c:pt idx="15">
                  <c:v>30.937787733333337</c:v>
                </c:pt>
                <c:pt idx="16">
                  <c:v>32.371327466666671</c:v>
                </c:pt>
                <c:pt idx="17">
                  <c:v>33.804867200000011</c:v>
                </c:pt>
                <c:pt idx="18">
                  <c:v>35.238406933333344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7-484F-A528-61ED98FEF5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Formulas'!$X$35:$AP$35</c:f>
              <c:numCache>
                <c:formatCode>General</c:formatCode>
                <c:ptCount val="19"/>
                <c:pt idx="0">
                  <c:v>8.1970117973333334</c:v>
                </c:pt>
                <c:pt idx="1">
                  <c:v>10.006741674666667</c:v>
                </c:pt>
                <c:pt idx="2">
                  <c:v>11.816471552000001</c:v>
                </c:pt>
                <c:pt idx="3">
                  <c:v>13.626201429333335</c:v>
                </c:pt>
                <c:pt idx="4">
                  <c:v>15.435931306666667</c:v>
                </c:pt>
                <c:pt idx="5">
                  <c:v>17.245661183999999</c:v>
                </c:pt>
                <c:pt idx="6">
                  <c:v>19.055391061333331</c:v>
                </c:pt>
                <c:pt idx="7">
                  <c:v>20.865120938666667</c:v>
                </c:pt>
                <c:pt idx="8">
                  <c:v>22.674850815999999</c:v>
                </c:pt>
                <c:pt idx="9">
                  <c:v>24.484580693333331</c:v>
                </c:pt>
                <c:pt idx="10">
                  <c:v>26.294310570666667</c:v>
                </c:pt>
                <c:pt idx="11">
                  <c:v>28.104040447999999</c:v>
                </c:pt>
                <c:pt idx="12">
                  <c:v>29.913770325333331</c:v>
                </c:pt>
                <c:pt idx="13">
                  <c:v>31.723500202666671</c:v>
                </c:pt>
                <c:pt idx="14">
                  <c:v>33.53323008000001</c:v>
                </c:pt>
                <c:pt idx="15">
                  <c:v>35.342959957333342</c:v>
                </c:pt>
                <c:pt idx="16">
                  <c:v>37.152689834666681</c:v>
                </c:pt>
                <c:pt idx="17">
                  <c:v>38.962419712000013</c:v>
                </c:pt>
                <c:pt idx="18">
                  <c:v>40.772149589333353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7-484F-A528-61ED98FEF5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Formulas'!$X$36:$AP$36</c:f>
              <c:numCache>
                <c:formatCode>General</c:formatCode>
                <c:ptCount val="19"/>
                <c:pt idx="0">
                  <c:v>7.2575911904761901</c:v>
                </c:pt>
                <c:pt idx="1">
                  <c:v>8.8042909523809527</c:v>
                </c:pt>
                <c:pt idx="2">
                  <c:v>10.350990714285714</c:v>
                </c:pt>
                <c:pt idx="3">
                  <c:v>11.897690476190476</c:v>
                </c:pt>
                <c:pt idx="4">
                  <c:v>13.444390238095236</c:v>
                </c:pt>
                <c:pt idx="5">
                  <c:v>14.991090000000002</c:v>
                </c:pt>
                <c:pt idx="6">
                  <c:v>16.537789761904762</c:v>
                </c:pt>
                <c:pt idx="7">
                  <c:v>18.084489523809523</c:v>
                </c:pt>
                <c:pt idx="8">
                  <c:v>19.631189285714285</c:v>
                </c:pt>
                <c:pt idx="9">
                  <c:v>21.177889047619047</c:v>
                </c:pt>
                <c:pt idx="10">
                  <c:v>22.724588809523809</c:v>
                </c:pt>
                <c:pt idx="11">
                  <c:v>24.271288571428578</c:v>
                </c:pt>
                <c:pt idx="12">
                  <c:v>25.817988333333336</c:v>
                </c:pt>
                <c:pt idx="13">
                  <c:v>27.364688095238098</c:v>
                </c:pt>
                <c:pt idx="14">
                  <c:v>28.911387857142863</c:v>
                </c:pt>
                <c:pt idx="15">
                  <c:v>30.458087619047625</c:v>
                </c:pt>
                <c:pt idx="16">
                  <c:v>32.004787380952394</c:v>
                </c:pt>
                <c:pt idx="17">
                  <c:v>33.551487142857155</c:v>
                </c:pt>
                <c:pt idx="18">
                  <c:v>35.098186904761917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7-484F-A528-61ED98FEF59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Formulas'!$X$37:$AP$37</c:f>
              <c:numCache>
                <c:formatCode>General</c:formatCode>
                <c:ptCount val="19"/>
                <c:pt idx="0">
                  <c:v>8.2051725653333332</c:v>
                </c:pt>
                <c:pt idx="1">
                  <c:v>10.016704170666667</c:v>
                </c:pt>
                <c:pt idx="2">
                  <c:v>11.828235776</c:v>
                </c:pt>
                <c:pt idx="3">
                  <c:v>13.639767381333334</c:v>
                </c:pt>
                <c:pt idx="4">
                  <c:v>15.451298986666666</c:v>
                </c:pt>
                <c:pt idx="5">
                  <c:v>17.262830592</c:v>
                </c:pt>
                <c:pt idx="6">
                  <c:v>19.074362197333333</c:v>
                </c:pt>
                <c:pt idx="7">
                  <c:v>20.885893802666665</c:v>
                </c:pt>
                <c:pt idx="8">
                  <c:v>22.697425407999997</c:v>
                </c:pt>
                <c:pt idx="9">
                  <c:v>24.50895701333333</c:v>
                </c:pt>
                <c:pt idx="10">
                  <c:v>26.320488618666666</c:v>
                </c:pt>
                <c:pt idx="11">
                  <c:v>28.132020223999998</c:v>
                </c:pt>
                <c:pt idx="12">
                  <c:v>29.94355182933333</c:v>
                </c:pt>
                <c:pt idx="13">
                  <c:v>31.75508343466667</c:v>
                </c:pt>
                <c:pt idx="14">
                  <c:v>33.566615040000009</c:v>
                </c:pt>
                <c:pt idx="15">
                  <c:v>35.378146645333338</c:v>
                </c:pt>
                <c:pt idx="16">
                  <c:v>37.189678250666674</c:v>
                </c:pt>
                <c:pt idx="17">
                  <c:v>39.00120985600001</c:v>
                </c:pt>
                <c:pt idx="18">
                  <c:v>40.812741461333346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7-484F-A528-61ED98FE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17416"/>
        <c:axId val="401018400"/>
      </c:scatterChart>
      <c:valAx>
        <c:axId val="4010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8400"/>
        <c:crosses val="autoZero"/>
        <c:crossBetween val="midCat"/>
      </c:valAx>
      <c:valAx>
        <c:axId val="401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9</xdr:row>
      <xdr:rowOff>19050</xdr:rowOff>
    </xdr:from>
    <xdr:to>
      <xdr:col>34</xdr:col>
      <xdr:colOff>238125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514349</xdr:colOff>
      <xdr:row>18</xdr:row>
      <xdr:rowOff>38099</xdr:rowOff>
    </xdr:from>
    <xdr:to>
      <xdr:col>36</xdr:col>
      <xdr:colOff>333374</xdr:colOff>
      <xdr:row>40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opLeftCell="A67" workbookViewId="0">
      <selection activeCell="K92" sqref="K92"/>
    </sheetView>
  </sheetViews>
  <sheetFormatPr defaultRowHeight="15" x14ac:dyDescent="0.25"/>
  <cols>
    <col min="9" max="9" width="13.7109375" customWidth="1"/>
  </cols>
  <sheetData>
    <row r="1" spans="1:15" x14ac:dyDescent="0.25">
      <c r="A1" s="15" t="s">
        <v>0</v>
      </c>
    </row>
    <row r="2" spans="1:15" x14ac:dyDescent="0.25">
      <c r="A2" s="15" t="s">
        <v>1</v>
      </c>
    </row>
    <row r="3" spans="1:15" x14ac:dyDescent="0.25">
      <c r="A3" s="15" t="s">
        <v>2</v>
      </c>
      <c r="H3" t="s">
        <v>3</v>
      </c>
    </row>
    <row r="4" spans="1:15" x14ac:dyDescent="0.25">
      <c r="A4" s="15" t="s">
        <v>2</v>
      </c>
      <c r="G4" t="s">
        <v>4</v>
      </c>
      <c r="H4" t="s">
        <v>5</v>
      </c>
      <c r="J4">
        <v>100</v>
      </c>
      <c r="K4">
        <v>50</v>
      </c>
      <c r="N4" t="s">
        <v>146</v>
      </c>
    </row>
    <row r="5" spans="1:15" x14ac:dyDescent="0.25">
      <c r="A5" s="15" t="s">
        <v>2</v>
      </c>
      <c r="F5" t="s">
        <v>6</v>
      </c>
      <c r="G5" t="s">
        <v>7</v>
      </c>
      <c r="H5" t="s">
        <v>8</v>
      </c>
      <c r="N5" t="s">
        <v>147</v>
      </c>
    </row>
    <row r="6" spans="1:15" x14ac:dyDescent="0.25">
      <c r="A6" s="15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148</v>
      </c>
      <c r="O6" t="s">
        <v>149</v>
      </c>
    </row>
    <row r="7" spans="1:15" x14ac:dyDescent="0.25">
      <c r="A7" s="15" t="s">
        <v>22</v>
      </c>
    </row>
    <row r="8" spans="1:15" x14ac:dyDescent="0.25">
      <c r="A8" s="15" t="s">
        <v>24</v>
      </c>
      <c r="B8">
        <v>2.5</v>
      </c>
      <c r="C8">
        <v>-2.5</v>
      </c>
      <c r="D8">
        <v>5</v>
      </c>
      <c r="E8">
        <v>10</v>
      </c>
      <c r="F8">
        <v>1</v>
      </c>
      <c r="G8">
        <v>0</v>
      </c>
      <c r="H8">
        <v>-0.5</v>
      </c>
      <c r="I8">
        <v>2</v>
      </c>
      <c r="J8">
        <v>23</v>
      </c>
      <c r="K8">
        <v>25</v>
      </c>
      <c r="L8">
        <v>15</v>
      </c>
      <c r="M8">
        <v>0.69</v>
      </c>
      <c r="N8">
        <v>0</v>
      </c>
    </row>
    <row r="9" spans="1:15" x14ac:dyDescent="0.25">
      <c r="A9" s="15" t="s">
        <v>25</v>
      </c>
      <c r="B9">
        <v>5</v>
      </c>
      <c r="C9">
        <v>-5</v>
      </c>
      <c r="D9">
        <v>13</v>
      </c>
      <c r="E9">
        <v>18</v>
      </c>
      <c r="F9">
        <v>1</v>
      </c>
      <c r="G9">
        <v>0</v>
      </c>
      <c r="H9">
        <v>-0.5</v>
      </c>
      <c r="I9">
        <v>2</v>
      </c>
      <c r="J9">
        <v>23</v>
      </c>
      <c r="K9">
        <v>25</v>
      </c>
      <c r="L9">
        <v>25</v>
      </c>
      <c r="M9">
        <v>0.8</v>
      </c>
      <c r="N9">
        <v>0</v>
      </c>
    </row>
    <row r="10" spans="1:15" x14ac:dyDescent="0.25">
      <c r="A10" s="15" t="s">
        <v>26</v>
      </c>
      <c r="B10">
        <v>10</v>
      </c>
      <c r="C10">
        <v>-10</v>
      </c>
      <c r="D10">
        <v>25</v>
      </c>
      <c r="E10">
        <v>41</v>
      </c>
      <c r="F10">
        <v>1</v>
      </c>
      <c r="G10">
        <v>0</v>
      </c>
      <c r="H10">
        <v>-0.5</v>
      </c>
      <c r="I10">
        <v>2</v>
      </c>
      <c r="J10">
        <v>23</v>
      </c>
      <c r="K10">
        <v>25</v>
      </c>
      <c r="L10">
        <v>35</v>
      </c>
      <c r="M10">
        <v>0.75</v>
      </c>
      <c r="N10">
        <v>0</v>
      </c>
    </row>
    <row r="11" spans="1:15" x14ac:dyDescent="0.25">
      <c r="A11" s="15" t="s">
        <v>27</v>
      </c>
      <c r="B11">
        <v>5</v>
      </c>
      <c r="C11">
        <v>-5</v>
      </c>
      <c r="D11">
        <v>6</v>
      </c>
      <c r="E11">
        <v>12</v>
      </c>
      <c r="F11">
        <v>1</v>
      </c>
      <c r="G11">
        <v>0</v>
      </c>
      <c r="H11">
        <v>-0.5</v>
      </c>
      <c r="I11">
        <v>2</v>
      </c>
      <c r="J11">
        <v>23</v>
      </c>
      <c r="K11">
        <v>25</v>
      </c>
      <c r="L11">
        <v>15</v>
      </c>
      <c r="M11">
        <v>0.82</v>
      </c>
      <c r="N11">
        <v>0</v>
      </c>
    </row>
    <row r="12" spans="1:15" x14ac:dyDescent="0.25">
      <c r="A12" s="15" t="s">
        <v>28</v>
      </c>
      <c r="B12">
        <v>10</v>
      </c>
      <c r="C12">
        <v>-10</v>
      </c>
      <c r="D12">
        <v>15</v>
      </c>
      <c r="E12">
        <v>22</v>
      </c>
      <c r="F12">
        <v>1</v>
      </c>
      <c r="G12">
        <v>0</v>
      </c>
      <c r="H12">
        <v>-0.5</v>
      </c>
      <c r="I12">
        <v>2</v>
      </c>
      <c r="J12">
        <v>23</v>
      </c>
      <c r="K12">
        <v>25</v>
      </c>
      <c r="L12">
        <v>25</v>
      </c>
      <c r="M12">
        <v>0.8</v>
      </c>
      <c r="N12">
        <v>0</v>
      </c>
    </row>
    <row r="13" spans="1:15" x14ac:dyDescent="0.25">
      <c r="A13" s="15" t="s">
        <v>29</v>
      </c>
      <c r="B13">
        <v>20</v>
      </c>
      <c r="C13">
        <v>-20</v>
      </c>
      <c r="D13">
        <v>32</v>
      </c>
      <c r="E13">
        <v>47</v>
      </c>
      <c r="F13">
        <v>1</v>
      </c>
      <c r="G13">
        <v>0</v>
      </c>
      <c r="H13">
        <v>-0.5</v>
      </c>
      <c r="I13">
        <v>2</v>
      </c>
      <c r="J13">
        <v>23</v>
      </c>
      <c r="K13">
        <v>25</v>
      </c>
      <c r="L13">
        <v>35</v>
      </c>
      <c r="M13">
        <v>0.75</v>
      </c>
      <c r="N13">
        <v>0</v>
      </c>
    </row>
    <row r="14" spans="1:15" x14ac:dyDescent="0.25">
      <c r="A14" s="15" t="s">
        <v>30</v>
      </c>
      <c r="B14">
        <v>7.5</v>
      </c>
      <c r="C14">
        <v>-7.5</v>
      </c>
      <c r="D14">
        <v>8</v>
      </c>
      <c r="E14">
        <v>13</v>
      </c>
      <c r="F14">
        <v>1</v>
      </c>
      <c r="G14">
        <v>0</v>
      </c>
      <c r="H14">
        <v>-0.5</v>
      </c>
      <c r="I14">
        <v>2</v>
      </c>
      <c r="J14">
        <v>23</v>
      </c>
      <c r="K14">
        <v>25</v>
      </c>
      <c r="L14">
        <v>15</v>
      </c>
      <c r="M14">
        <v>0.82</v>
      </c>
      <c r="N14">
        <v>0</v>
      </c>
    </row>
    <row r="15" spans="1:15" x14ac:dyDescent="0.25">
      <c r="A15" s="15" t="s">
        <v>31</v>
      </c>
      <c r="B15">
        <v>15</v>
      </c>
      <c r="C15">
        <v>-15</v>
      </c>
      <c r="D15">
        <v>16</v>
      </c>
      <c r="E15">
        <v>27</v>
      </c>
      <c r="F15">
        <v>1</v>
      </c>
      <c r="G15">
        <v>0</v>
      </c>
      <c r="H15">
        <v>-0.5</v>
      </c>
      <c r="I15">
        <v>2</v>
      </c>
      <c r="J15">
        <v>23</v>
      </c>
      <c r="K15">
        <v>25</v>
      </c>
      <c r="L15">
        <v>25</v>
      </c>
      <c r="M15">
        <v>0.8</v>
      </c>
      <c r="N15">
        <v>0</v>
      </c>
    </row>
    <row r="16" spans="1:15" x14ac:dyDescent="0.25">
      <c r="A16" s="15" t="s">
        <v>32</v>
      </c>
      <c r="B16">
        <v>30</v>
      </c>
      <c r="C16">
        <v>-30</v>
      </c>
      <c r="D16">
        <v>35</v>
      </c>
      <c r="E16">
        <v>57</v>
      </c>
      <c r="F16">
        <v>1</v>
      </c>
      <c r="G16">
        <v>0</v>
      </c>
      <c r="H16">
        <v>-0.5</v>
      </c>
      <c r="I16">
        <v>2</v>
      </c>
      <c r="J16">
        <v>23</v>
      </c>
      <c r="K16">
        <v>25</v>
      </c>
      <c r="L16">
        <v>35</v>
      </c>
      <c r="M16">
        <v>0.75</v>
      </c>
      <c r="N16">
        <v>0</v>
      </c>
    </row>
    <row r="17" spans="1:14" x14ac:dyDescent="0.25">
      <c r="A17" s="15" t="s">
        <v>33</v>
      </c>
      <c r="B17">
        <v>10</v>
      </c>
      <c r="C17">
        <v>-10</v>
      </c>
      <c r="D17">
        <v>9</v>
      </c>
      <c r="E17">
        <v>15</v>
      </c>
      <c r="F17">
        <v>1</v>
      </c>
      <c r="G17">
        <v>0</v>
      </c>
      <c r="H17">
        <v>-0.5</v>
      </c>
      <c r="I17">
        <v>2</v>
      </c>
      <c r="J17">
        <v>23</v>
      </c>
      <c r="K17">
        <v>25</v>
      </c>
      <c r="L17">
        <v>15</v>
      </c>
      <c r="M17">
        <v>0.82</v>
      </c>
      <c r="N17">
        <v>0</v>
      </c>
    </row>
    <row r="18" spans="1:14" x14ac:dyDescent="0.25">
      <c r="A18" s="15" t="s">
        <v>34</v>
      </c>
      <c r="B18">
        <v>20</v>
      </c>
      <c r="C18">
        <v>-20</v>
      </c>
      <c r="D18">
        <v>18</v>
      </c>
      <c r="E18">
        <v>31</v>
      </c>
      <c r="F18">
        <v>1</v>
      </c>
      <c r="G18">
        <v>0</v>
      </c>
      <c r="H18">
        <v>-0.5</v>
      </c>
      <c r="I18">
        <v>2</v>
      </c>
      <c r="J18">
        <v>23</v>
      </c>
      <c r="K18">
        <v>25</v>
      </c>
      <c r="L18">
        <v>25</v>
      </c>
      <c r="M18">
        <v>0.8</v>
      </c>
      <c r="N18">
        <v>0</v>
      </c>
    </row>
    <row r="19" spans="1:14" x14ac:dyDescent="0.25">
      <c r="A19" s="15" t="s">
        <v>35</v>
      </c>
      <c r="B19">
        <v>40</v>
      </c>
      <c r="C19">
        <v>-40</v>
      </c>
      <c r="D19">
        <v>39</v>
      </c>
      <c r="E19">
        <v>66</v>
      </c>
      <c r="F19">
        <v>1</v>
      </c>
      <c r="G19">
        <v>0</v>
      </c>
      <c r="H19">
        <v>-0.5</v>
      </c>
      <c r="I19">
        <v>2</v>
      </c>
      <c r="J19">
        <v>23</v>
      </c>
      <c r="K19">
        <v>25</v>
      </c>
      <c r="L19">
        <v>35</v>
      </c>
      <c r="M19">
        <v>0.75</v>
      </c>
      <c r="N19">
        <v>0</v>
      </c>
    </row>
    <row r="20" spans="1:14" x14ac:dyDescent="0.25">
      <c r="A20" s="15" t="s">
        <v>36</v>
      </c>
      <c r="B20">
        <v>12.5</v>
      </c>
      <c r="C20">
        <v>-12.5</v>
      </c>
      <c r="D20">
        <v>11</v>
      </c>
      <c r="E20">
        <v>16</v>
      </c>
      <c r="F20">
        <v>1</v>
      </c>
      <c r="G20">
        <v>0</v>
      </c>
      <c r="H20">
        <v>-0.5</v>
      </c>
      <c r="I20">
        <v>2</v>
      </c>
      <c r="J20">
        <v>23</v>
      </c>
      <c r="K20">
        <v>25</v>
      </c>
      <c r="L20">
        <v>15</v>
      </c>
      <c r="M20">
        <v>0.82</v>
      </c>
      <c r="N20">
        <v>0</v>
      </c>
    </row>
    <row r="21" spans="1:14" x14ac:dyDescent="0.25">
      <c r="A21" s="15" t="s">
        <v>37</v>
      </c>
      <c r="B21">
        <v>25</v>
      </c>
      <c r="C21">
        <v>-25</v>
      </c>
      <c r="D21">
        <v>19</v>
      </c>
      <c r="E21">
        <v>36</v>
      </c>
      <c r="F21">
        <v>1</v>
      </c>
      <c r="G21">
        <v>0</v>
      </c>
      <c r="H21">
        <v>-0.5</v>
      </c>
      <c r="I21">
        <v>2</v>
      </c>
      <c r="J21">
        <v>23</v>
      </c>
      <c r="K21">
        <v>25</v>
      </c>
      <c r="L21">
        <v>25</v>
      </c>
      <c r="M21">
        <v>0.8</v>
      </c>
      <c r="N21">
        <v>0</v>
      </c>
    </row>
    <row r="22" spans="1:14" x14ac:dyDescent="0.25">
      <c r="A22" s="15" t="s">
        <v>38</v>
      </c>
      <c r="B22">
        <v>50</v>
      </c>
      <c r="C22">
        <v>-50</v>
      </c>
      <c r="D22">
        <v>42</v>
      </c>
      <c r="E22">
        <v>76</v>
      </c>
      <c r="F22">
        <v>1</v>
      </c>
      <c r="G22">
        <v>0</v>
      </c>
      <c r="H22">
        <v>-0.5</v>
      </c>
      <c r="I22">
        <v>2</v>
      </c>
      <c r="J22">
        <v>23</v>
      </c>
      <c r="K22">
        <v>25</v>
      </c>
      <c r="L22">
        <v>35</v>
      </c>
      <c r="M22">
        <v>0.75</v>
      </c>
      <c r="N22">
        <v>0</v>
      </c>
    </row>
    <row r="23" spans="1:14" x14ac:dyDescent="0.25">
      <c r="A23" s="15" t="s">
        <v>150</v>
      </c>
    </row>
    <row r="24" spans="1:14" x14ac:dyDescent="0.25">
      <c r="A24" s="15" t="s">
        <v>151</v>
      </c>
      <c r="B24">
        <v>0</v>
      </c>
      <c r="C24">
        <v>0</v>
      </c>
      <c r="D24">
        <v>5</v>
      </c>
      <c r="E24">
        <v>10</v>
      </c>
      <c r="F24">
        <v>1</v>
      </c>
      <c r="G24">
        <v>0</v>
      </c>
      <c r="H24">
        <v>0.5</v>
      </c>
      <c r="I24">
        <v>2</v>
      </c>
      <c r="J24">
        <v>18</v>
      </c>
      <c r="K24">
        <v>25</v>
      </c>
      <c r="L24">
        <v>15</v>
      </c>
      <c r="M24">
        <v>0.85</v>
      </c>
      <c r="N24">
        <v>0</v>
      </c>
    </row>
    <row r="25" spans="1:14" x14ac:dyDescent="0.25">
      <c r="A25" s="15" t="s">
        <v>152</v>
      </c>
      <c r="B25">
        <v>0</v>
      </c>
      <c r="C25">
        <v>0</v>
      </c>
      <c r="D25">
        <v>13</v>
      </c>
      <c r="E25">
        <v>18</v>
      </c>
      <c r="F25">
        <v>1</v>
      </c>
      <c r="G25">
        <v>0</v>
      </c>
      <c r="H25">
        <v>0.5</v>
      </c>
      <c r="I25">
        <v>2</v>
      </c>
      <c r="J25">
        <v>18</v>
      </c>
      <c r="K25">
        <v>25</v>
      </c>
      <c r="L25">
        <v>25</v>
      </c>
      <c r="M25">
        <v>0.82</v>
      </c>
      <c r="N25">
        <v>0</v>
      </c>
    </row>
    <row r="26" spans="1:14" x14ac:dyDescent="0.25">
      <c r="A26" s="15" t="s">
        <v>153</v>
      </c>
      <c r="B26">
        <v>0</v>
      </c>
      <c r="C26">
        <v>0</v>
      </c>
      <c r="D26">
        <v>25</v>
      </c>
      <c r="E26">
        <v>41</v>
      </c>
      <c r="F26">
        <v>1</v>
      </c>
      <c r="G26">
        <v>0</v>
      </c>
      <c r="H26">
        <v>0.5</v>
      </c>
      <c r="I26">
        <v>2</v>
      </c>
      <c r="J26">
        <v>18</v>
      </c>
      <c r="K26">
        <v>25</v>
      </c>
      <c r="L26">
        <v>35</v>
      </c>
      <c r="M26">
        <v>0.79</v>
      </c>
      <c r="N26">
        <v>0</v>
      </c>
    </row>
    <row r="27" spans="1:14" x14ac:dyDescent="0.25">
      <c r="A27" s="15" t="s">
        <v>39</v>
      </c>
    </row>
    <row r="28" spans="1:14" x14ac:dyDescent="0.25">
      <c r="A28" s="15" t="s">
        <v>40</v>
      </c>
      <c r="B28">
        <v>100</v>
      </c>
      <c r="C28">
        <v>-100</v>
      </c>
      <c r="D28">
        <v>74</v>
      </c>
      <c r="E28">
        <v>213</v>
      </c>
      <c r="F28">
        <v>1</v>
      </c>
      <c r="G28">
        <v>0</v>
      </c>
      <c r="H28">
        <v>1</v>
      </c>
      <c r="I28">
        <v>22</v>
      </c>
      <c r="J28">
        <v>35</v>
      </c>
      <c r="K28">
        <v>60</v>
      </c>
      <c r="L28">
        <v>60</v>
      </c>
      <c r="M28">
        <v>0.9</v>
      </c>
      <c r="N28">
        <v>0</v>
      </c>
    </row>
    <row r="29" spans="1:14" x14ac:dyDescent="0.25">
      <c r="A29" s="15" t="s">
        <v>41</v>
      </c>
      <c r="B29">
        <v>120</v>
      </c>
      <c r="C29">
        <v>-120</v>
      </c>
      <c r="D29">
        <v>85</v>
      </c>
      <c r="E29">
        <v>232</v>
      </c>
      <c r="F29">
        <v>1</v>
      </c>
      <c r="G29">
        <v>0</v>
      </c>
      <c r="H29">
        <v>1</v>
      </c>
      <c r="I29">
        <v>22</v>
      </c>
      <c r="J29">
        <v>35</v>
      </c>
      <c r="K29">
        <v>60</v>
      </c>
      <c r="L29">
        <v>60</v>
      </c>
      <c r="M29">
        <v>0.9</v>
      </c>
      <c r="N29">
        <v>0</v>
      </c>
    </row>
    <row r="30" spans="1:14" x14ac:dyDescent="0.25">
      <c r="A30" s="15" t="s">
        <v>42</v>
      </c>
    </row>
    <row r="31" spans="1:14" x14ac:dyDescent="0.25">
      <c r="A31" s="15" t="s">
        <v>43</v>
      </c>
      <c r="B31">
        <v>7.5</v>
      </c>
      <c r="C31">
        <v>-7.5</v>
      </c>
      <c r="D31">
        <v>8</v>
      </c>
      <c r="E31">
        <v>14</v>
      </c>
      <c r="F31">
        <v>1</v>
      </c>
      <c r="G31">
        <v>0</v>
      </c>
      <c r="H31">
        <v>1</v>
      </c>
      <c r="I31">
        <v>2</v>
      </c>
      <c r="J31">
        <v>25</v>
      </c>
      <c r="K31">
        <v>30</v>
      </c>
      <c r="L31">
        <v>20</v>
      </c>
      <c r="M31">
        <v>0.82</v>
      </c>
      <c r="N31">
        <v>0</v>
      </c>
    </row>
    <row r="32" spans="1:14" x14ac:dyDescent="0.25">
      <c r="A32" s="15" t="s">
        <v>44</v>
      </c>
      <c r="B32">
        <v>15</v>
      </c>
      <c r="C32">
        <v>-15</v>
      </c>
      <c r="D32">
        <v>18</v>
      </c>
      <c r="E32">
        <v>27</v>
      </c>
      <c r="F32">
        <v>1</v>
      </c>
      <c r="G32">
        <v>0</v>
      </c>
      <c r="H32">
        <v>1</v>
      </c>
      <c r="I32">
        <v>2</v>
      </c>
      <c r="J32">
        <v>25</v>
      </c>
      <c r="K32">
        <v>30</v>
      </c>
      <c r="L32">
        <v>30</v>
      </c>
      <c r="M32">
        <v>0.8</v>
      </c>
      <c r="N32">
        <v>0</v>
      </c>
    </row>
    <row r="33" spans="1:14" x14ac:dyDescent="0.25">
      <c r="A33" s="15" t="s">
        <v>45</v>
      </c>
      <c r="B33">
        <v>30</v>
      </c>
      <c r="C33">
        <v>-30</v>
      </c>
      <c r="D33">
        <v>35</v>
      </c>
      <c r="E33">
        <v>61</v>
      </c>
      <c r="F33">
        <v>1</v>
      </c>
      <c r="G33">
        <v>0</v>
      </c>
      <c r="H33">
        <v>1</v>
      </c>
      <c r="I33">
        <v>2</v>
      </c>
      <c r="J33">
        <v>25</v>
      </c>
      <c r="K33">
        <v>30</v>
      </c>
      <c r="L33">
        <v>40</v>
      </c>
      <c r="M33">
        <v>0.75</v>
      </c>
      <c r="N33">
        <v>0</v>
      </c>
    </row>
    <row r="34" spans="1:14" x14ac:dyDescent="0.25">
      <c r="A34" s="15" t="s">
        <v>46</v>
      </c>
      <c r="B34">
        <v>10</v>
      </c>
      <c r="C34">
        <v>-10</v>
      </c>
      <c r="D34">
        <v>9</v>
      </c>
      <c r="E34">
        <v>17</v>
      </c>
      <c r="F34">
        <v>1</v>
      </c>
      <c r="G34">
        <v>0</v>
      </c>
      <c r="H34">
        <v>1</v>
      </c>
      <c r="I34">
        <v>2</v>
      </c>
      <c r="J34">
        <v>25</v>
      </c>
      <c r="K34">
        <v>30</v>
      </c>
      <c r="L34">
        <v>20</v>
      </c>
      <c r="M34">
        <v>0.82</v>
      </c>
      <c r="N34">
        <v>0</v>
      </c>
    </row>
    <row r="35" spans="1:14" x14ac:dyDescent="0.25">
      <c r="A35" s="15" t="s">
        <v>47</v>
      </c>
      <c r="B35">
        <v>20</v>
      </c>
      <c r="C35">
        <v>-20</v>
      </c>
      <c r="D35">
        <v>22</v>
      </c>
      <c r="E35">
        <v>31</v>
      </c>
      <c r="F35">
        <v>1</v>
      </c>
      <c r="G35">
        <v>0</v>
      </c>
      <c r="H35">
        <v>1</v>
      </c>
      <c r="I35">
        <v>2</v>
      </c>
      <c r="J35">
        <v>25</v>
      </c>
      <c r="K35">
        <v>30</v>
      </c>
      <c r="L35">
        <v>30</v>
      </c>
      <c r="M35">
        <v>0.8</v>
      </c>
      <c r="N35">
        <v>0</v>
      </c>
    </row>
    <row r="36" spans="1:14" x14ac:dyDescent="0.25">
      <c r="A36" s="15" t="s">
        <v>48</v>
      </c>
      <c r="B36">
        <v>40</v>
      </c>
      <c r="C36">
        <v>-40</v>
      </c>
      <c r="D36">
        <v>45</v>
      </c>
      <c r="E36">
        <v>69</v>
      </c>
      <c r="F36">
        <v>1</v>
      </c>
      <c r="G36">
        <v>0</v>
      </c>
      <c r="H36">
        <v>1</v>
      </c>
      <c r="I36">
        <v>2</v>
      </c>
      <c r="J36">
        <v>25</v>
      </c>
      <c r="K36">
        <v>30</v>
      </c>
      <c r="L36">
        <v>40</v>
      </c>
      <c r="M36">
        <v>0.75</v>
      </c>
      <c r="N36">
        <v>0</v>
      </c>
    </row>
    <row r="37" spans="1:14" x14ac:dyDescent="0.25">
      <c r="A37" s="15" t="s">
        <v>49</v>
      </c>
      <c r="B37">
        <v>12.5</v>
      </c>
      <c r="C37">
        <v>-12.5</v>
      </c>
      <c r="D37">
        <v>11</v>
      </c>
      <c r="E37">
        <v>19</v>
      </c>
      <c r="F37">
        <v>1</v>
      </c>
      <c r="G37">
        <v>0</v>
      </c>
      <c r="H37">
        <v>1</v>
      </c>
      <c r="I37">
        <v>2</v>
      </c>
      <c r="J37">
        <v>25</v>
      </c>
      <c r="K37">
        <v>30</v>
      </c>
      <c r="L37">
        <v>20</v>
      </c>
      <c r="M37">
        <v>0.82</v>
      </c>
      <c r="N37">
        <v>0</v>
      </c>
    </row>
    <row r="38" spans="1:14" x14ac:dyDescent="0.25">
      <c r="A38" s="15" t="s">
        <v>50</v>
      </c>
      <c r="B38">
        <v>25</v>
      </c>
      <c r="C38">
        <v>-25</v>
      </c>
      <c r="D38">
        <v>24</v>
      </c>
      <c r="E38">
        <v>38</v>
      </c>
      <c r="F38">
        <v>1</v>
      </c>
      <c r="G38">
        <v>0</v>
      </c>
      <c r="H38">
        <v>1</v>
      </c>
      <c r="I38">
        <v>2</v>
      </c>
      <c r="J38">
        <v>25</v>
      </c>
      <c r="K38">
        <v>30</v>
      </c>
      <c r="L38">
        <v>30</v>
      </c>
      <c r="M38">
        <v>0.8</v>
      </c>
      <c r="N38">
        <v>0</v>
      </c>
    </row>
    <row r="39" spans="1:14" x14ac:dyDescent="0.25">
      <c r="A39" s="15" t="s">
        <v>51</v>
      </c>
      <c r="B39">
        <v>50</v>
      </c>
      <c r="C39">
        <v>-50</v>
      </c>
      <c r="D39">
        <v>48</v>
      </c>
      <c r="E39">
        <v>83</v>
      </c>
      <c r="F39">
        <v>1</v>
      </c>
      <c r="G39">
        <v>0</v>
      </c>
      <c r="H39">
        <v>1</v>
      </c>
      <c r="I39">
        <v>2</v>
      </c>
      <c r="J39">
        <v>25</v>
      </c>
      <c r="K39">
        <v>30</v>
      </c>
      <c r="L39">
        <v>40</v>
      </c>
      <c r="M39">
        <v>0.75</v>
      </c>
      <c r="N39">
        <v>0</v>
      </c>
    </row>
    <row r="40" spans="1:14" x14ac:dyDescent="0.25">
      <c r="A40" s="15" t="s">
        <v>52</v>
      </c>
    </row>
    <row r="41" spans="1:14" x14ac:dyDescent="0.25">
      <c r="A41" s="15" t="s">
        <v>53</v>
      </c>
      <c r="B41">
        <v>100</v>
      </c>
      <c r="C41">
        <v>-100</v>
      </c>
      <c r="D41">
        <v>1</v>
      </c>
      <c r="E41">
        <v>172</v>
      </c>
      <c r="F41">
        <v>0.5</v>
      </c>
      <c r="G41">
        <v>0.5</v>
      </c>
      <c r="H41">
        <v>0.5</v>
      </c>
      <c r="I41">
        <v>22</v>
      </c>
      <c r="J41">
        <v>30</v>
      </c>
      <c r="K41">
        <v>40</v>
      </c>
      <c r="L41">
        <v>60</v>
      </c>
      <c r="M41">
        <v>1</v>
      </c>
      <c r="N41">
        <v>0</v>
      </c>
    </row>
    <row r="42" spans="1:14" x14ac:dyDescent="0.25">
      <c r="A42" s="15" t="s">
        <v>54</v>
      </c>
      <c r="B42">
        <v>120</v>
      </c>
      <c r="C42">
        <v>-120</v>
      </c>
      <c r="D42">
        <v>1</v>
      </c>
      <c r="E42">
        <v>195</v>
      </c>
      <c r="F42">
        <v>0.5</v>
      </c>
      <c r="G42">
        <v>0.5</v>
      </c>
      <c r="H42">
        <v>0.5</v>
      </c>
      <c r="I42">
        <v>22</v>
      </c>
      <c r="J42">
        <v>30</v>
      </c>
      <c r="K42">
        <v>40</v>
      </c>
      <c r="L42">
        <v>60</v>
      </c>
      <c r="M42">
        <v>1</v>
      </c>
      <c r="N42">
        <v>0</v>
      </c>
    </row>
    <row r="43" spans="1:14" x14ac:dyDescent="0.25">
      <c r="A43" s="15" t="s">
        <v>55</v>
      </c>
    </row>
    <row r="44" spans="1:14" x14ac:dyDescent="0.25">
      <c r="A44" s="15" t="s">
        <v>56</v>
      </c>
      <c r="B44">
        <v>7.5</v>
      </c>
      <c r="C44">
        <v>-7.5</v>
      </c>
      <c r="D44">
        <v>6</v>
      </c>
      <c r="E44">
        <v>10</v>
      </c>
      <c r="F44">
        <v>2</v>
      </c>
      <c r="G44">
        <v>0</v>
      </c>
      <c r="H44">
        <v>0</v>
      </c>
      <c r="I44">
        <v>2</v>
      </c>
      <c r="J44">
        <v>20</v>
      </c>
      <c r="K44">
        <v>25</v>
      </c>
      <c r="L44">
        <v>20</v>
      </c>
      <c r="M44">
        <v>0.82</v>
      </c>
      <c r="N44">
        <v>0</v>
      </c>
    </row>
    <row r="45" spans="1:14" x14ac:dyDescent="0.25">
      <c r="A45" s="15" t="s">
        <v>57</v>
      </c>
      <c r="B45">
        <v>15</v>
      </c>
      <c r="C45">
        <v>-15</v>
      </c>
      <c r="D45">
        <v>11</v>
      </c>
      <c r="E45">
        <v>22</v>
      </c>
      <c r="F45">
        <v>2</v>
      </c>
      <c r="G45">
        <v>0</v>
      </c>
      <c r="H45">
        <v>0</v>
      </c>
      <c r="I45">
        <v>2</v>
      </c>
      <c r="J45">
        <v>20</v>
      </c>
      <c r="K45">
        <v>25</v>
      </c>
      <c r="L45">
        <v>30</v>
      </c>
      <c r="M45">
        <v>0.8</v>
      </c>
      <c r="N45">
        <v>0</v>
      </c>
    </row>
    <row r="46" spans="1:14" x14ac:dyDescent="0.25">
      <c r="A46" s="15" t="s">
        <v>58</v>
      </c>
      <c r="B46">
        <v>30</v>
      </c>
      <c r="C46">
        <v>-30</v>
      </c>
      <c r="D46">
        <v>23</v>
      </c>
      <c r="E46">
        <v>48</v>
      </c>
      <c r="F46">
        <v>2</v>
      </c>
      <c r="G46">
        <v>0</v>
      </c>
      <c r="H46">
        <v>0</v>
      </c>
      <c r="I46">
        <v>2</v>
      </c>
      <c r="J46">
        <v>20</v>
      </c>
      <c r="K46">
        <v>25</v>
      </c>
      <c r="L46">
        <v>40</v>
      </c>
      <c r="M46">
        <v>0.75</v>
      </c>
      <c r="N46">
        <v>0</v>
      </c>
    </row>
    <row r="47" spans="1:14" x14ac:dyDescent="0.25">
      <c r="A47" s="15" t="s">
        <v>59</v>
      </c>
      <c r="B47">
        <v>10</v>
      </c>
      <c r="C47">
        <v>-10</v>
      </c>
      <c r="D47">
        <v>8</v>
      </c>
      <c r="E47">
        <v>11</v>
      </c>
      <c r="F47">
        <v>2</v>
      </c>
      <c r="G47">
        <v>0</v>
      </c>
      <c r="H47">
        <v>0</v>
      </c>
      <c r="I47">
        <v>2</v>
      </c>
      <c r="J47">
        <v>20</v>
      </c>
      <c r="K47">
        <v>25</v>
      </c>
      <c r="L47">
        <v>20</v>
      </c>
      <c r="M47">
        <v>0.82</v>
      </c>
      <c r="N47">
        <v>0</v>
      </c>
    </row>
    <row r="48" spans="1:14" x14ac:dyDescent="0.25">
      <c r="A48" s="15" t="s">
        <v>60</v>
      </c>
      <c r="B48">
        <v>20</v>
      </c>
      <c r="C48">
        <v>-20</v>
      </c>
      <c r="D48">
        <v>12</v>
      </c>
      <c r="E48">
        <v>27</v>
      </c>
      <c r="F48">
        <v>2</v>
      </c>
      <c r="G48">
        <v>0</v>
      </c>
      <c r="H48">
        <v>0</v>
      </c>
      <c r="I48">
        <v>2</v>
      </c>
      <c r="J48">
        <v>20</v>
      </c>
      <c r="K48">
        <v>25</v>
      </c>
      <c r="L48">
        <v>30</v>
      </c>
      <c r="M48">
        <v>0.8</v>
      </c>
      <c r="N48">
        <v>0</v>
      </c>
    </row>
    <row r="49" spans="1:14" x14ac:dyDescent="0.25">
      <c r="A49" s="15" t="s">
        <v>61</v>
      </c>
      <c r="B49">
        <v>40</v>
      </c>
      <c r="C49">
        <v>-40</v>
      </c>
      <c r="D49">
        <v>28</v>
      </c>
      <c r="E49">
        <v>56</v>
      </c>
      <c r="F49">
        <v>2</v>
      </c>
      <c r="G49">
        <v>0</v>
      </c>
      <c r="H49">
        <v>0</v>
      </c>
      <c r="I49">
        <v>2</v>
      </c>
      <c r="J49">
        <v>20</v>
      </c>
      <c r="K49">
        <v>25</v>
      </c>
      <c r="L49">
        <v>40</v>
      </c>
      <c r="M49">
        <v>0.75</v>
      </c>
      <c r="N49">
        <v>0</v>
      </c>
    </row>
    <row r="50" spans="1:14" x14ac:dyDescent="0.25">
      <c r="A50" s="15" t="s">
        <v>62</v>
      </c>
      <c r="B50">
        <v>12.5</v>
      </c>
      <c r="C50">
        <v>-12.5</v>
      </c>
      <c r="D50">
        <v>9</v>
      </c>
      <c r="E50">
        <v>13</v>
      </c>
      <c r="F50">
        <v>2</v>
      </c>
      <c r="G50">
        <v>0</v>
      </c>
      <c r="H50">
        <v>0</v>
      </c>
      <c r="I50">
        <v>2</v>
      </c>
      <c r="J50">
        <v>20</v>
      </c>
      <c r="K50">
        <v>25</v>
      </c>
      <c r="L50">
        <v>20</v>
      </c>
      <c r="M50">
        <v>0.82</v>
      </c>
      <c r="N50">
        <v>0</v>
      </c>
    </row>
    <row r="51" spans="1:14" x14ac:dyDescent="0.25">
      <c r="A51" s="15" t="s">
        <v>63</v>
      </c>
      <c r="B51">
        <v>25</v>
      </c>
      <c r="C51">
        <v>-25</v>
      </c>
      <c r="D51">
        <v>14</v>
      </c>
      <c r="E51">
        <v>31</v>
      </c>
      <c r="F51">
        <v>2</v>
      </c>
      <c r="G51">
        <v>0</v>
      </c>
      <c r="H51">
        <v>0</v>
      </c>
      <c r="I51">
        <v>2</v>
      </c>
      <c r="J51">
        <v>20</v>
      </c>
      <c r="K51">
        <v>25</v>
      </c>
      <c r="L51">
        <v>30</v>
      </c>
      <c r="M51">
        <v>0.8</v>
      </c>
      <c r="N51">
        <v>0</v>
      </c>
    </row>
    <row r="52" spans="1:14" x14ac:dyDescent="0.25">
      <c r="A52" s="15" t="s">
        <v>64</v>
      </c>
      <c r="B52">
        <v>50</v>
      </c>
      <c r="C52">
        <v>-50</v>
      </c>
      <c r="D52">
        <v>31</v>
      </c>
      <c r="E52">
        <v>66</v>
      </c>
      <c r="F52">
        <v>2</v>
      </c>
      <c r="G52">
        <v>0</v>
      </c>
      <c r="H52">
        <v>0</v>
      </c>
      <c r="I52">
        <v>2</v>
      </c>
      <c r="J52">
        <v>20</v>
      </c>
      <c r="K52">
        <v>25</v>
      </c>
      <c r="L52">
        <v>40</v>
      </c>
      <c r="M52">
        <v>0.75</v>
      </c>
      <c r="N52">
        <v>0</v>
      </c>
    </row>
    <row r="53" spans="1:14" x14ac:dyDescent="0.25">
      <c r="A53" s="15" t="s">
        <v>65</v>
      </c>
    </row>
    <row r="54" spans="1:14" x14ac:dyDescent="0.25">
      <c r="A54" s="15" t="s">
        <v>66</v>
      </c>
      <c r="B54">
        <v>100</v>
      </c>
      <c r="C54">
        <v>-100</v>
      </c>
      <c r="D54">
        <v>69</v>
      </c>
      <c r="E54">
        <v>127.5</v>
      </c>
      <c r="F54">
        <v>0</v>
      </c>
      <c r="G54">
        <v>1</v>
      </c>
      <c r="H54">
        <v>0</v>
      </c>
      <c r="I54">
        <v>2</v>
      </c>
      <c r="J54">
        <v>23</v>
      </c>
      <c r="K54">
        <v>55</v>
      </c>
      <c r="L54">
        <v>50</v>
      </c>
      <c r="M54">
        <v>0.95</v>
      </c>
      <c r="N54">
        <v>5</v>
      </c>
    </row>
    <row r="55" spans="1:14" x14ac:dyDescent="0.25">
      <c r="A55" s="15" t="s">
        <v>67</v>
      </c>
      <c r="B55">
        <v>120</v>
      </c>
      <c r="C55">
        <v>-120</v>
      </c>
      <c r="D55">
        <v>78</v>
      </c>
      <c r="E55">
        <v>144</v>
      </c>
      <c r="F55">
        <v>0</v>
      </c>
      <c r="G55">
        <v>1</v>
      </c>
      <c r="H55">
        <v>0</v>
      </c>
      <c r="I55">
        <v>2</v>
      </c>
      <c r="J55">
        <v>23</v>
      </c>
      <c r="K55">
        <v>55</v>
      </c>
      <c r="L55">
        <v>50</v>
      </c>
      <c r="M55">
        <v>0.95</v>
      </c>
      <c r="N55">
        <v>5</v>
      </c>
    </row>
    <row r="56" spans="1:14" x14ac:dyDescent="0.25">
      <c r="A56" s="15" t="s">
        <v>68</v>
      </c>
    </row>
    <row r="57" spans="1:14" x14ac:dyDescent="0.25">
      <c r="A57" s="15" t="s">
        <v>69</v>
      </c>
      <c r="B57">
        <v>2.5</v>
      </c>
      <c r="C57">
        <v>-2.5</v>
      </c>
      <c r="D57">
        <v>3</v>
      </c>
      <c r="E57">
        <v>15</v>
      </c>
      <c r="F57">
        <v>1</v>
      </c>
      <c r="G57">
        <v>0</v>
      </c>
      <c r="H57">
        <v>0</v>
      </c>
      <c r="I57">
        <v>2</v>
      </c>
      <c r="J57">
        <v>23</v>
      </c>
      <c r="K57">
        <v>25</v>
      </c>
      <c r="L57">
        <v>20</v>
      </c>
      <c r="M57">
        <v>0.76</v>
      </c>
      <c r="N57">
        <v>0</v>
      </c>
    </row>
    <row r="58" spans="1:14" x14ac:dyDescent="0.25">
      <c r="A58" s="15" t="s">
        <v>70</v>
      </c>
      <c r="B58">
        <v>5</v>
      </c>
      <c r="C58">
        <v>-5</v>
      </c>
      <c r="D58">
        <v>6</v>
      </c>
      <c r="E58">
        <v>31</v>
      </c>
      <c r="F58">
        <v>1</v>
      </c>
      <c r="G58">
        <v>0</v>
      </c>
      <c r="H58">
        <v>0</v>
      </c>
      <c r="I58">
        <v>2</v>
      </c>
      <c r="J58">
        <v>23</v>
      </c>
      <c r="K58">
        <v>25</v>
      </c>
      <c r="L58">
        <v>30</v>
      </c>
      <c r="M58">
        <v>0.72</v>
      </c>
      <c r="N58">
        <v>0</v>
      </c>
    </row>
    <row r="59" spans="1:14" x14ac:dyDescent="0.25">
      <c r="A59" s="15" t="s">
        <v>71</v>
      </c>
      <c r="B59">
        <v>10</v>
      </c>
      <c r="C59">
        <v>-10</v>
      </c>
      <c r="D59">
        <v>16</v>
      </c>
      <c r="E59">
        <v>66</v>
      </c>
      <c r="F59">
        <v>1</v>
      </c>
      <c r="G59">
        <v>0</v>
      </c>
      <c r="H59">
        <v>0</v>
      </c>
      <c r="I59">
        <v>2</v>
      </c>
      <c r="J59">
        <v>23</v>
      </c>
      <c r="K59">
        <v>25</v>
      </c>
      <c r="L59">
        <v>40</v>
      </c>
      <c r="M59">
        <v>0.67</v>
      </c>
      <c r="N59">
        <v>0</v>
      </c>
    </row>
    <row r="60" spans="1:14" x14ac:dyDescent="0.25">
      <c r="A60" s="15" t="s">
        <v>72</v>
      </c>
      <c r="B60">
        <v>5</v>
      </c>
      <c r="C60">
        <v>-5</v>
      </c>
      <c r="D60">
        <v>4</v>
      </c>
      <c r="E60">
        <v>17</v>
      </c>
      <c r="F60">
        <v>1</v>
      </c>
      <c r="G60">
        <v>0</v>
      </c>
      <c r="H60">
        <v>0</v>
      </c>
      <c r="I60">
        <v>2</v>
      </c>
      <c r="J60">
        <v>23</v>
      </c>
      <c r="K60">
        <v>25</v>
      </c>
      <c r="L60">
        <v>20</v>
      </c>
      <c r="M60">
        <v>0.76</v>
      </c>
      <c r="N60">
        <v>0</v>
      </c>
    </row>
    <row r="61" spans="1:14" x14ac:dyDescent="0.25">
      <c r="A61" s="15" t="s">
        <v>73</v>
      </c>
      <c r="B61">
        <v>10</v>
      </c>
      <c r="C61">
        <v>-10</v>
      </c>
      <c r="D61">
        <v>8</v>
      </c>
      <c r="E61">
        <v>36</v>
      </c>
      <c r="F61">
        <v>1</v>
      </c>
      <c r="G61">
        <v>0</v>
      </c>
      <c r="H61">
        <v>0</v>
      </c>
      <c r="I61">
        <v>2</v>
      </c>
      <c r="J61">
        <v>23</v>
      </c>
      <c r="K61">
        <v>25</v>
      </c>
      <c r="L61">
        <v>30</v>
      </c>
      <c r="M61">
        <v>0.72</v>
      </c>
      <c r="N61">
        <v>0</v>
      </c>
    </row>
    <row r="62" spans="1:14" x14ac:dyDescent="0.25">
      <c r="A62" s="15" t="s">
        <v>74</v>
      </c>
      <c r="B62">
        <v>20</v>
      </c>
      <c r="C62">
        <v>-20</v>
      </c>
      <c r="D62">
        <v>21</v>
      </c>
      <c r="E62">
        <v>74</v>
      </c>
      <c r="F62">
        <v>1</v>
      </c>
      <c r="G62">
        <v>0</v>
      </c>
      <c r="H62">
        <v>0</v>
      </c>
      <c r="I62">
        <v>2</v>
      </c>
      <c r="J62">
        <v>23</v>
      </c>
      <c r="K62">
        <v>25</v>
      </c>
      <c r="L62">
        <v>40</v>
      </c>
      <c r="M62">
        <v>0.67</v>
      </c>
      <c r="N62">
        <v>0</v>
      </c>
    </row>
    <row r="63" spans="1:14" x14ac:dyDescent="0.25">
      <c r="A63" s="15" t="s">
        <v>75</v>
      </c>
      <c r="B63">
        <v>7.5</v>
      </c>
      <c r="C63">
        <v>-7.5</v>
      </c>
      <c r="D63">
        <v>5</v>
      </c>
      <c r="E63">
        <v>19</v>
      </c>
      <c r="F63">
        <v>1</v>
      </c>
      <c r="G63">
        <v>0</v>
      </c>
      <c r="H63">
        <v>0</v>
      </c>
      <c r="I63">
        <v>2</v>
      </c>
      <c r="J63">
        <v>23</v>
      </c>
      <c r="K63">
        <v>25</v>
      </c>
      <c r="L63">
        <v>20</v>
      </c>
      <c r="M63">
        <v>0.76</v>
      </c>
      <c r="N63">
        <v>0</v>
      </c>
    </row>
    <row r="64" spans="1:14" x14ac:dyDescent="0.25">
      <c r="A64" s="15" t="s">
        <v>76</v>
      </c>
      <c r="B64">
        <v>15</v>
      </c>
      <c r="C64">
        <v>-15</v>
      </c>
      <c r="D64">
        <v>11</v>
      </c>
      <c r="E64">
        <v>39</v>
      </c>
      <c r="F64">
        <v>1</v>
      </c>
      <c r="G64">
        <v>0</v>
      </c>
      <c r="H64">
        <v>0</v>
      </c>
      <c r="I64">
        <v>2</v>
      </c>
      <c r="J64">
        <v>23</v>
      </c>
      <c r="K64">
        <v>25</v>
      </c>
      <c r="L64">
        <v>30</v>
      </c>
      <c r="M64">
        <v>0.72</v>
      </c>
      <c r="N64">
        <v>0</v>
      </c>
    </row>
    <row r="65" spans="1:14" x14ac:dyDescent="0.25">
      <c r="A65" s="15" t="s">
        <v>77</v>
      </c>
      <c r="B65">
        <v>30</v>
      </c>
      <c r="C65">
        <v>-30</v>
      </c>
      <c r="D65">
        <v>25</v>
      </c>
      <c r="E65">
        <v>84</v>
      </c>
      <c r="F65">
        <v>1</v>
      </c>
      <c r="G65">
        <v>0</v>
      </c>
      <c r="H65">
        <v>0</v>
      </c>
      <c r="I65">
        <v>2</v>
      </c>
      <c r="J65">
        <v>23</v>
      </c>
      <c r="K65">
        <v>25</v>
      </c>
      <c r="L65">
        <v>40</v>
      </c>
      <c r="M65">
        <v>0.67</v>
      </c>
      <c r="N65">
        <v>0</v>
      </c>
    </row>
    <row r="66" spans="1:14" x14ac:dyDescent="0.25">
      <c r="A66" s="15" t="s">
        <v>78</v>
      </c>
      <c r="B66">
        <v>10</v>
      </c>
      <c r="C66">
        <v>-10</v>
      </c>
      <c r="D66">
        <v>6</v>
      </c>
      <c r="E66">
        <v>21</v>
      </c>
      <c r="F66">
        <v>1</v>
      </c>
      <c r="G66">
        <v>0</v>
      </c>
      <c r="H66">
        <v>0</v>
      </c>
      <c r="I66">
        <v>2</v>
      </c>
      <c r="J66">
        <v>23</v>
      </c>
      <c r="K66">
        <v>25</v>
      </c>
      <c r="L66">
        <v>20</v>
      </c>
      <c r="M66">
        <v>0.76</v>
      </c>
      <c r="N66">
        <v>0</v>
      </c>
    </row>
    <row r="67" spans="1:14" x14ac:dyDescent="0.25">
      <c r="A67" s="15" t="s">
        <v>79</v>
      </c>
      <c r="B67">
        <v>20</v>
      </c>
      <c r="C67">
        <v>-20</v>
      </c>
      <c r="D67">
        <v>13</v>
      </c>
      <c r="E67">
        <v>44</v>
      </c>
      <c r="F67">
        <v>1</v>
      </c>
      <c r="G67">
        <v>0</v>
      </c>
      <c r="H67">
        <v>0</v>
      </c>
      <c r="I67">
        <v>2</v>
      </c>
      <c r="J67">
        <v>23</v>
      </c>
      <c r="K67">
        <v>25</v>
      </c>
      <c r="L67">
        <v>30</v>
      </c>
      <c r="M67">
        <v>0.72</v>
      </c>
      <c r="N67">
        <v>0</v>
      </c>
    </row>
    <row r="68" spans="1:14" x14ac:dyDescent="0.25">
      <c r="A68" s="15" t="s">
        <v>80</v>
      </c>
      <c r="B68">
        <v>40</v>
      </c>
      <c r="C68">
        <v>-40</v>
      </c>
      <c r="D68">
        <v>30</v>
      </c>
      <c r="E68">
        <v>92</v>
      </c>
      <c r="F68">
        <v>1</v>
      </c>
      <c r="G68">
        <v>0</v>
      </c>
      <c r="H68">
        <v>0</v>
      </c>
      <c r="I68">
        <v>2</v>
      </c>
      <c r="J68">
        <v>23</v>
      </c>
      <c r="K68">
        <v>25</v>
      </c>
      <c r="L68">
        <v>40</v>
      </c>
      <c r="M68">
        <v>0.67</v>
      </c>
      <c r="N68">
        <v>0</v>
      </c>
    </row>
    <row r="69" spans="1:14" x14ac:dyDescent="0.25">
      <c r="A69" s="15" t="s">
        <v>81</v>
      </c>
      <c r="B69">
        <v>12.5</v>
      </c>
      <c r="C69">
        <v>-12.5</v>
      </c>
      <c r="D69">
        <v>7</v>
      </c>
      <c r="E69">
        <v>23</v>
      </c>
      <c r="F69">
        <v>1</v>
      </c>
      <c r="G69">
        <v>0</v>
      </c>
      <c r="H69">
        <v>0</v>
      </c>
      <c r="I69">
        <v>2</v>
      </c>
      <c r="J69">
        <v>23</v>
      </c>
      <c r="K69">
        <v>25</v>
      </c>
      <c r="L69">
        <v>20</v>
      </c>
      <c r="M69">
        <v>0.76</v>
      </c>
      <c r="N69">
        <v>0</v>
      </c>
    </row>
    <row r="70" spans="1:14" x14ac:dyDescent="0.25">
      <c r="A70" s="15" t="s">
        <v>82</v>
      </c>
      <c r="B70">
        <v>25</v>
      </c>
      <c r="C70">
        <v>-25</v>
      </c>
      <c r="D70">
        <v>15</v>
      </c>
      <c r="E70">
        <v>46</v>
      </c>
      <c r="F70">
        <v>1</v>
      </c>
      <c r="G70">
        <v>0</v>
      </c>
      <c r="H70">
        <v>0</v>
      </c>
      <c r="I70">
        <v>2</v>
      </c>
      <c r="J70">
        <v>23</v>
      </c>
      <c r="K70">
        <v>25</v>
      </c>
      <c r="L70">
        <v>30</v>
      </c>
      <c r="M70">
        <v>0.72</v>
      </c>
      <c r="N70">
        <v>0</v>
      </c>
    </row>
    <row r="71" spans="1:14" x14ac:dyDescent="0.25">
      <c r="A71" s="15" t="s">
        <v>83</v>
      </c>
      <c r="B71">
        <v>50</v>
      </c>
      <c r="C71">
        <v>-50</v>
      </c>
      <c r="D71">
        <v>36</v>
      </c>
      <c r="E71">
        <v>99</v>
      </c>
      <c r="F71">
        <v>1</v>
      </c>
      <c r="G71">
        <v>0</v>
      </c>
      <c r="H71">
        <v>0</v>
      </c>
      <c r="I71">
        <v>2</v>
      </c>
      <c r="J71">
        <v>23</v>
      </c>
      <c r="K71">
        <v>25</v>
      </c>
      <c r="L71">
        <v>40</v>
      </c>
      <c r="M71">
        <v>0.67</v>
      </c>
      <c r="N71">
        <v>0</v>
      </c>
    </row>
    <row r="72" spans="1:14" x14ac:dyDescent="0.25">
      <c r="A72" s="15" t="s">
        <v>150</v>
      </c>
    </row>
    <row r="73" spans="1:14" x14ac:dyDescent="0.25">
      <c r="A73" s="15" t="s">
        <v>154</v>
      </c>
      <c r="B73">
        <v>0</v>
      </c>
      <c r="C73">
        <v>0</v>
      </c>
      <c r="D73">
        <v>3</v>
      </c>
      <c r="E73">
        <v>15</v>
      </c>
      <c r="F73">
        <v>1</v>
      </c>
      <c r="G73">
        <v>0</v>
      </c>
      <c r="H73">
        <v>0</v>
      </c>
      <c r="I73">
        <v>2</v>
      </c>
      <c r="J73">
        <v>18</v>
      </c>
      <c r="K73">
        <v>25</v>
      </c>
      <c r="L73">
        <v>20</v>
      </c>
      <c r="M73">
        <v>0.82</v>
      </c>
      <c r="N73">
        <v>0</v>
      </c>
    </row>
    <row r="74" spans="1:14" x14ac:dyDescent="0.25">
      <c r="A74" s="15" t="s">
        <v>155</v>
      </c>
      <c r="B74">
        <v>0</v>
      </c>
      <c r="C74">
        <v>0</v>
      </c>
      <c r="D74">
        <v>6</v>
      </c>
      <c r="E74">
        <v>31</v>
      </c>
      <c r="F74">
        <v>1</v>
      </c>
      <c r="G74">
        <v>0</v>
      </c>
      <c r="H74">
        <v>0</v>
      </c>
      <c r="I74">
        <v>2</v>
      </c>
      <c r="J74">
        <v>18</v>
      </c>
      <c r="K74">
        <v>25</v>
      </c>
      <c r="L74">
        <v>30</v>
      </c>
      <c r="M74">
        <v>0.8</v>
      </c>
      <c r="N74">
        <v>0</v>
      </c>
    </row>
    <row r="75" spans="1:14" x14ac:dyDescent="0.25">
      <c r="A75" s="15" t="s">
        <v>156</v>
      </c>
      <c r="B75">
        <v>0</v>
      </c>
      <c r="C75">
        <v>0</v>
      </c>
      <c r="D75">
        <v>16</v>
      </c>
      <c r="E75">
        <v>66</v>
      </c>
      <c r="F75">
        <v>1</v>
      </c>
      <c r="G75">
        <v>0</v>
      </c>
      <c r="H75">
        <v>0</v>
      </c>
      <c r="I75">
        <v>2</v>
      </c>
      <c r="J75">
        <v>18</v>
      </c>
      <c r="K75">
        <v>25</v>
      </c>
      <c r="L75">
        <v>40</v>
      </c>
      <c r="M75">
        <v>0.75</v>
      </c>
      <c r="N75">
        <v>0</v>
      </c>
    </row>
    <row r="76" spans="1:14" x14ac:dyDescent="0.25">
      <c r="A76" s="15" t="s">
        <v>84</v>
      </c>
    </row>
    <row r="77" spans="1:14" x14ac:dyDescent="0.25">
      <c r="A77" s="15" t="s">
        <v>85</v>
      </c>
      <c r="B77">
        <v>100</v>
      </c>
      <c r="C77">
        <v>-100</v>
      </c>
      <c r="D77">
        <v>106</v>
      </c>
      <c r="E77">
        <v>218</v>
      </c>
      <c r="F77">
        <v>1</v>
      </c>
      <c r="G77">
        <v>0</v>
      </c>
      <c r="H77">
        <v>0</v>
      </c>
      <c r="I77">
        <v>2</v>
      </c>
      <c r="J77">
        <v>18</v>
      </c>
      <c r="K77">
        <v>70</v>
      </c>
      <c r="L77">
        <v>60</v>
      </c>
      <c r="M77">
        <v>0.7</v>
      </c>
      <c r="N77">
        <v>0</v>
      </c>
    </row>
    <row r="78" spans="1:14" x14ac:dyDescent="0.25">
      <c r="A78" s="15" t="s">
        <v>86</v>
      </c>
      <c r="B78">
        <v>120</v>
      </c>
      <c r="C78">
        <v>-120</v>
      </c>
      <c r="D78">
        <v>121</v>
      </c>
      <c r="E78">
        <v>239</v>
      </c>
      <c r="F78">
        <v>1</v>
      </c>
      <c r="G78">
        <v>0</v>
      </c>
      <c r="H78">
        <v>0</v>
      </c>
      <c r="I78">
        <v>2</v>
      </c>
      <c r="J78">
        <v>18</v>
      </c>
      <c r="K78">
        <v>70</v>
      </c>
      <c r="L78">
        <v>60</v>
      </c>
      <c r="M78">
        <v>0.7</v>
      </c>
      <c r="N78">
        <v>0</v>
      </c>
    </row>
    <row r="79" spans="1:14" x14ac:dyDescent="0.25">
      <c r="A79" s="15" t="s">
        <v>87</v>
      </c>
    </row>
    <row r="80" spans="1:14" x14ac:dyDescent="0.25">
      <c r="A80" s="15" t="s">
        <v>88</v>
      </c>
      <c r="B80">
        <v>5</v>
      </c>
      <c r="C80">
        <v>-5</v>
      </c>
      <c r="D80">
        <v>3</v>
      </c>
      <c r="E80">
        <v>15</v>
      </c>
      <c r="F80">
        <v>1</v>
      </c>
      <c r="G80">
        <v>0</v>
      </c>
      <c r="H80">
        <v>0</v>
      </c>
      <c r="I80">
        <v>2</v>
      </c>
      <c r="J80">
        <v>25</v>
      </c>
      <c r="K80">
        <v>18</v>
      </c>
      <c r="L80">
        <v>10</v>
      </c>
      <c r="M80">
        <v>0.82</v>
      </c>
      <c r="N80">
        <v>0</v>
      </c>
    </row>
    <row r="81" spans="1:14" x14ac:dyDescent="0.25">
      <c r="A81" s="15" t="s">
        <v>89</v>
      </c>
      <c r="B81">
        <v>10</v>
      </c>
      <c r="C81">
        <v>-10</v>
      </c>
      <c r="D81">
        <v>6</v>
      </c>
      <c r="E81">
        <v>31</v>
      </c>
      <c r="F81">
        <v>1</v>
      </c>
      <c r="G81">
        <v>0</v>
      </c>
      <c r="H81">
        <v>0</v>
      </c>
      <c r="I81">
        <v>2</v>
      </c>
      <c r="J81">
        <v>25</v>
      </c>
      <c r="K81">
        <v>18</v>
      </c>
      <c r="L81">
        <v>20</v>
      </c>
      <c r="M81">
        <v>0.8</v>
      </c>
      <c r="N81">
        <v>0</v>
      </c>
    </row>
    <row r="82" spans="1:14" x14ac:dyDescent="0.25">
      <c r="A82" s="15" t="s">
        <v>90</v>
      </c>
      <c r="B82">
        <v>20</v>
      </c>
      <c r="C82">
        <v>-20</v>
      </c>
      <c r="D82">
        <v>16</v>
      </c>
      <c r="E82">
        <v>66</v>
      </c>
      <c r="F82">
        <v>1</v>
      </c>
      <c r="G82">
        <v>0</v>
      </c>
      <c r="H82">
        <v>0</v>
      </c>
      <c r="I82">
        <v>2</v>
      </c>
      <c r="J82">
        <v>25</v>
      </c>
      <c r="K82">
        <v>18</v>
      </c>
      <c r="L82">
        <v>30</v>
      </c>
      <c r="M82">
        <v>0.75</v>
      </c>
      <c r="N82">
        <v>0</v>
      </c>
    </row>
    <row r="83" spans="1:14" x14ac:dyDescent="0.25">
      <c r="A83" s="15" t="s">
        <v>91</v>
      </c>
      <c r="B83">
        <v>7.5</v>
      </c>
      <c r="C83">
        <v>-7.5</v>
      </c>
      <c r="D83">
        <v>4</v>
      </c>
      <c r="E83">
        <v>17</v>
      </c>
      <c r="F83">
        <v>1</v>
      </c>
      <c r="G83">
        <v>0</v>
      </c>
      <c r="H83">
        <v>0</v>
      </c>
      <c r="I83">
        <v>2</v>
      </c>
      <c r="J83">
        <v>25</v>
      </c>
      <c r="K83">
        <v>18</v>
      </c>
      <c r="L83">
        <v>10</v>
      </c>
      <c r="M83">
        <v>0.82</v>
      </c>
      <c r="N83">
        <v>0</v>
      </c>
    </row>
    <row r="84" spans="1:14" x14ac:dyDescent="0.25">
      <c r="A84" s="15" t="s">
        <v>92</v>
      </c>
      <c r="B84">
        <v>15</v>
      </c>
      <c r="C84">
        <v>-15</v>
      </c>
      <c r="D84">
        <v>8</v>
      </c>
      <c r="E84">
        <v>36</v>
      </c>
      <c r="F84">
        <v>1</v>
      </c>
      <c r="G84">
        <v>0</v>
      </c>
      <c r="H84">
        <v>0</v>
      </c>
      <c r="I84">
        <v>2</v>
      </c>
      <c r="J84">
        <v>25</v>
      </c>
      <c r="K84">
        <v>18</v>
      </c>
      <c r="L84">
        <v>20</v>
      </c>
      <c r="M84">
        <v>0.8</v>
      </c>
      <c r="N84">
        <v>0</v>
      </c>
    </row>
    <row r="85" spans="1:14" x14ac:dyDescent="0.25">
      <c r="A85" s="15" t="s">
        <v>93</v>
      </c>
      <c r="B85">
        <v>30</v>
      </c>
      <c r="C85">
        <v>-30</v>
      </c>
      <c r="D85">
        <v>21</v>
      </c>
      <c r="E85">
        <v>74</v>
      </c>
      <c r="F85">
        <v>1</v>
      </c>
      <c r="G85">
        <v>0</v>
      </c>
      <c r="H85">
        <v>0</v>
      </c>
      <c r="I85">
        <v>2</v>
      </c>
      <c r="J85">
        <v>25</v>
      </c>
      <c r="K85">
        <v>18</v>
      </c>
      <c r="L85">
        <v>30</v>
      </c>
      <c r="M85">
        <v>0.75</v>
      </c>
      <c r="N85">
        <v>0</v>
      </c>
    </row>
    <row r="86" spans="1:14" x14ac:dyDescent="0.25">
      <c r="A86" s="15" t="s">
        <v>94</v>
      </c>
      <c r="B86">
        <v>10</v>
      </c>
      <c r="C86">
        <v>-10</v>
      </c>
      <c r="D86">
        <v>5</v>
      </c>
      <c r="E86">
        <v>19</v>
      </c>
      <c r="F86">
        <v>1</v>
      </c>
      <c r="G86">
        <v>0</v>
      </c>
      <c r="H86">
        <v>0</v>
      </c>
      <c r="I86">
        <v>2</v>
      </c>
      <c r="J86">
        <v>25</v>
      </c>
      <c r="K86">
        <v>18</v>
      </c>
      <c r="L86">
        <v>10</v>
      </c>
      <c r="M86">
        <v>0.82</v>
      </c>
      <c r="N86">
        <v>0</v>
      </c>
    </row>
    <row r="87" spans="1:14" x14ac:dyDescent="0.25">
      <c r="A87" s="15" t="s">
        <v>95</v>
      </c>
      <c r="B87">
        <v>20</v>
      </c>
      <c r="C87">
        <v>-20</v>
      </c>
      <c r="D87">
        <v>11</v>
      </c>
      <c r="E87">
        <v>39</v>
      </c>
      <c r="F87">
        <v>1</v>
      </c>
      <c r="G87">
        <v>0</v>
      </c>
      <c r="H87">
        <v>0</v>
      </c>
      <c r="I87">
        <v>2</v>
      </c>
      <c r="J87">
        <v>25</v>
      </c>
      <c r="K87">
        <v>18</v>
      </c>
      <c r="L87">
        <v>20</v>
      </c>
      <c r="M87">
        <v>0.8</v>
      </c>
      <c r="N87">
        <v>0</v>
      </c>
    </row>
    <row r="88" spans="1:14" x14ac:dyDescent="0.25">
      <c r="A88" s="15" t="s">
        <v>96</v>
      </c>
      <c r="B88">
        <v>40</v>
      </c>
      <c r="C88">
        <v>-40</v>
      </c>
      <c r="D88">
        <v>25</v>
      </c>
      <c r="E88">
        <v>84</v>
      </c>
      <c r="F88">
        <v>1</v>
      </c>
      <c r="G88">
        <v>0</v>
      </c>
      <c r="H88">
        <v>0</v>
      </c>
      <c r="I88">
        <v>2</v>
      </c>
      <c r="J88">
        <v>25</v>
      </c>
      <c r="K88">
        <v>18</v>
      </c>
      <c r="L88">
        <v>30</v>
      </c>
      <c r="M88">
        <v>0.75</v>
      </c>
      <c r="N88">
        <v>0</v>
      </c>
    </row>
    <row r="89" spans="1:14" x14ac:dyDescent="0.25">
      <c r="A89" s="15" t="s">
        <v>97</v>
      </c>
    </row>
    <row r="90" spans="1:14" x14ac:dyDescent="0.25">
      <c r="A90" s="15" t="s">
        <v>98</v>
      </c>
      <c r="B90">
        <v>50</v>
      </c>
      <c r="C90">
        <v>-50</v>
      </c>
      <c r="D90">
        <v>19</v>
      </c>
      <c r="E90">
        <v>60</v>
      </c>
      <c r="F90">
        <v>1</v>
      </c>
      <c r="G90">
        <v>0</v>
      </c>
      <c r="H90">
        <v>0</v>
      </c>
      <c r="I90">
        <v>2</v>
      </c>
      <c r="J90">
        <v>3</v>
      </c>
      <c r="K90">
        <v>10</v>
      </c>
      <c r="L90">
        <v>15</v>
      </c>
      <c r="M90">
        <v>0.75</v>
      </c>
      <c r="N90">
        <v>0</v>
      </c>
    </row>
    <row r="91" spans="1:14" x14ac:dyDescent="0.25">
      <c r="A91" s="15" t="s">
        <v>99</v>
      </c>
      <c r="B91">
        <v>60</v>
      </c>
      <c r="C91">
        <v>-60</v>
      </c>
      <c r="D91">
        <v>23</v>
      </c>
      <c r="E91">
        <v>67</v>
      </c>
      <c r="F91">
        <v>1</v>
      </c>
      <c r="G91">
        <v>0</v>
      </c>
      <c r="H91">
        <v>0</v>
      </c>
      <c r="I91">
        <v>2</v>
      </c>
      <c r="J91">
        <v>8</v>
      </c>
      <c r="K91">
        <v>10</v>
      </c>
      <c r="L91">
        <v>20</v>
      </c>
      <c r="M91">
        <v>0.75</v>
      </c>
      <c r="N91">
        <v>0</v>
      </c>
    </row>
    <row r="92" spans="1:14" x14ac:dyDescent="0.25">
      <c r="A92" s="15" t="s">
        <v>100</v>
      </c>
    </row>
    <row r="93" spans="1:14" x14ac:dyDescent="0.25">
      <c r="A93" s="15" t="s">
        <v>101</v>
      </c>
      <c r="B93">
        <v>2.5</v>
      </c>
      <c r="C93">
        <v>-2.5</v>
      </c>
      <c r="D93">
        <v>8</v>
      </c>
      <c r="E93">
        <v>12</v>
      </c>
      <c r="F93">
        <v>1</v>
      </c>
      <c r="G93">
        <v>0</v>
      </c>
      <c r="H93">
        <v>-50</v>
      </c>
      <c r="I93">
        <v>20</v>
      </c>
      <c r="J93">
        <v>30</v>
      </c>
      <c r="K93">
        <v>30</v>
      </c>
      <c r="L93">
        <v>26</v>
      </c>
      <c r="M93">
        <v>1</v>
      </c>
      <c r="N93">
        <v>5</v>
      </c>
    </row>
    <row r="94" spans="1:14" x14ac:dyDescent="0.25">
      <c r="A94" s="15" t="s">
        <v>102</v>
      </c>
      <c r="B94">
        <v>5</v>
      </c>
      <c r="C94">
        <v>-5</v>
      </c>
      <c r="D94">
        <v>13</v>
      </c>
      <c r="E94">
        <v>27</v>
      </c>
      <c r="F94">
        <v>1</v>
      </c>
      <c r="G94">
        <v>0</v>
      </c>
      <c r="H94">
        <v>-50</v>
      </c>
      <c r="I94">
        <v>20</v>
      </c>
      <c r="J94">
        <v>30</v>
      </c>
      <c r="K94">
        <v>30</v>
      </c>
      <c r="L94">
        <v>36</v>
      </c>
      <c r="M94">
        <v>1</v>
      </c>
      <c r="N94">
        <v>5</v>
      </c>
    </row>
    <row r="95" spans="1:14" x14ac:dyDescent="0.25">
      <c r="A95" s="15" t="s">
        <v>103</v>
      </c>
      <c r="B95">
        <v>10</v>
      </c>
      <c r="C95">
        <v>-10</v>
      </c>
      <c r="D95">
        <v>30</v>
      </c>
      <c r="E95">
        <v>50</v>
      </c>
      <c r="F95">
        <v>1</v>
      </c>
      <c r="G95">
        <v>0</v>
      </c>
      <c r="H95">
        <v>-50</v>
      </c>
      <c r="I95">
        <v>20</v>
      </c>
      <c r="J95">
        <v>30</v>
      </c>
      <c r="K95">
        <v>30</v>
      </c>
      <c r="L95">
        <v>46</v>
      </c>
      <c r="M95">
        <v>1</v>
      </c>
      <c r="N95">
        <v>5</v>
      </c>
    </row>
    <row r="96" spans="1:14" x14ac:dyDescent="0.25">
      <c r="A96" s="15" t="s">
        <v>104</v>
      </c>
      <c r="B96">
        <v>5</v>
      </c>
      <c r="C96">
        <v>-5</v>
      </c>
      <c r="D96">
        <v>9</v>
      </c>
      <c r="E96">
        <v>14</v>
      </c>
      <c r="F96">
        <v>1</v>
      </c>
      <c r="G96">
        <v>0</v>
      </c>
      <c r="H96">
        <v>0</v>
      </c>
      <c r="I96">
        <v>20</v>
      </c>
      <c r="J96">
        <v>30</v>
      </c>
      <c r="K96">
        <v>30</v>
      </c>
      <c r="L96">
        <v>26</v>
      </c>
      <c r="M96">
        <v>1</v>
      </c>
      <c r="N96">
        <v>5</v>
      </c>
    </row>
    <row r="97" spans="1:14" x14ac:dyDescent="0.25">
      <c r="A97" s="15" t="s">
        <v>105</v>
      </c>
      <c r="B97">
        <v>10</v>
      </c>
      <c r="C97">
        <v>-10</v>
      </c>
      <c r="D97">
        <v>16</v>
      </c>
      <c r="E97">
        <v>30</v>
      </c>
      <c r="F97">
        <v>1</v>
      </c>
      <c r="G97">
        <v>0</v>
      </c>
      <c r="H97">
        <v>0</v>
      </c>
      <c r="I97">
        <v>20</v>
      </c>
      <c r="J97">
        <v>30</v>
      </c>
      <c r="K97">
        <v>30</v>
      </c>
      <c r="L97">
        <v>36</v>
      </c>
      <c r="M97">
        <v>1</v>
      </c>
      <c r="N97">
        <v>5</v>
      </c>
    </row>
    <row r="98" spans="1:14" x14ac:dyDescent="0.25">
      <c r="A98" s="15" t="s">
        <v>106</v>
      </c>
      <c r="B98">
        <v>20</v>
      </c>
      <c r="C98">
        <v>-20</v>
      </c>
      <c r="D98">
        <v>37</v>
      </c>
      <c r="E98">
        <v>55</v>
      </c>
      <c r="F98">
        <v>1</v>
      </c>
      <c r="G98">
        <v>0</v>
      </c>
      <c r="H98">
        <v>0</v>
      </c>
      <c r="I98">
        <v>20</v>
      </c>
      <c r="J98">
        <v>30</v>
      </c>
      <c r="K98">
        <v>30</v>
      </c>
      <c r="L98">
        <v>46</v>
      </c>
      <c r="M98">
        <v>1</v>
      </c>
      <c r="N98">
        <v>5</v>
      </c>
    </row>
    <row r="99" spans="1:14" x14ac:dyDescent="0.25">
      <c r="A99" s="15" t="s">
        <v>107</v>
      </c>
      <c r="B99">
        <v>7.5</v>
      </c>
      <c r="C99">
        <v>-7.5</v>
      </c>
      <c r="D99">
        <v>11</v>
      </c>
      <c r="E99">
        <v>15</v>
      </c>
      <c r="F99">
        <v>1</v>
      </c>
      <c r="G99">
        <v>0</v>
      </c>
      <c r="H99">
        <v>0</v>
      </c>
      <c r="I99">
        <v>20</v>
      </c>
      <c r="J99">
        <v>30</v>
      </c>
      <c r="K99">
        <v>30</v>
      </c>
      <c r="L99">
        <v>26</v>
      </c>
      <c r="M99">
        <v>1</v>
      </c>
      <c r="N99">
        <v>5</v>
      </c>
    </row>
    <row r="100" spans="1:14" x14ac:dyDescent="0.25">
      <c r="A100" s="15" t="s">
        <v>108</v>
      </c>
      <c r="B100">
        <v>15</v>
      </c>
      <c r="C100">
        <v>-15</v>
      </c>
      <c r="D100">
        <v>19</v>
      </c>
      <c r="E100">
        <v>33</v>
      </c>
      <c r="F100">
        <v>1</v>
      </c>
      <c r="G100">
        <v>0</v>
      </c>
      <c r="H100">
        <v>0</v>
      </c>
      <c r="I100">
        <v>20</v>
      </c>
      <c r="J100">
        <v>30</v>
      </c>
      <c r="K100">
        <v>30</v>
      </c>
      <c r="L100">
        <v>36</v>
      </c>
      <c r="M100">
        <v>1</v>
      </c>
      <c r="N100">
        <v>5</v>
      </c>
    </row>
    <row r="101" spans="1:14" x14ac:dyDescent="0.25">
      <c r="A101" s="15" t="s">
        <v>109</v>
      </c>
      <c r="B101">
        <v>30</v>
      </c>
      <c r="C101">
        <v>-30</v>
      </c>
      <c r="D101">
        <v>42</v>
      </c>
      <c r="E101">
        <v>62</v>
      </c>
      <c r="F101">
        <v>1</v>
      </c>
      <c r="G101">
        <v>0</v>
      </c>
      <c r="H101">
        <v>0</v>
      </c>
      <c r="I101">
        <v>20</v>
      </c>
      <c r="J101">
        <v>30</v>
      </c>
      <c r="K101">
        <v>30</v>
      </c>
      <c r="L101">
        <v>46</v>
      </c>
      <c r="M101">
        <v>1</v>
      </c>
      <c r="N101">
        <v>5</v>
      </c>
    </row>
    <row r="102" spans="1:14" x14ac:dyDescent="0.25">
      <c r="A102" s="15" t="s">
        <v>110</v>
      </c>
      <c r="B102">
        <v>10</v>
      </c>
      <c r="C102">
        <v>-10</v>
      </c>
      <c r="D102">
        <v>12</v>
      </c>
      <c r="E102">
        <v>17</v>
      </c>
      <c r="F102">
        <v>1</v>
      </c>
      <c r="G102">
        <v>0</v>
      </c>
      <c r="H102">
        <v>0</v>
      </c>
      <c r="I102">
        <v>20</v>
      </c>
      <c r="J102">
        <v>30</v>
      </c>
      <c r="K102">
        <v>30</v>
      </c>
      <c r="L102">
        <v>26</v>
      </c>
      <c r="M102">
        <v>1</v>
      </c>
      <c r="N102">
        <v>5</v>
      </c>
    </row>
    <row r="103" spans="1:14" x14ac:dyDescent="0.25">
      <c r="A103" s="15" t="s">
        <v>111</v>
      </c>
      <c r="B103">
        <v>20</v>
      </c>
      <c r="C103">
        <v>-20</v>
      </c>
      <c r="D103">
        <v>21</v>
      </c>
      <c r="E103">
        <v>37</v>
      </c>
      <c r="F103">
        <v>1</v>
      </c>
      <c r="G103">
        <v>0</v>
      </c>
      <c r="H103">
        <v>0</v>
      </c>
      <c r="I103">
        <v>20</v>
      </c>
      <c r="J103">
        <v>30</v>
      </c>
      <c r="K103">
        <v>30</v>
      </c>
      <c r="L103">
        <v>36</v>
      </c>
      <c r="M103">
        <v>1</v>
      </c>
      <c r="N103">
        <v>5</v>
      </c>
    </row>
    <row r="104" spans="1:14" x14ac:dyDescent="0.25">
      <c r="A104" s="15" t="s">
        <v>112</v>
      </c>
      <c r="B104">
        <v>40</v>
      </c>
      <c r="C104">
        <v>-40</v>
      </c>
      <c r="D104">
        <v>48</v>
      </c>
      <c r="E104">
        <v>68</v>
      </c>
      <c r="F104">
        <v>1</v>
      </c>
      <c r="G104">
        <v>0</v>
      </c>
      <c r="H104">
        <v>0</v>
      </c>
      <c r="I104">
        <v>20</v>
      </c>
      <c r="J104">
        <v>30</v>
      </c>
      <c r="K104">
        <v>30</v>
      </c>
      <c r="L104">
        <v>46</v>
      </c>
      <c r="M104">
        <v>1</v>
      </c>
      <c r="N104">
        <v>5</v>
      </c>
    </row>
    <row r="105" spans="1:14" x14ac:dyDescent="0.25">
      <c r="A105" s="15" t="s">
        <v>113</v>
      </c>
      <c r="B105">
        <v>12.5</v>
      </c>
      <c r="C105">
        <v>-12.5</v>
      </c>
      <c r="D105">
        <v>14</v>
      </c>
      <c r="E105">
        <v>18</v>
      </c>
      <c r="F105">
        <v>1</v>
      </c>
      <c r="G105">
        <v>0</v>
      </c>
      <c r="H105">
        <v>0</v>
      </c>
      <c r="I105">
        <v>20</v>
      </c>
      <c r="J105">
        <v>30</v>
      </c>
      <c r="K105">
        <v>30</v>
      </c>
      <c r="L105">
        <v>26</v>
      </c>
      <c r="M105">
        <v>1</v>
      </c>
      <c r="N105">
        <v>5</v>
      </c>
    </row>
    <row r="106" spans="1:14" x14ac:dyDescent="0.25">
      <c r="A106" s="15" t="s">
        <v>114</v>
      </c>
      <c r="B106">
        <v>25</v>
      </c>
      <c r="C106">
        <v>-25</v>
      </c>
      <c r="D106">
        <v>24</v>
      </c>
      <c r="E106">
        <v>40</v>
      </c>
      <c r="F106">
        <v>1</v>
      </c>
      <c r="G106">
        <v>0</v>
      </c>
      <c r="H106">
        <v>0</v>
      </c>
      <c r="I106">
        <v>20</v>
      </c>
      <c r="J106">
        <v>30</v>
      </c>
      <c r="K106">
        <v>30</v>
      </c>
      <c r="L106">
        <v>36</v>
      </c>
      <c r="M106">
        <v>1</v>
      </c>
      <c r="N106">
        <v>5</v>
      </c>
    </row>
    <row r="107" spans="1:14" x14ac:dyDescent="0.25">
      <c r="A107" s="15" t="s">
        <v>115</v>
      </c>
      <c r="B107">
        <v>50</v>
      </c>
      <c r="C107">
        <v>-50</v>
      </c>
      <c r="D107">
        <v>48</v>
      </c>
      <c r="E107">
        <v>80</v>
      </c>
      <c r="F107">
        <v>1</v>
      </c>
      <c r="G107">
        <v>0</v>
      </c>
      <c r="H107">
        <v>0</v>
      </c>
      <c r="I107">
        <v>20</v>
      </c>
      <c r="J107">
        <v>30</v>
      </c>
      <c r="K107">
        <v>30</v>
      </c>
      <c r="L107">
        <v>46</v>
      </c>
      <c r="M107">
        <v>1</v>
      </c>
      <c r="N107">
        <v>5</v>
      </c>
    </row>
    <row r="108" spans="1:14" x14ac:dyDescent="0.25">
      <c r="A108" s="15" t="s">
        <v>157</v>
      </c>
    </row>
    <row r="109" spans="1:14" x14ac:dyDescent="0.25">
      <c r="A109" s="15" t="s">
        <v>158</v>
      </c>
      <c r="B109">
        <v>0</v>
      </c>
      <c r="C109">
        <v>0</v>
      </c>
      <c r="D109">
        <v>8</v>
      </c>
      <c r="E109">
        <v>13</v>
      </c>
      <c r="F109">
        <v>1</v>
      </c>
      <c r="G109">
        <v>0</v>
      </c>
      <c r="H109">
        <v>0</v>
      </c>
      <c r="I109">
        <v>2</v>
      </c>
      <c r="J109">
        <v>25</v>
      </c>
      <c r="K109">
        <v>40</v>
      </c>
      <c r="L109">
        <v>26</v>
      </c>
      <c r="M109">
        <v>1</v>
      </c>
      <c r="N109">
        <v>5</v>
      </c>
    </row>
    <row r="110" spans="1:14" x14ac:dyDescent="0.25">
      <c r="A110" s="15" t="s">
        <v>159</v>
      </c>
      <c r="B110">
        <v>0</v>
      </c>
      <c r="C110">
        <v>0</v>
      </c>
      <c r="D110">
        <v>13</v>
      </c>
      <c r="E110">
        <v>29</v>
      </c>
      <c r="F110">
        <v>1</v>
      </c>
      <c r="G110">
        <v>0</v>
      </c>
      <c r="H110">
        <v>0</v>
      </c>
      <c r="I110">
        <v>2</v>
      </c>
      <c r="J110">
        <v>25</v>
      </c>
      <c r="K110">
        <v>40</v>
      </c>
      <c r="L110">
        <v>36</v>
      </c>
      <c r="M110">
        <v>1</v>
      </c>
      <c r="N110">
        <v>5</v>
      </c>
    </row>
    <row r="111" spans="1:14" x14ac:dyDescent="0.25">
      <c r="A111" s="15" t="s">
        <v>160</v>
      </c>
      <c r="B111">
        <v>0</v>
      </c>
      <c r="C111">
        <v>0</v>
      </c>
      <c r="D111">
        <v>34</v>
      </c>
      <c r="E111">
        <v>50</v>
      </c>
      <c r="F111">
        <v>1</v>
      </c>
      <c r="G111">
        <v>0</v>
      </c>
      <c r="H111">
        <v>0</v>
      </c>
      <c r="I111">
        <v>2</v>
      </c>
      <c r="J111">
        <v>25</v>
      </c>
      <c r="K111">
        <v>40</v>
      </c>
      <c r="L111">
        <v>46</v>
      </c>
      <c r="M111">
        <v>1</v>
      </c>
      <c r="N111">
        <v>5</v>
      </c>
    </row>
    <row r="112" spans="1:14" x14ac:dyDescent="0.25">
      <c r="A112" s="15" t="s">
        <v>116</v>
      </c>
    </row>
    <row r="113" spans="1:14" x14ac:dyDescent="0.25">
      <c r="A113" s="15" t="s">
        <v>117</v>
      </c>
      <c r="B113">
        <v>7.5</v>
      </c>
      <c r="C113">
        <v>-7.5</v>
      </c>
      <c r="D113">
        <v>18</v>
      </c>
      <c r="E113">
        <v>24</v>
      </c>
      <c r="F113">
        <v>1</v>
      </c>
      <c r="G113">
        <v>1</v>
      </c>
      <c r="H113">
        <v>0</v>
      </c>
      <c r="I113">
        <v>2</v>
      </c>
      <c r="J113">
        <v>15</v>
      </c>
      <c r="K113">
        <v>75</v>
      </c>
      <c r="L113">
        <v>40</v>
      </c>
      <c r="M113">
        <v>1</v>
      </c>
      <c r="N113">
        <v>5</v>
      </c>
    </row>
    <row r="114" spans="1:14" x14ac:dyDescent="0.25">
      <c r="A114" s="15" t="s">
        <v>118</v>
      </c>
      <c r="B114">
        <v>15</v>
      </c>
      <c r="C114">
        <v>-15</v>
      </c>
      <c r="D114">
        <v>28</v>
      </c>
      <c r="E114">
        <v>56</v>
      </c>
      <c r="F114">
        <v>1</v>
      </c>
      <c r="G114">
        <v>1</v>
      </c>
      <c r="H114">
        <v>0</v>
      </c>
      <c r="I114">
        <v>2</v>
      </c>
      <c r="J114">
        <v>15</v>
      </c>
      <c r="K114">
        <v>75</v>
      </c>
      <c r="L114">
        <v>50</v>
      </c>
      <c r="M114">
        <v>1</v>
      </c>
      <c r="N114">
        <v>5</v>
      </c>
    </row>
    <row r="115" spans="1:14" x14ac:dyDescent="0.25">
      <c r="A115" s="15" t="s">
        <v>119</v>
      </c>
      <c r="B115">
        <v>30</v>
      </c>
      <c r="C115">
        <v>-30</v>
      </c>
      <c r="D115">
        <v>67</v>
      </c>
      <c r="E115">
        <v>101</v>
      </c>
      <c r="F115">
        <v>1</v>
      </c>
      <c r="G115">
        <v>1</v>
      </c>
      <c r="H115">
        <v>0</v>
      </c>
      <c r="I115">
        <v>2</v>
      </c>
      <c r="J115">
        <v>15</v>
      </c>
      <c r="K115">
        <v>75</v>
      </c>
      <c r="L115">
        <v>60</v>
      </c>
      <c r="M115">
        <v>1</v>
      </c>
      <c r="N115">
        <v>5</v>
      </c>
    </row>
    <row r="116" spans="1:14" x14ac:dyDescent="0.25">
      <c r="A116" s="15" t="s">
        <v>120</v>
      </c>
      <c r="B116">
        <v>10</v>
      </c>
      <c r="C116">
        <v>-10</v>
      </c>
      <c r="D116">
        <v>20</v>
      </c>
      <c r="E116">
        <v>27</v>
      </c>
      <c r="F116">
        <v>1</v>
      </c>
      <c r="G116">
        <v>1</v>
      </c>
      <c r="H116">
        <v>0</v>
      </c>
      <c r="I116">
        <v>2</v>
      </c>
      <c r="J116">
        <v>15</v>
      </c>
      <c r="K116">
        <v>75</v>
      </c>
      <c r="L116">
        <v>40</v>
      </c>
      <c r="M116">
        <v>1</v>
      </c>
      <c r="N116">
        <v>5</v>
      </c>
    </row>
    <row r="117" spans="1:14" x14ac:dyDescent="0.25">
      <c r="A117" s="15" t="s">
        <v>121</v>
      </c>
      <c r="B117">
        <v>20</v>
      </c>
      <c r="C117">
        <v>-20</v>
      </c>
      <c r="D117">
        <v>33</v>
      </c>
      <c r="E117">
        <v>61</v>
      </c>
      <c r="F117">
        <v>1</v>
      </c>
      <c r="G117">
        <v>1</v>
      </c>
      <c r="H117">
        <v>0</v>
      </c>
      <c r="I117">
        <v>2</v>
      </c>
      <c r="J117">
        <v>15</v>
      </c>
      <c r="K117">
        <v>75</v>
      </c>
      <c r="L117">
        <v>50</v>
      </c>
      <c r="M117">
        <v>1</v>
      </c>
      <c r="N117">
        <v>5</v>
      </c>
    </row>
    <row r="118" spans="1:14" x14ac:dyDescent="0.25">
      <c r="A118" s="15" t="s">
        <v>122</v>
      </c>
      <c r="B118">
        <v>40</v>
      </c>
      <c r="C118">
        <v>-40</v>
      </c>
      <c r="D118">
        <v>78</v>
      </c>
      <c r="E118">
        <v>110</v>
      </c>
      <c r="F118">
        <v>1</v>
      </c>
      <c r="G118">
        <v>1</v>
      </c>
      <c r="H118">
        <v>0</v>
      </c>
      <c r="I118">
        <v>2</v>
      </c>
      <c r="J118">
        <v>15</v>
      </c>
      <c r="K118">
        <v>75</v>
      </c>
      <c r="L118">
        <v>60</v>
      </c>
      <c r="M118">
        <v>1</v>
      </c>
      <c r="N118">
        <v>5</v>
      </c>
    </row>
    <row r="119" spans="1:14" x14ac:dyDescent="0.25">
      <c r="A119" s="15" t="s">
        <v>123</v>
      </c>
      <c r="B119">
        <v>12.5</v>
      </c>
      <c r="C119">
        <v>-12.5</v>
      </c>
      <c r="D119">
        <v>23</v>
      </c>
      <c r="E119">
        <v>29</v>
      </c>
      <c r="F119">
        <v>1</v>
      </c>
      <c r="G119">
        <v>1</v>
      </c>
      <c r="H119">
        <v>0</v>
      </c>
      <c r="I119">
        <v>2</v>
      </c>
      <c r="J119">
        <v>15</v>
      </c>
      <c r="K119">
        <v>75</v>
      </c>
      <c r="L119">
        <v>40</v>
      </c>
      <c r="M119">
        <v>1</v>
      </c>
      <c r="N119">
        <v>5</v>
      </c>
    </row>
    <row r="120" spans="1:14" x14ac:dyDescent="0.25">
      <c r="A120" s="15" t="s">
        <v>124</v>
      </c>
      <c r="B120">
        <v>25</v>
      </c>
      <c r="C120">
        <v>-25</v>
      </c>
      <c r="D120">
        <v>38</v>
      </c>
      <c r="E120">
        <v>66</v>
      </c>
      <c r="F120">
        <v>1</v>
      </c>
      <c r="G120">
        <v>1</v>
      </c>
      <c r="H120">
        <v>0</v>
      </c>
      <c r="I120">
        <v>2</v>
      </c>
      <c r="J120">
        <v>15</v>
      </c>
      <c r="K120">
        <v>75</v>
      </c>
      <c r="L120">
        <v>50</v>
      </c>
      <c r="M120">
        <v>1</v>
      </c>
      <c r="N120">
        <v>5</v>
      </c>
    </row>
    <row r="121" spans="1:14" x14ac:dyDescent="0.25">
      <c r="A121" s="15" t="s">
        <v>125</v>
      </c>
      <c r="B121">
        <v>50</v>
      </c>
      <c r="C121">
        <v>-50</v>
      </c>
      <c r="D121">
        <v>89</v>
      </c>
      <c r="E121">
        <v>119</v>
      </c>
      <c r="F121">
        <v>1</v>
      </c>
      <c r="G121">
        <v>1</v>
      </c>
      <c r="H121">
        <v>0</v>
      </c>
      <c r="I121">
        <v>2</v>
      </c>
      <c r="J121">
        <v>15</v>
      </c>
      <c r="K121">
        <v>75</v>
      </c>
      <c r="L121">
        <v>60</v>
      </c>
      <c r="M121">
        <v>1</v>
      </c>
      <c r="N121">
        <v>5</v>
      </c>
    </row>
    <row r="122" spans="1:14" x14ac:dyDescent="0.25">
      <c r="A122" s="15" t="s">
        <v>126</v>
      </c>
    </row>
    <row r="123" spans="1:14" x14ac:dyDescent="0.25">
      <c r="A123" s="15" t="s">
        <v>127</v>
      </c>
      <c r="B123">
        <v>40</v>
      </c>
      <c r="C123">
        <v>-40</v>
      </c>
      <c r="D123">
        <v>18</v>
      </c>
      <c r="E123">
        <v>38</v>
      </c>
      <c r="F123">
        <v>1</v>
      </c>
      <c r="G123">
        <v>0</v>
      </c>
      <c r="H123">
        <v>0</v>
      </c>
      <c r="I123">
        <v>2</v>
      </c>
      <c r="J123">
        <v>8</v>
      </c>
      <c r="K123">
        <v>20</v>
      </c>
      <c r="L123">
        <v>30</v>
      </c>
      <c r="M123">
        <v>1</v>
      </c>
      <c r="N123">
        <v>5</v>
      </c>
    </row>
    <row r="124" spans="1:14" x14ac:dyDescent="0.25">
      <c r="A124" s="15" t="s">
        <v>128</v>
      </c>
      <c r="B124">
        <v>50</v>
      </c>
      <c r="C124">
        <v>-50</v>
      </c>
      <c r="D124">
        <v>21</v>
      </c>
      <c r="E124">
        <v>41</v>
      </c>
      <c r="F124">
        <v>1</v>
      </c>
      <c r="G124">
        <v>0</v>
      </c>
      <c r="H124">
        <v>0</v>
      </c>
      <c r="I124">
        <v>2</v>
      </c>
      <c r="J124">
        <v>8</v>
      </c>
      <c r="K124">
        <v>20</v>
      </c>
      <c r="L124">
        <v>30</v>
      </c>
      <c r="M124">
        <v>1</v>
      </c>
      <c r="N124">
        <v>5</v>
      </c>
    </row>
    <row r="125" spans="1:14" x14ac:dyDescent="0.25">
      <c r="A125" s="15" t="s">
        <v>161</v>
      </c>
    </row>
    <row r="126" spans="1:14" x14ac:dyDescent="0.25">
      <c r="A126" s="15" t="s">
        <v>162</v>
      </c>
      <c r="B126">
        <v>5</v>
      </c>
      <c r="C126">
        <v>-5</v>
      </c>
      <c r="D126">
        <v>6</v>
      </c>
      <c r="E126">
        <v>12</v>
      </c>
      <c r="F126">
        <v>1</v>
      </c>
      <c r="G126">
        <v>0</v>
      </c>
      <c r="H126">
        <v>0.5</v>
      </c>
      <c r="I126">
        <v>2</v>
      </c>
      <c r="J126">
        <v>25</v>
      </c>
      <c r="K126">
        <v>30</v>
      </c>
      <c r="L126">
        <v>20</v>
      </c>
      <c r="M126">
        <v>0.75</v>
      </c>
      <c r="N126">
        <v>0</v>
      </c>
    </row>
    <row r="127" spans="1:14" x14ac:dyDescent="0.25">
      <c r="A127" s="15" t="s">
        <v>163</v>
      </c>
      <c r="B127">
        <v>20</v>
      </c>
      <c r="C127">
        <v>-20</v>
      </c>
      <c r="D127">
        <v>32</v>
      </c>
      <c r="E127">
        <v>47</v>
      </c>
      <c r="F127">
        <v>1</v>
      </c>
      <c r="G127">
        <v>0</v>
      </c>
      <c r="H127">
        <v>0.5</v>
      </c>
      <c r="I127">
        <v>2</v>
      </c>
      <c r="J127">
        <v>25</v>
      </c>
      <c r="K127">
        <v>30</v>
      </c>
      <c r="L127">
        <v>40</v>
      </c>
      <c r="M127">
        <v>0.7</v>
      </c>
      <c r="N127">
        <v>0</v>
      </c>
    </row>
    <row r="128" spans="1:14" x14ac:dyDescent="0.25">
      <c r="A128" s="15" t="s">
        <v>164</v>
      </c>
    </row>
    <row r="129" spans="1:14" x14ac:dyDescent="0.25">
      <c r="A129" s="15" t="s">
        <v>165</v>
      </c>
      <c r="B129">
        <v>2.5</v>
      </c>
      <c r="C129">
        <v>-2.5</v>
      </c>
      <c r="D129">
        <v>5</v>
      </c>
      <c r="E129">
        <v>11</v>
      </c>
      <c r="F129">
        <v>1</v>
      </c>
      <c r="G129">
        <v>0</v>
      </c>
      <c r="H129">
        <v>0.5</v>
      </c>
      <c r="I129">
        <v>2</v>
      </c>
      <c r="J129">
        <v>25</v>
      </c>
      <c r="K129">
        <v>30</v>
      </c>
      <c r="L129">
        <v>10</v>
      </c>
      <c r="M129">
        <v>0.75</v>
      </c>
      <c r="N129">
        <v>0</v>
      </c>
    </row>
    <row r="130" spans="1:14" x14ac:dyDescent="0.25">
      <c r="A130" s="15" t="s">
        <v>166</v>
      </c>
      <c r="B130">
        <v>5</v>
      </c>
      <c r="C130">
        <v>-5</v>
      </c>
      <c r="D130">
        <v>13</v>
      </c>
      <c r="E130">
        <v>19</v>
      </c>
      <c r="F130">
        <v>1</v>
      </c>
      <c r="G130">
        <v>0</v>
      </c>
      <c r="H130">
        <v>0.5</v>
      </c>
      <c r="I130">
        <v>2</v>
      </c>
      <c r="J130">
        <v>25</v>
      </c>
      <c r="K130">
        <v>30</v>
      </c>
      <c r="L130">
        <v>30</v>
      </c>
      <c r="M130">
        <v>0.7</v>
      </c>
      <c r="N130">
        <v>0</v>
      </c>
    </row>
    <row r="131" spans="1:14" x14ac:dyDescent="0.25">
      <c r="A131" s="15" t="s">
        <v>167</v>
      </c>
      <c r="B131">
        <v>10</v>
      </c>
      <c r="C131">
        <v>-10</v>
      </c>
      <c r="D131">
        <v>25</v>
      </c>
      <c r="E131">
        <v>43</v>
      </c>
      <c r="F131">
        <v>1</v>
      </c>
      <c r="G131">
        <v>0</v>
      </c>
      <c r="H131">
        <v>0.5</v>
      </c>
      <c r="I131">
        <v>2</v>
      </c>
      <c r="J131">
        <v>25</v>
      </c>
      <c r="K131">
        <v>30</v>
      </c>
      <c r="L131">
        <v>40</v>
      </c>
      <c r="M131">
        <v>0.65</v>
      </c>
      <c r="N131">
        <v>0</v>
      </c>
    </row>
    <row r="132" spans="1:14" x14ac:dyDescent="0.25">
      <c r="A132" s="15" t="s">
        <v>168</v>
      </c>
      <c r="B132">
        <v>5</v>
      </c>
      <c r="C132">
        <v>-5</v>
      </c>
      <c r="D132">
        <v>6</v>
      </c>
      <c r="E132">
        <v>13</v>
      </c>
      <c r="F132">
        <v>1</v>
      </c>
      <c r="G132">
        <v>0</v>
      </c>
      <c r="H132">
        <v>0.5</v>
      </c>
      <c r="I132">
        <v>2</v>
      </c>
      <c r="J132">
        <v>25</v>
      </c>
      <c r="K132">
        <v>30</v>
      </c>
      <c r="L132">
        <v>10</v>
      </c>
      <c r="M132">
        <v>0.75</v>
      </c>
      <c r="N132">
        <v>0</v>
      </c>
    </row>
    <row r="133" spans="1:14" x14ac:dyDescent="0.25">
      <c r="A133" s="15" t="s">
        <v>169</v>
      </c>
      <c r="B133">
        <v>10</v>
      </c>
      <c r="C133">
        <v>-10</v>
      </c>
      <c r="D133">
        <v>15</v>
      </c>
      <c r="E133">
        <v>23</v>
      </c>
      <c r="F133">
        <v>1</v>
      </c>
      <c r="G133">
        <v>0</v>
      </c>
      <c r="H133">
        <v>0.5</v>
      </c>
      <c r="I133">
        <v>2</v>
      </c>
      <c r="J133">
        <v>25</v>
      </c>
      <c r="K133">
        <v>30</v>
      </c>
      <c r="L133">
        <v>30</v>
      </c>
      <c r="M133">
        <v>0.7</v>
      </c>
      <c r="N133">
        <v>0</v>
      </c>
    </row>
    <row r="134" spans="1:14" x14ac:dyDescent="0.25">
      <c r="A134" s="15" t="s">
        <v>170</v>
      </c>
      <c r="B134">
        <v>20</v>
      </c>
      <c r="C134">
        <v>-20</v>
      </c>
      <c r="D134">
        <v>32</v>
      </c>
      <c r="E134">
        <v>49</v>
      </c>
      <c r="F134">
        <v>1</v>
      </c>
      <c r="G134">
        <v>0</v>
      </c>
      <c r="H134">
        <v>0.5</v>
      </c>
      <c r="I134">
        <v>2</v>
      </c>
      <c r="J134">
        <v>25</v>
      </c>
      <c r="K134">
        <v>30</v>
      </c>
      <c r="L134">
        <v>40</v>
      </c>
      <c r="M134">
        <v>0.65</v>
      </c>
      <c r="N134">
        <v>0</v>
      </c>
    </row>
    <row r="135" spans="1:14" x14ac:dyDescent="0.25">
      <c r="A135" s="15" t="s">
        <v>171</v>
      </c>
      <c r="B135">
        <v>7.5</v>
      </c>
      <c r="C135">
        <v>-7.5</v>
      </c>
      <c r="D135">
        <v>8</v>
      </c>
      <c r="E135">
        <v>14</v>
      </c>
      <c r="F135">
        <v>1</v>
      </c>
      <c r="G135">
        <v>0</v>
      </c>
      <c r="H135">
        <v>0.5</v>
      </c>
      <c r="I135">
        <v>2</v>
      </c>
      <c r="J135">
        <v>25</v>
      </c>
      <c r="K135">
        <v>30</v>
      </c>
      <c r="L135">
        <v>10</v>
      </c>
      <c r="M135">
        <v>0.75</v>
      </c>
      <c r="N135">
        <v>0</v>
      </c>
    </row>
    <row r="136" spans="1:14" x14ac:dyDescent="0.25">
      <c r="A136" s="15" t="s">
        <v>172</v>
      </c>
      <c r="B136">
        <v>15</v>
      </c>
      <c r="C136">
        <v>-15</v>
      </c>
      <c r="D136">
        <v>16</v>
      </c>
      <c r="E136">
        <v>28</v>
      </c>
      <c r="F136">
        <v>1</v>
      </c>
      <c r="G136">
        <v>0</v>
      </c>
      <c r="H136">
        <v>0.5</v>
      </c>
      <c r="I136">
        <v>2</v>
      </c>
      <c r="J136">
        <v>25</v>
      </c>
      <c r="K136">
        <v>30</v>
      </c>
      <c r="L136">
        <v>30</v>
      </c>
      <c r="M136">
        <v>0.7</v>
      </c>
      <c r="N136">
        <v>0</v>
      </c>
    </row>
    <row r="137" spans="1:14" x14ac:dyDescent="0.25">
      <c r="A137" s="15" t="s">
        <v>173</v>
      </c>
      <c r="B137">
        <v>30</v>
      </c>
      <c r="C137">
        <v>-30</v>
      </c>
      <c r="D137">
        <v>35</v>
      </c>
      <c r="E137">
        <v>59</v>
      </c>
      <c r="F137">
        <v>1</v>
      </c>
      <c r="G137">
        <v>0</v>
      </c>
      <c r="H137">
        <v>0.5</v>
      </c>
      <c r="I137">
        <v>2</v>
      </c>
      <c r="J137">
        <v>25</v>
      </c>
      <c r="K137">
        <v>30</v>
      </c>
      <c r="L137">
        <v>40</v>
      </c>
      <c r="M137">
        <v>0.65</v>
      </c>
      <c r="N137">
        <v>0</v>
      </c>
    </row>
    <row r="138" spans="1:14" x14ac:dyDescent="0.25">
      <c r="A138" s="15" t="s">
        <v>174</v>
      </c>
      <c r="B138">
        <v>10</v>
      </c>
      <c r="C138">
        <v>-10</v>
      </c>
      <c r="D138">
        <v>9</v>
      </c>
      <c r="E138">
        <v>16</v>
      </c>
      <c r="F138">
        <v>1</v>
      </c>
      <c r="G138">
        <v>0</v>
      </c>
      <c r="H138">
        <v>0.5</v>
      </c>
      <c r="I138">
        <v>2</v>
      </c>
      <c r="J138">
        <v>25</v>
      </c>
      <c r="K138">
        <v>30</v>
      </c>
      <c r="L138">
        <v>10</v>
      </c>
      <c r="M138">
        <v>0.75</v>
      </c>
      <c r="N138">
        <v>0</v>
      </c>
    </row>
    <row r="139" spans="1:14" x14ac:dyDescent="0.25">
      <c r="A139" s="15" t="s">
        <v>175</v>
      </c>
      <c r="B139">
        <v>20</v>
      </c>
      <c r="C139">
        <v>-20</v>
      </c>
      <c r="D139">
        <v>18</v>
      </c>
      <c r="E139">
        <v>32</v>
      </c>
      <c r="F139">
        <v>1</v>
      </c>
      <c r="G139">
        <v>0</v>
      </c>
      <c r="H139">
        <v>0.5</v>
      </c>
      <c r="I139">
        <v>2</v>
      </c>
      <c r="J139">
        <v>25</v>
      </c>
      <c r="K139">
        <v>30</v>
      </c>
      <c r="L139">
        <v>30</v>
      </c>
      <c r="M139">
        <v>0.7</v>
      </c>
      <c r="N139">
        <v>0</v>
      </c>
    </row>
    <row r="140" spans="1:14" x14ac:dyDescent="0.25">
      <c r="A140" s="15" t="s">
        <v>176</v>
      </c>
      <c r="B140">
        <v>40</v>
      </c>
      <c r="C140">
        <v>-40</v>
      </c>
      <c r="D140">
        <v>39</v>
      </c>
      <c r="E140">
        <v>68</v>
      </c>
      <c r="F140">
        <v>1</v>
      </c>
      <c r="G140">
        <v>0</v>
      </c>
      <c r="H140">
        <v>0.5</v>
      </c>
      <c r="I140">
        <v>2</v>
      </c>
      <c r="J140">
        <v>25</v>
      </c>
      <c r="K140">
        <v>30</v>
      </c>
      <c r="L140">
        <v>40</v>
      </c>
      <c r="M140">
        <v>0.65</v>
      </c>
      <c r="N140">
        <v>0</v>
      </c>
    </row>
    <row r="141" spans="1:14" x14ac:dyDescent="0.25">
      <c r="A141" s="15" t="s">
        <v>177</v>
      </c>
      <c r="B141">
        <v>2.5</v>
      </c>
      <c r="C141">
        <v>-2.5</v>
      </c>
      <c r="D141">
        <v>6</v>
      </c>
      <c r="E141">
        <v>13</v>
      </c>
      <c r="F141">
        <v>1</v>
      </c>
      <c r="G141">
        <v>0</v>
      </c>
      <c r="H141">
        <v>0.5</v>
      </c>
      <c r="I141">
        <v>2</v>
      </c>
      <c r="J141">
        <v>25</v>
      </c>
      <c r="K141">
        <v>30</v>
      </c>
      <c r="L141">
        <v>10</v>
      </c>
      <c r="M141">
        <v>0.75</v>
      </c>
      <c r="N141">
        <v>0</v>
      </c>
    </row>
    <row r="142" spans="1:14" x14ac:dyDescent="0.25">
      <c r="A142" s="15" t="s">
        <v>178</v>
      </c>
      <c r="B142">
        <v>5</v>
      </c>
      <c r="C142">
        <v>-5</v>
      </c>
      <c r="D142">
        <v>15</v>
      </c>
      <c r="E142">
        <v>23</v>
      </c>
      <c r="F142">
        <v>1</v>
      </c>
      <c r="G142">
        <v>0</v>
      </c>
      <c r="H142">
        <v>0.5</v>
      </c>
      <c r="I142">
        <v>2</v>
      </c>
      <c r="J142">
        <v>25</v>
      </c>
      <c r="K142">
        <v>30</v>
      </c>
      <c r="L142">
        <v>30</v>
      </c>
      <c r="M142">
        <v>0.7</v>
      </c>
      <c r="N142">
        <v>0</v>
      </c>
    </row>
    <row r="143" spans="1:14" x14ac:dyDescent="0.25">
      <c r="A143" s="15" t="s">
        <v>179</v>
      </c>
      <c r="B143">
        <v>10</v>
      </c>
      <c r="C143">
        <v>-10</v>
      </c>
      <c r="D143">
        <v>32</v>
      </c>
      <c r="E143">
        <v>49</v>
      </c>
      <c r="F143">
        <v>1</v>
      </c>
      <c r="G143">
        <v>0</v>
      </c>
      <c r="H143">
        <v>0.5</v>
      </c>
      <c r="I143">
        <v>2</v>
      </c>
      <c r="J143">
        <v>25</v>
      </c>
      <c r="K143">
        <v>30</v>
      </c>
      <c r="L143">
        <v>40</v>
      </c>
      <c r="M143">
        <v>0.65</v>
      </c>
      <c r="N143">
        <v>0</v>
      </c>
    </row>
    <row r="144" spans="1:14" x14ac:dyDescent="0.25">
      <c r="A144" s="15" t="s">
        <v>180</v>
      </c>
      <c r="B144">
        <v>5</v>
      </c>
      <c r="C144">
        <v>-5</v>
      </c>
      <c r="D144">
        <v>8</v>
      </c>
      <c r="E144">
        <v>14</v>
      </c>
      <c r="F144">
        <v>1</v>
      </c>
      <c r="G144">
        <v>0</v>
      </c>
      <c r="H144">
        <v>0.5</v>
      </c>
      <c r="I144">
        <v>2</v>
      </c>
      <c r="J144">
        <v>25</v>
      </c>
      <c r="K144">
        <v>30</v>
      </c>
      <c r="L144">
        <v>10</v>
      </c>
      <c r="M144">
        <v>0.75</v>
      </c>
      <c r="N144">
        <v>0</v>
      </c>
    </row>
    <row r="145" spans="1:14" x14ac:dyDescent="0.25">
      <c r="A145" s="15" t="s">
        <v>181</v>
      </c>
      <c r="B145">
        <v>10</v>
      </c>
      <c r="C145">
        <v>-10</v>
      </c>
      <c r="D145">
        <v>16</v>
      </c>
      <c r="E145">
        <v>28</v>
      </c>
      <c r="F145">
        <v>1</v>
      </c>
      <c r="G145">
        <v>0</v>
      </c>
      <c r="H145">
        <v>0.5</v>
      </c>
      <c r="I145">
        <v>2</v>
      </c>
      <c r="J145">
        <v>25</v>
      </c>
      <c r="K145">
        <v>30</v>
      </c>
      <c r="L145">
        <v>30</v>
      </c>
      <c r="M145">
        <v>0.7</v>
      </c>
      <c r="N145">
        <v>0</v>
      </c>
    </row>
    <row r="146" spans="1:14" x14ac:dyDescent="0.25">
      <c r="A146" s="15" t="s">
        <v>182</v>
      </c>
      <c r="B146">
        <v>20</v>
      </c>
      <c r="C146">
        <v>-20</v>
      </c>
      <c r="D146">
        <v>35</v>
      </c>
      <c r="E146">
        <v>59</v>
      </c>
      <c r="F146">
        <v>1</v>
      </c>
      <c r="G146">
        <v>0</v>
      </c>
      <c r="H146">
        <v>0.5</v>
      </c>
      <c r="I146">
        <v>2</v>
      </c>
      <c r="J146">
        <v>25</v>
      </c>
      <c r="K146">
        <v>30</v>
      </c>
      <c r="L146">
        <v>40</v>
      </c>
      <c r="M146">
        <v>0.65</v>
      </c>
      <c r="N146">
        <v>0</v>
      </c>
    </row>
    <row r="147" spans="1:14" x14ac:dyDescent="0.25">
      <c r="A147" s="15" t="s">
        <v>183</v>
      </c>
      <c r="B147">
        <v>7.5</v>
      </c>
      <c r="C147">
        <v>-7.5</v>
      </c>
      <c r="D147">
        <v>9</v>
      </c>
      <c r="E147">
        <v>16</v>
      </c>
      <c r="F147">
        <v>1</v>
      </c>
      <c r="G147">
        <v>0</v>
      </c>
      <c r="H147">
        <v>0.5</v>
      </c>
      <c r="I147">
        <v>2</v>
      </c>
      <c r="J147">
        <v>25</v>
      </c>
      <c r="K147">
        <v>30</v>
      </c>
      <c r="L147">
        <v>10</v>
      </c>
      <c r="M147">
        <v>0.75</v>
      </c>
      <c r="N147">
        <v>0</v>
      </c>
    </row>
    <row r="148" spans="1:14" x14ac:dyDescent="0.25">
      <c r="A148" s="15" t="s">
        <v>184</v>
      </c>
      <c r="B148">
        <v>15</v>
      </c>
      <c r="C148">
        <v>-15</v>
      </c>
      <c r="D148">
        <v>18</v>
      </c>
      <c r="E148">
        <v>32</v>
      </c>
      <c r="F148">
        <v>1</v>
      </c>
      <c r="G148">
        <v>0</v>
      </c>
      <c r="H148">
        <v>0.5</v>
      </c>
      <c r="I148">
        <v>2</v>
      </c>
      <c r="J148">
        <v>25</v>
      </c>
      <c r="K148">
        <v>30</v>
      </c>
      <c r="L148">
        <v>30</v>
      </c>
      <c r="M148">
        <v>0.7</v>
      </c>
      <c r="N148">
        <v>0</v>
      </c>
    </row>
    <row r="149" spans="1:14" x14ac:dyDescent="0.25">
      <c r="A149" s="15" t="s">
        <v>185</v>
      </c>
      <c r="B149">
        <v>30</v>
      </c>
      <c r="C149">
        <v>-30</v>
      </c>
      <c r="D149">
        <v>39</v>
      </c>
      <c r="E149">
        <v>68</v>
      </c>
      <c r="F149">
        <v>1</v>
      </c>
      <c r="G149">
        <v>0</v>
      </c>
      <c r="H149">
        <v>0.5</v>
      </c>
      <c r="I149">
        <v>2</v>
      </c>
      <c r="J149">
        <v>25</v>
      </c>
      <c r="K149">
        <v>30</v>
      </c>
      <c r="L149">
        <v>40</v>
      </c>
      <c r="M149">
        <v>0.65</v>
      </c>
      <c r="N149">
        <v>0</v>
      </c>
    </row>
    <row r="150" spans="1:14" x14ac:dyDescent="0.25">
      <c r="A150" s="15" t="s">
        <v>186</v>
      </c>
      <c r="B150">
        <v>10</v>
      </c>
      <c r="C150">
        <v>-10</v>
      </c>
      <c r="D150">
        <v>10</v>
      </c>
      <c r="E150">
        <v>18</v>
      </c>
      <c r="F150">
        <v>1</v>
      </c>
      <c r="G150">
        <v>0</v>
      </c>
      <c r="H150">
        <v>0.5</v>
      </c>
      <c r="I150">
        <v>2</v>
      </c>
      <c r="J150">
        <v>25</v>
      </c>
      <c r="K150">
        <v>30</v>
      </c>
      <c r="L150">
        <v>10</v>
      </c>
      <c r="M150">
        <v>0.75</v>
      </c>
      <c r="N150">
        <v>0</v>
      </c>
    </row>
    <row r="151" spans="1:14" x14ac:dyDescent="0.25">
      <c r="A151" s="15" t="s">
        <v>187</v>
      </c>
      <c r="B151">
        <v>20</v>
      </c>
      <c r="C151">
        <v>-20</v>
      </c>
      <c r="D151">
        <v>20</v>
      </c>
      <c r="E151">
        <v>36</v>
      </c>
      <c r="F151">
        <v>1</v>
      </c>
      <c r="G151">
        <v>0</v>
      </c>
      <c r="H151">
        <v>0.5</v>
      </c>
      <c r="I151">
        <v>2</v>
      </c>
      <c r="J151">
        <v>25</v>
      </c>
      <c r="K151">
        <v>30</v>
      </c>
      <c r="L151">
        <v>30</v>
      </c>
      <c r="M151">
        <v>0.7</v>
      </c>
      <c r="N151">
        <v>0</v>
      </c>
    </row>
    <row r="152" spans="1:14" x14ac:dyDescent="0.25">
      <c r="A152" s="15" t="s">
        <v>188</v>
      </c>
      <c r="B152">
        <v>40</v>
      </c>
      <c r="C152">
        <v>-40</v>
      </c>
      <c r="D152">
        <v>43</v>
      </c>
      <c r="E152">
        <v>78</v>
      </c>
      <c r="F152">
        <v>1</v>
      </c>
      <c r="G152">
        <v>0</v>
      </c>
      <c r="H152">
        <v>0.5</v>
      </c>
      <c r="I152">
        <v>2</v>
      </c>
      <c r="J152">
        <v>25</v>
      </c>
      <c r="K152">
        <v>30</v>
      </c>
      <c r="L152">
        <v>40</v>
      </c>
      <c r="M152">
        <v>0.65</v>
      </c>
      <c r="N152">
        <v>0</v>
      </c>
    </row>
    <row r="153" spans="1:14" x14ac:dyDescent="0.25">
      <c r="A153" s="15" t="s">
        <v>189</v>
      </c>
    </row>
    <row r="154" spans="1:14" x14ac:dyDescent="0.25">
      <c r="A154" s="15" t="s">
        <v>190</v>
      </c>
      <c r="B154">
        <v>15</v>
      </c>
      <c r="C154">
        <v>-15</v>
      </c>
      <c r="D154">
        <v>19</v>
      </c>
      <c r="E154">
        <v>29</v>
      </c>
      <c r="F154">
        <v>1</v>
      </c>
      <c r="G154">
        <v>0</v>
      </c>
      <c r="H154">
        <v>1</v>
      </c>
      <c r="I154">
        <v>2</v>
      </c>
      <c r="J154">
        <v>25</v>
      </c>
      <c r="K154">
        <v>30</v>
      </c>
      <c r="L154">
        <v>30</v>
      </c>
      <c r="M154">
        <v>0.85</v>
      </c>
      <c r="N154">
        <v>0</v>
      </c>
    </row>
    <row r="155" spans="1:14" x14ac:dyDescent="0.25">
      <c r="A155" s="15" t="s">
        <v>191</v>
      </c>
      <c r="B155">
        <v>5</v>
      </c>
      <c r="C155">
        <v>-5</v>
      </c>
      <c r="D155">
        <v>7</v>
      </c>
      <c r="E155">
        <v>12</v>
      </c>
      <c r="F155">
        <v>1</v>
      </c>
      <c r="G155">
        <v>0</v>
      </c>
      <c r="H155">
        <v>0.5</v>
      </c>
      <c r="I155">
        <v>2</v>
      </c>
      <c r="J155">
        <v>25</v>
      </c>
      <c r="K155">
        <v>30</v>
      </c>
      <c r="L155">
        <v>30</v>
      </c>
      <c r="M155">
        <v>0.75</v>
      </c>
      <c r="N155">
        <v>0</v>
      </c>
    </row>
    <row r="156" spans="1:14" x14ac:dyDescent="0.25">
      <c r="A156" s="15" t="s">
        <v>192</v>
      </c>
      <c r="B156">
        <v>10</v>
      </c>
      <c r="C156">
        <v>-10</v>
      </c>
      <c r="D156">
        <v>16</v>
      </c>
      <c r="E156">
        <v>23</v>
      </c>
      <c r="F156">
        <v>1</v>
      </c>
      <c r="G156">
        <v>0</v>
      </c>
      <c r="H156">
        <v>0.5</v>
      </c>
      <c r="I156">
        <v>2</v>
      </c>
      <c r="J156">
        <v>25</v>
      </c>
      <c r="K156">
        <v>30</v>
      </c>
      <c r="L156">
        <v>30</v>
      </c>
      <c r="M156">
        <v>0.7</v>
      </c>
      <c r="N156">
        <v>0</v>
      </c>
    </row>
    <row r="157" spans="1:14" x14ac:dyDescent="0.25">
      <c r="A157" s="15" t="s">
        <v>193</v>
      </c>
      <c r="B157">
        <v>20</v>
      </c>
      <c r="C157">
        <v>-20</v>
      </c>
      <c r="D157">
        <v>34</v>
      </c>
      <c r="E157">
        <v>49</v>
      </c>
      <c r="F157">
        <v>1</v>
      </c>
      <c r="G157">
        <v>0</v>
      </c>
      <c r="H157">
        <v>0.5</v>
      </c>
      <c r="I157">
        <v>2</v>
      </c>
      <c r="J157">
        <v>25</v>
      </c>
      <c r="K157">
        <v>30</v>
      </c>
      <c r="L157">
        <v>30</v>
      </c>
      <c r="M157">
        <v>0.65</v>
      </c>
      <c r="N157">
        <v>0</v>
      </c>
    </row>
    <row r="158" spans="1:14" x14ac:dyDescent="0.25">
      <c r="A158" s="15" t="s">
        <v>194</v>
      </c>
      <c r="B158">
        <v>7.5</v>
      </c>
      <c r="C158">
        <v>-7.5</v>
      </c>
      <c r="D158">
        <v>9</v>
      </c>
      <c r="E158">
        <v>15</v>
      </c>
      <c r="F158">
        <v>1</v>
      </c>
      <c r="G158">
        <v>0</v>
      </c>
      <c r="H158">
        <v>0.25</v>
      </c>
      <c r="I158">
        <v>2</v>
      </c>
      <c r="J158">
        <v>25</v>
      </c>
      <c r="K158">
        <v>30</v>
      </c>
      <c r="L158">
        <v>30</v>
      </c>
      <c r="M158">
        <v>0.75</v>
      </c>
      <c r="N158">
        <v>0</v>
      </c>
    </row>
    <row r="159" spans="1:14" x14ac:dyDescent="0.25">
      <c r="A159" s="15" t="s">
        <v>195</v>
      </c>
      <c r="B159">
        <v>15</v>
      </c>
      <c r="C159">
        <v>-15</v>
      </c>
      <c r="D159">
        <v>17</v>
      </c>
      <c r="E159">
        <v>30</v>
      </c>
      <c r="F159">
        <v>1</v>
      </c>
      <c r="G159">
        <v>0</v>
      </c>
      <c r="H159">
        <v>0.25</v>
      </c>
      <c r="I159">
        <v>2</v>
      </c>
      <c r="J159">
        <v>25</v>
      </c>
      <c r="K159">
        <v>30</v>
      </c>
      <c r="L159">
        <v>30</v>
      </c>
      <c r="M159">
        <v>0.75</v>
      </c>
      <c r="N159">
        <v>0</v>
      </c>
    </row>
    <row r="160" spans="1:14" x14ac:dyDescent="0.25">
      <c r="A160" s="15" t="s">
        <v>196</v>
      </c>
      <c r="B160">
        <v>7.5</v>
      </c>
      <c r="C160">
        <v>-7.5</v>
      </c>
      <c r="D160">
        <v>8</v>
      </c>
      <c r="E160">
        <v>14</v>
      </c>
      <c r="F160">
        <v>1</v>
      </c>
      <c r="G160">
        <v>0</v>
      </c>
      <c r="H160">
        <v>1</v>
      </c>
      <c r="I160">
        <v>2</v>
      </c>
      <c r="J160">
        <v>25</v>
      </c>
      <c r="K160">
        <v>30</v>
      </c>
      <c r="L160">
        <v>20</v>
      </c>
      <c r="M160">
        <v>0.75</v>
      </c>
      <c r="N160">
        <v>0</v>
      </c>
    </row>
    <row r="161" spans="1:14" x14ac:dyDescent="0.25">
      <c r="A161" s="15" t="s">
        <v>197</v>
      </c>
      <c r="B161">
        <v>15</v>
      </c>
      <c r="C161">
        <v>-15</v>
      </c>
      <c r="D161">
        <v>18</v>
      </c>
      <c r="E161">
        <v>27</v>
      </c>
      <c r="F161">
        <v>1</v>
      </c>
      <c r="G161">
        <v>0</v>
      </c>
      <c r="H161">
        <v>1</v>
      </c>
      <c r="I161">
        <v>2</v>
      </c>
      <c r="J161">
        <v>25</v>
      </c>
      <c r="K161">
        <v>30</v>
      </c>
      <c r="L161">
        <v>15</v>
      </c>
      <c r="M161">
        <v>0.7</v>
      </c>
      <c r="N161">
        <v>0</v>
      </c>
    </row>
    <row r="162" spans="1:14" x14ac:dyDescent="0.25">
      <c r="A162" s="15" t="s">
        <v>198</v>
      </c>
    </row>
    <row r="163" spans="1:14" x14ac:dyDescent="0.25">
      <c r="A163" s="15" t="s">
        <v>199</v>
      </c>
      <c r="B163">
        <v>15</v>
      </c>
      <c r="C163">
        <v>-15</v>
      </c>
      <c r="D163">
        <v>13</v>
      </c>
      <c r="E163">
        <v>19</v>
      </c>
      <c r="F163">
        <v>1</v>
      </c>
      <c r="G163">
        <v>0.5</v>
      </c>
      <c r="H163">
        <v>0.5</v>
      </c>
      <c r="I163">
        <v>2</v>
      </c>
      <c r="J163">
        <v>25</v>
      </c>
      <c r="K163">
        <v>25</v>
      </c>
      <c r="L163">
        <v>20</v>
      </c>
      <c r="M163">
        <v>0.78</v>
      </c>
      <c r="N163">
        <v>0</v>
      </c>
    </row>
    <row r="164" spans="1:14" x14ac:dyDescent="0.25">
      <c r="A164" s="15" t="s">
        <v>200</v>
      </c>
      <c r="B164">
        <v>30</v>
      </c>
      <c r="C164">
        <v>-30</v>
      </c>
      <c r="D164">
        <v>25</v>
      </c>
      <c r="E164">
        <v>43</v>
      </c>
      <c r="F164">
        <v>1</v>
      </c>
      <c r="G164">
        <v>0.5</v>
      </c>
      <c r="H164">
        <v>0.5</v>
      </c>
      <c r="I164">
        <v>2</v>
      </c>
      <c r="J164">
        <v>25</v>
      </c>
      <c r="K164">
        <v>25</v>
      </c>
      <c r="L164">
        <v>30</v>
      </c>
      <c r="M164">
        <v>0.75</v>
      </c>
      <c r="N164">
        <v>0</v>
      </c>
    </row>
    <row r="165" spans="1:14" x14ac:dyDescent="0.25">
      <c r="A165" s="15" t="s">
        <v>201</v>
      </c>
      <c r="B165">
        <v>60</v>
      </c>
      <c r="C165">
        <v>-60</v>
      </c>
      <c r="D165">
        <v>55</v>
      </c>
      <c r="E165">
        <v>100</v>
      </c>
      <c r="F165">
        <v>1</v>
      </c>
      <c r="G165">
        <v>0.5</v>
      </c>
      <c r="H165">
        <v>0.5</v>
      </c>
      <c r="I165">
        <v>2</v>
      </c>
      <c r="J165">
        <v>25</v>
      </c>
      <c r="K165">
        <v>25</v>
      </c>
      <c r="L165">
        <v>40</v>
      </c>
      <c r="M165">
        <v>0.74</v>
      </c>
      <c r="N165">
        <v>0</v>
      </c>
    </row>
    <row r="166" spans="1:14" x14ac:dyDescent="0.25">
      <c r="A166" s="15" t="s">
        <v>202</v>
      </c>
    </row>
    <row r="167" spans="1:14" x14ac:dyDescent="0.25">
      <c r="A167" s="15" t="s">
        <v>203</v>
      </c>
      <c r="B167">
        <v>0</v>
      </c>
      <c r="C167">
        <v>0</v>
      </c>
      <c r="D167">
        <v>14</v>
      </c>
      <c r="E167">
        <v>25</v>
      </c>
      <c r="F167">
        <v>1</v>
      </c>
      <c r="G167">
        <v>0</v>
      </c>
      <c r="H167">
        <v>0</v>
      </c>
      <c r="I167">
        <v>2</v>
      </c>
      <c r="J167">
        <v>25</v>
      </c>
      <c r="K167">
        <v>40</v>
      </c>
      <c r="L167">
        <v>26</v>
      </c>
      <c r="M167">
        <v>1</v>
      </c>
      <c r="N167">
        <v>5</v>
      </c>
    </row>
    <row r="168" spans="1:14" x14ac:dyDescent="0.25">
      <c r="A168" s="15" t="s">
        <v>204</v>
      </c>
      <c r="B168">
        <v>0</v>
      </c>
      <c r="C168">
        <v>0</v>
      </c>
      <c r="D168">
        <v>25</v>
      </c>
      <c r="E168">
        <v>50</v>
      </c>
      <c r="F168">
        <v>1</v>
      </c>
      <c r="G168">
        <v>0</v>
      </c>
      <c r="H168">
        <v>0</v>
      </c>
      <c r="I168">
        <v>2</v>
      </c>
      <c r="J168">
        <v>25</v>
      </c>
      <c r="K168">
        <v>40</v>
      </c>
      <c r="L168">
        <v>36</v>
      </c>
      <c r="M168">
        <v>1</v>
      </c>
      <c r="N168">
        <v>5</v>
      </c>
    </row>
    <row r="169" spans="1:14" x14ac:dyDescent="0.25">
      <c r="A169" s="15" t="s">
        <v>205</v>
      </c>
      <c r="B169">
        <v>0</v>
      </c>
      <c r="C169">
        <v>0</v>
      </c>
      <c r="D169">
        <v>52</v>
      </c>
      <c r="E169">
        <v>90</v>
      </c>
      <c r="F169">
        <v>1</v>
      </c>
      <c r="G169">
        <v>0</v>
      </c>
      <c r="H169">
        <v>0</v>
      </c>
      <c r="I169">
        <v>2</v>
      </c>
      <c r="J169">
        <v>25</v>
      </c>
      <c r="K169">
        <v>40</v>
      </c>
      <c r="L169">
        <v>46</v>
      </c>
      <c r="M169">
        <v>1</v>
      </c>
      <c r="N169">
        <v>5</v>
      </c>
    </row>
    <row r="170" spans="1:14" x14ac:dyDescent="0.25">
      <c r="A170" s="15" t="s">
        <v>206</v>
      </c>
      <c r="B170">
        <v>50</v>
      </c>
      <c r="C170">
        <v>-50</v>
      </c>
      <c r="D170">
        <v>52</v>
      </c>
      <c r="E170">
        <v>90</v>
      </c>
      <c r="F170">
        <v>1</v>
      </c>
      <c r="G170">
        <v>0</v>
      </c>
      <c r="H170">
        <v>0</v>
      </c>
      <c r="I170">
        <v>2</v>
      </c>
      <c r="J170">
        <v>25</v>
      </c>
      <c r="K170">
        <v>40</v>
      </c>
      <c r="L170">
        <v>46</v>
      </c>
      <c r="M170">
        <v>1</v>
      </c>
      <c r="N170">
        <v>5</v>
      </c>
    </row>
    <row r="171" spans="1:14" x14ac:dyDescent="0.25">
      <c r="A171" s="15" t="s">
        <v>207</v>
      </c>
      <c r="B171">
        <v>12.5</v>
      </c>
      <c r="C171">
        <v>-12.5</v>
      </c>
      <c r="D171">
        <v>10</v>
      </c>
      <c r="E171">
        <v>23</v>
      </c>
      <c r="F171">
        <v>1</v>
      </c>
      <c r="G171">
        <v>0</v>
      </c>
      <c r="H171">
        <v>0</v>
      </c>
      <c r="I171">
        <v>2</v>
      </c>
      <c r="J171">
        <v>25</v>
      </c>
      <c r="K171">
        <v>30</v>
      </c>
      <c r="L171">
        <v>30</v>
      </c>
      <c r="M171">
        <v>0.75</v>
      </c>
      <c r="N171">
        <v>0</v>
      </c>
    </row>
    <row r="172" spans="1:14" x14ac:dyDescent="0.25">
      <c r="A172" s="15" t="s">
        <v>208</v>
      </c>
      <c r="B172">
        <v>25</v>
      </c>
      <c r="C172">
        <v>-25</v>
      </c>
      <c r="D172">
        <v>20</v>
      </c>
      <c r="E172">
        <v>46</v>
      </c>
      <c r="F172">
        <v>1</v>
      </c>
      <c r="G172">
        <v>0</v>
      </c>
      <c r="H172">
        <v>0</v>
      </c>
      <c r="I172">
        <v>2</v>
      </c>
      <c r="J172">
        <v>25</v>
      </c>
      <c r="K172">
        <v>30</v>
      </c>
      <c r="L172">
        <v>30</v>
      </c>
      <c r="M172">
        <v>0.75</v>
      </c>
      <c r="N172">
        <v>0</v>
      </c>
    </row>
    <row r="173" spans="1:14" x14ac:dyDescent="0.25">
      <c r="A173" s="15" t="s">
        <v>209</v>
      </c>
    </row>
    <row r="174" spans="1:14" x14ac:dyDescent="0.25">
      <c r="A174" s="15" t="s">
        <v>210</v>
      </c>
      <c r="B174">
        <v>0</v>
      </c>
      <c r="C174">
        <v>0</v>
      </c>
      <c r="D174">
        <v>90</v>
      </c>
      <c r="E174">
        <v>250</v>
      </c>
      <c r="F174">
        <v>1</v>
      </c>
      <c r="G174">
        <v>0</v>
      </c>
      <c r="H174">
        <v>1</v>
      </c>
      <c r="I174">
        <v>2</v>
      </c>
      <c r="J174">
        <v>25</v>
      </c>
      <c r="K174">
        <v>100</v>
      </c>
      <c r="L174">
        <v>70</v>
      </c>
      <c r="M174">
        <v>0.9</v>
      </c>
      <c r="N174">
        <v>0</v>
      </c>
    </row>
    <row r="175" spans="1:14" x14ac:dyDescent="0.25">
      <c r="A175" s="15" t="s">
        <v>211</v>
      </c>
    </row>
    <row r="176" spans="1:14" x14ac:dyDescent="0.25">
      <c r="A176" s="15" t="s">
        <v>212</v>
      </c>
      <c r="B176">
        <v>5</v>
      </c>
      <c r="C176">
        <v>-5</v>
      </c>
      <c r="D176">
        <v>2</v>
      </c>
      <c r="E176">
        <v>3</v>
      </c>
      <c r="F176">
        <v>1</v>
      </c>
      <c r="G176">
        <v>0</v>
      </c>
      <c r="H176">
        <v>0</v>
      </c>
      <c r="I176">
        <v>1</v>
      </c>
      <c r="J176">
        <v>3</v>
      </c>
      <c r="K176">
        <v>7</v>
      </c>
      <c r="L176">
        <v>8</v>
      </c>
      <c r="M176">
        <v>0.4</v>
      </c>
      <c r="N176">
        <v>0</v>
      </c>
    </row>
    <row r="177" spans="1:14" x14ac:dyDescent="0.25">
      <c r="A177" s="15" t="s">
        <v>213</v>
      </c>
      <c r="B177">
        <v>7.5</v>
      </c>
      <c r="C177">
        <v>-7.5</v>
      </c>
      <c r="D177">
        <v>3</v>
      </c>
      <c r="E177">
        <v>4</v>
      </c>
      <c r="F177">
        <v>1</v>
      </c>
      <c r="G177">
        <v>0</v>
      </c>
      <c r="H177">
        <v>0</v>
      </c>
      <c r="I177">
        <v>1</v>
      </c>
      <c r="J177">
        <v>3</v>
      </c>
      <c r="K177">
        <v>7</v>
      </c>
      <c r="L177">
        <v>8</v>
      </c>
      <c r="M177">
        <v>0.4</v>
      </c>
      <c r="N177">
        <v>0</v>
      </c>
    </row>
    <row r="178" spans="1:14" x14ac:dyDescent="0.25">
      <c r="A178" s="15" t="s">
        <v>214</v>
      </c>
      <c r="B178">
        <v>10</v>
      </c>
      <c r="C178">
        <v>-10</v>
      </c>
      <c r="D178">
        <v>4</v>
      </c>
      <c r="E178">
        <v>5</v>
      </c>
      <c r="F178">
        <v>1</v>
      </c>
      <c r="G178">
        <v>0</v>
      </c>
      <c r="H178">
        <v>0</v>
      </c>
      <c r="I178">
        <v>1</v>
      </c>
      <c r="J178">
        <v>3</v>
      </c>
      <c r="K178">
        <v>7</v>
      </c>
      <c r="L178">
        <v>8</v>
      </c>
      <c r="M178">
        <v>0.4</v>
      </c>
      <c r="N1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1"/>
  <sheetViews>
    <sheetView topLeftCell="A82" workbookViewId="0">
      <selection activeCell="S120" sqref="S120"/>
    </sheetView>
  </sheetViews>
  <sheetFormatPr defaultRowHeight="15" x14ac:dyDescent="0.25"/>
  <cols>
    <col min="1" max="1" width="9.140625" style="2"/>
    <col min="2" max="2" width="11.140625" style="2" customWidth="1"/>
    <col min="5" max="5" width="24.85546875" customWidth="1"/>
    <col min="6" max="6" width="15" customWidth="1"/>
    <col min="7" max="7" width="11.42578125" customWidth="1"/>
    <col min="8" max="8" width="9.85546875" customWidth="1"/>
    <col min="11" max="11" width="11.5703125" customWidth="1"/>
    <col min="13" max="13" width="9.140625" style="2"/>
    <col min="17" max="17" width="15.5703125" customWidth="1"/>
  </cols>
  <sheetData>
    <row r="1" spans="1:29" x14ac:dyDescent="0.25">
      <c r="E1" t="s">
        <v>131</v>
      </c>
      <c r="F1">
        <v>2.5</v>
      </c>
      <c r="I1" t="s">
        <v>241</v>
      </c>
      <c r="J1" t="s">
        <v>242</v>
      </c>
      <c r="N1" s="14" t="s">
        <v>130</v>
      </c>
      <c r="O1" s="14" t="s">
        <v>23</v>
      </c>
      <c r="P1" s="14" t="s">
        <v>144</v>
      </c>
      <c r="Q1" s="14" t="s">
        <v>233</v>
      </c>
      <c r="R1">
        <v>1</v>
      </c>
      <c r="T1" s="14" t="s">
        <v>249</v>
      </c>
    </row>
    <row r="2" spans="1:29" x14ac:dyDescent="0.25">
      <c r="B2" s="2">
        <f>1/0.2</f>
        <v>5</v>
      </c>
      <c r="E2" t="s">
        <v>137</v>
      </c>
      <c r="F2">
        <v>0</v>
      </c>
      <c r="I2">
        <v>45</v>
      </c>
      <c r="J2" s="19">
        <v>-3.0000000000000001E-3</v>
      </c>
      <c r="M2" s="2">
        <v>0.15</v>
      </c>
      <c r="N2">
        <v>1</v>
      </c>
      <c r="O2" s="2">
        <f>M2/2</f>
        <v>7.4999999999999997E-2</v>
      </c>
      <c r="P2" s="2">
        <f>M2/2</f>
        <v>7.4999999999999997E-2</v>
      </c>
      <c r="Q2">
        <f>P2*2</f>
        <v>0.15</v>
      </c>
      <c r="R2">
        <v>2</v>
      </c>
      <c r="T2">
        <v>2.5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</row>
    <row r="3" spans="1:29" x14ac:dyDescent="0.25">
      <c r="E3" t="s">
        <v>243</v>
      </c>
      <c r="F3" s="10">
        <v>1</v>
      </c>
      <c r="G3" s="11">
        <f>F3*F$6</f>
        <v>0.1</v>
      </c>
      <c r="I3" t="s">
        <v>275</v>
      </c>
      <c r="J3">
        <f>0.12</f>
        <v>0.12</v>
      </c>
      <c r="M3" s="2">
        <v>0.3</v>
      </c>
      <c r="N3">
        <v>2</v>
      </c>
      <c r="O3" s="2">
        <f t="shared" ref="O3:O6" si="0">M3/2</f>
        <v>0.15</v>
      </c>
      <c r="P3" s="2">
        <f t="shared" ref="P3:P6" si="1">M3/2</f>
        <v>0.15</v>
      </c>
      <c r="Q3" s="2">
        <f t="shared" ref="Q3:Q6" si="2">P3*2</f>
        <v>0.3</v>
      </c>
      <c r="R3">
        <v>4</v>
      </c>
      <c r="T3">
        <v>3.75</v>
      </c>
      <c r="W3">
        <v>1</v>
      </c>
      <c r="X3">
        <f>(X$2*$W3)-$W3</f>
        <v>0</v>
      </c>
      <c r="Y3" s="2">
        <f t="shared" ref="Y3:AC3" si="3">(Y$2*$W3)-$W3</f>
        <v>1</v>
      </c>
      <c r="Z3" s="2">
        <f t="shared" si="3"/>
        <v>2</v>
      </c>
      <c r="AA3" s="2">
        <f t="shared" si="3"/>
        <v>3</v>
      </c>
      <c r="AB3" s="2">
        <f t="shared" si="3"/>
        <v>4</v>
      </c>
      <c r="AC3" s="2">
        <f t="shared" si="3"/>
        <v>5</v>
      </c>
    </row>
    <row r="4" spans="1:29" x14ac:dyDescent="0.25">
      <c r="E4" t="s">
        <v>244</v>
      </c>
      <c r="F4" s="10">
        <v>0.8</v>
      </c>
      <c r="G4" s="11">
        <f>-F4*F$6</f>
        <v>-8.0000000000000016E-2</v>
      </c>
      <c r="M4" s="2">
        <v>0.44999999999999996</v>
      </c>
      <c r="N4">
        <v>3</v>
      </c>
      <c r="O4" s="2">
        <f t="shared" si="0"/>
        <v>0.22499999999999998</v>
      </c>
      <c r="P4" s="2">
        <f t="shared" si="1"/>
        <v>0.22499999999999998</v>
      </c>
      <c r="Q4" s="2">
        <f t="shared" si="2"/>
        <v>0.44999999999999996</v>
      </c>
      <c r="T4">
        <v>5</v>
      </c>
      <c r="W4">
        <v>2</v>
      </c>
      <c r="X4" s="2">
        <f t="shared" ref="X4:AC8" si="4">(X$2*$W4)-$W4</f>
        <v>0</v>
      </c>
      <c r="Y4" s="2">
        <f t="shared" si="4"/>
        <v>2</v>
      </c>
      <c r="Z4" s="2">
        <f t="shared" si="4"/>
        <v>4</v>
      </c>
      <c r="AA4" s="2">
        <f t="shared" si="4"/>
        <v>6</v>
      </c>
      <c r="AB4" s="2">
        <f t="shared" si="4"/>
        <v>8</v>
      </c>
      <c r="AC4" s="2">
        <f t="shared" si="4"/>
        <v>10</v>
      </c>
    </row>
    <row r="5" spans="1:29" x14ac:dyDescent="0.25">
      <c r="E5" t="s">
        <v>245</v>
      </c>
      <c r="F5" s="10">
        <v>0.2</v>
      </c>
      <c r="G5" s="11">
        <f>-F5*F$6</f>
        <v>-2.0000000000000004E-2</v>
      </c>
      <c r="M5" s="2">
        <v>0.6</v>
      </c>
      <c r="N5">
        <v>4</v>
      </c>
      <c r="O5" s="2">
        <f t="shared" si="0"/>
        <v>0.3</v>
      </c>
      <c r="P5" s="2">
        <f t="shared" si="1"/>
        <v>0.3</v>
      </c>
      <c r="Q5" s="2">
        <f t="shared" si="2"/>
        <v>0.6</v>
      </c>
      <c r="T5">
        <v>7.5</v>
      </c>
      <c r="W5">
        <v>3</v>
      </c>
      <c r="X5" s="2">
        <f t="shared" si="4"/>
        <v>0</v>
      </c>
      <c r="Y5" s="2">
        <f t="shared" si="4"/>
        <v>3</v>
      </c>
      <c r="Z5" s="2">
        <f t="shared" si="4"/>
        <v>6</v>
      </c>
      <c r="AA5" s="2">
        <f t="shared" si="4"/>
        <v>9</v>
      </c>
      <c r="AB5" s="2">
        <f t="shared" si="4"/>
        <v>12</v>
      </c>
      <c r="AC5" s="2">
        <f t="shared" si="4"/>
        <v>15</v>
      </c>
    </row>
    <row r="6" spans="1:29" x14ac:dyDescent="0.25">
      <c r="E6" t="s">
        <v>138</v>
      </c>
      <c r="F6" s="10">
        <v>0.1</v>
      </c>
      <c r="M6" s="2">
        <v>0.75</v>
      </c>
      <c r="N6">
        <v>5</v>
      </c>
      <c r="O6" s="2">
        <f t="shared" si="0"/>
        <v>0.375</v>
      </c>
      <c r="P6" s="2">
        <f t="shared" si="1"/>
        <v>0.375</v>
      </c>
      <c r="Q6" s="2">
        <f t="shared" si="2"/>
        <v>0.75</v>
      </c>
      <c r="T6">
        <v>10</v>
      </c>
      <c r="W6">
        <v>4</v>
      </c>
      <c r="X6" s="2">
        <f t="shared" si="4"/>
        <v>0</v>
      </c>
      <c r="Y6" s="2">
        <f t="shared" si="4"/>
        <v>4</v>
      </c>
      <c r="Z6" s="2">
        <f t="shared" si="4"/>
        <v>8</v>
      </c>
      <c r="AA6" s="2">
        <f t="shared" si="4"/>
        <v>12</v>
      </c>
      <c r="AB6" s="2">
        <f t="shared" si="4"/>
        <v>16</v>
      </c>
      <c r="AC6" s="2">
        <f t="shared" si="4"/>
        <v>20</v>
      </c>
    </row>
    <row r="7" spans="1:29" x14ac:dyDescent="0.25">
      <c r="E7" t="s">
        <v>239</v>
      </c>
      <c r="F7" s="12">
        <v>1</v>
      </c>
      <c r="W7">
        <v>5</v>
      </c>
      <c r="X7" s="2">
        <f t="shared" si="4"/>
        <v>0</v>
      </c>
      <c r="Y7" s="2">
        <f t="shared" si="4"/>
        <v>5</v>
      </c>
      <c r="Z7" s="2">
        <f t="shared" si="4"/>
        <v>10</v>
      </c>
      <c r="AA7" s="2">
        <f t="shared" si="4"/>
        <v>15</v>
      </c>
      <c r="AB7" s="2">
        <f t="shared" si="4"/>
        <v>20</v>
      </c>
      <c r="AC7" s="2">
        <f t="shared" si="4"/>
        <v>25</v>
      </c>
    </row>
    <row r="8" spans="1:29" x14ac:dyDescent="0.25">
      <c r="E8" t="s">
        <v>240</v>
      </c>
      <c r="F8" s="12">
        <v>0.2</v>
      </c>
      <c r="H8" s="26" t="s">
        <v>141</v>
      </c>
      <c r="I8" s="26"/>
      <c r="J8" s="26"/>
      <c r="T8" s="2"/>
      <c r="U8" s="2"/>
      <c r="W8">
        <v>6</v>
      </c>
      <c r="X8" s="2">
        <f t="shared" si="4"/>
        <v>0</v>
      </c>
      <c r="Y8" s="2">
        <f t="shared" si="4"/>
        <v>6</v>
      </c>
      <c r="Z8" s="2">
        <f t="shared" si="4"/>
        <v>12</v>
      </c>
      <c r="AA8" s="2">
        <f t="shared" si="4"/>
        <v>18</v>
      </c>
      <c r="AB8" s="2">
        <f t="shared" si="4"/>
        <v>24</v>
      </c>
      <c r="AC8" s="2">
        <f t="shared" si="4"/>
        <v>30</v>
      </c>
    </row>
    <row r="9" spans="1:29" x14ac:dyDescent="0.25">
      <c r="E9" s="5" t="s">
        <v>9</v>
      </c>
      <c r="F9" t="s">
        <v>140</v>
      </c>
      <c r="G9">
        <v>1</v>
      </c>
      <c r="H9" s="13">
        <v>1</v>
      </c>
      <c r="I9" s="13">
        <v>2</v>
      </c>
      <c r="J9" s="13">
        <v>3</v>
      </c>
      <c r="K9" s="14"/>
      <c r="S9">
        <v>30</v>
      </c>
      <c r="T9" s="2"/>
      <c r="U9" s="2"/>
    </row>
    <row r="10" spans="1:29" x14ac:dyDescent="0.25">
      <c r="A10" s="2" t="s">
        <v>246</v>
      </c>
      <c r="B10" s="2" t="s">
        <v>139</v>
      </c>
      <c r="C10" t="s">
        <v>130</v>
      </c>
      <c r="D10" t="s">
        <v>129</v>
      </c>
      <c r="E10" s="3" t="s">
        <v>22</v>
      </c>
      <c r="F10" s="13" t="s">
        <v>132</v>
      </c>
      <c r="G10" s="13" t="s">
        <v>133</v>
      </c>
      <c r="H10" s="13" t="s">
        <v>134</v>
      </c>
      <c r="I10" s="13" t="s">
        <v>135</v>
      </c>
      <c r="J10" s="13" t="s">
        <v>136</v>
      </c>
      <c r="K10" s="13" t="s">
        <v>142</v>
      </c>
      <c r="L10" s="13" t="s">
        <v>143</v>
      </c>
      <c r="M10" s="13" t="s">
        <v>145</v>
      </c>
      <c r="N10" s="13" t="s">
        <v>237</v>
      </c>
      <c r="O10" s="13" t="s">
        <v>215</v>
      </c>
      <c r="P10" s="13" t="s">
        <v>216</v>
      </c>
      <c r="Q10" s="13" t="s">
        <v>217</v>
      </c>
      <c r="R10" s="13" t="s">
        <v>21</v>
      </c>
      <c r="S10" s="13" t="s">
        <v>238</v>
      </c>
      <c r="T10" s="13" t="s">
        <v>249</v>
      </c>
      <c r="U10" s="13" t="s">
        <v>260</v>
      </c>
    </row>
    <row r="11" spans="1:29" x14ac:dyDescent="0.25">
      <c r="A11" s="21">
        <f>(S11-$I$2)*$J$2</f>
        <v>6.3E-2</v>
      </c>
      <c r="C11">
        <v>1</v>
      </c>
      <c r="D11">
        <v>-1</v>
      </c>
      <c r="E11" s="5" t="s">
        <v>24</v>
      </c>
      <c r="F11">
        <f>($F$2+(C11*$F$1))*(B11+1)+A11</f>
        <v>2.5630000000000002</v>
      </c>
      <c r="G11">
        <f>IF(G$9=1,H11,H11/(1-(INDEX($O$2:$O$6,C11)/2)))</f>
        <v>2.5630000000000002</v>
      </c>
      <c r="H11">
        <f>$F11*(INDEX($F$3:$F$5,H$9)+(($C11+($D11*$F$7))*INDEX($G$3:$G$5,H$9)))</f>
        <v>2.5630000000000002</v>
      </c>
      <c r="I11" s="2">
        <f t="shared" ref="I11:J25" si="5">$F11*(INDEX($F$3:$F$5,I$9)+(($C11+($D11*$F$7))*INDEX($G$3:$G$5,I$9)))</f>
        <v>2.0504000000000002</v>
      </c>
      <c r="J11" s="2">
        <f t="shared" si="5"/>
        <v>0.51260000000000006</v>
      </c>
      <c r="K11" s="10">
        <f t="shared" ref="K11:K18" si="6">1-((1-(I11/G11))/INDEX($P$2:$P$6,C11))</f>
        <v>-1.6666666666666661</v>
      </c>
      <c r="L11" s="20">
        <f>(INDEX($Q$2:$Q$6,C11)/((1/INDEX($F$4:$F$6,J$9))-1))</f>
        <v>1.6666666666666666E-2</v>
      </c>
      <c r="M11" s="10">
        <v>0</v>
      </c>
      <c r="N11" s="2">
        <f>((AVERAGE(O11,P11)*R11)/Q11)/INDEX($R$1:$R$3,D11+2)</f>
        <v>2.5630000000000002</v>
      </c>
      <c r="O11" s="2">
        <f t="shared" ref="O11:O25" si="7">0.75*(((G11*INDEX($R$1:$R$3,$D11+2))*Q11)/R11)</f>
        <v>10.447010869565219</v>
      </c>
      <c r="P11">
        <f t="shared" ref="P11:P25" si="8">1.25*(((G11*INDEX($R$1:$R$3,$D11+2))*Q11)/R11)</f>
        <v>17.411684782608695</v>
      </c>
      <c r="Q11">
        <f>(AVERAGE(VLOOKUP(E11,weapon_components!$A$8:$M$178,9,0),VLOOKUP(E11,weapon_components!$A$8:$M$178,10,0))+VLOOKUP(E11,weapon_components!$A$8:$M$178,11,0))/10</f>
        <v>3.75</v>
      </c>
      <c r="R11">
        <f>VLOOKUP(E11,weapon_components!$A$8:$M$178,13,0)</f>
        <v>0.69</v>
      </c>
      <c r="S11">
        <f>($S$9)*(1+(D11*$F$8))*(1+((C11-1)*$J$3))</f>
        <v>24</v>
      </c>
      <c r="T11" s="2">
        <v>0</v>
      </c>
      <c r="U11" s="14">
        <f>-INDEX('Ship Design Balancing'!$K$2:$K$6,'Weapon Formulas'!C11)*(INDEX('Weapon Formulas'!$R$1:$R$3,'Weapon Formulas'!D11+2)*(1+'Weapon Formulas'!B11))</f>
        <v>-3.333333333333333</v>
      </c>
    </row>
    <row r="12" spans="1:29" x14ac:dyDescent="0.25">
      <c r="A12" s="21">
        <f t="shared" ref="A12:A75" si="9">(S12-$I$2)*$J$2</f>
        <v>4.4999999999999998E-2</v>
      </c>
      <c r="C12">
        <v>1</v>
      </c>
      <c r="D12">
        <v>0</v>
      </c>
      <c r="E12" s="5" t="s">
        <v>25</v>
      </c>
      <c r="F12" s="2">
        <f t="shared" ref="F12:F70" si="10">($F$2+(C12*$F$1))*(B12+1)+A12</f>
        <v>2.5449999999999999</v>
      </c>
      <c r="G12" s="2">
        <f>IF(G$9=1,H12,H12/(1-(INDEX($O$2:$O$6,C12)/2)))</f>
        <v>2.7995000000000001</v>
      </c>
      <c r="H12" s="2">
        <f t="shared" ref="H12:H25" si="11">$F12*(INDEX($F$3:$F$5,H$9)+(($C12+($D12*$F$7))*INDEX($G$3:$G$5,H$9)))</f>
        <v>2.7995000000000001</v>
      </c>
      <c r="I12" s="2">
        <f t="shared" si="5"/>
        <v>1.8323999999999998</v>
      </c>
      <c r="J12" s="2">
        <f t="shared" si="5"/>
        <v>0.45809999999999995</v>
      </c>
      <c r="K12" s="10">
        <f t="shared" si="6"/>
        <v>-3.6060606060606082</v>
      </c>
      <c r="L12" s="10">
        <f t="shared" ref="L12:L24" si="12">(INDEX($Q$2:$Q$6,C12)/((1/INDEX($F$4:$F$6,J$9))-1))</f>
        <v>1.6666666666666666E-2</v>
      </c>
      <c r="M12" s="10">
        <v>0</v>
      </c>
      <c r="N12" s="2">
        <f t="shared" ref="N12:N25" si="13">((AVERAGE(O12,P12)*R12)/Q12)/INDEX($R$1:$R$3,D12+2)</f>
        <v>2.7995000000000001</v>
      </c>
      <c r="O12" s="2">
        <f t="shared" si="7"/>
        <v>19.683984374999998</v>
      </c>
      <c r="P12" s="2">
        <f t="shared" si="8"/>
        <v>32.806640625</v>
      </c>
      <c r="Q12" s="2">
        <f>(AVERAGE(VLOOKUP(E12,weapon_components!$A$8:$M$178,9,0),VLOOKUP(E12,weapon_components!$A$8:$M$178,10,0))+VLOOKUP(E12,weapon_components!$A$8:$M$178,11,0))/10</f>
        <v>3.75</v>
      </c>
      <c r="R12" s="2">
        <f>VLOOKUP(E12,weapon_components!$A$8:$M$178,13,0)</f>
        <v>0.8</v>
      </c>
      <c r="S12" s="25">
        <f t="shared" ref="S12:S27" si="14">($S$9)*(1+(D12*$F$8))*(1+((C12-1)*$J$3))</f>
        <v>30</v>
      </c>
      <c r="T12" s="2">
        <v>0</v>
      </c>
      <c r="U12" s="14">
        <f>-INDEX('Ship Design Balancing'!$K$2:$K$6,'Weapon Formulas'!C12)*(INDEX('Weapon Formulas'!$R$1:$R$3,'Weapon Formulas'!D12+2)*(1+'Weapon Formulas'!B12))</f>
        <v>-6.6666666666666661</v>
      </c>
    </row>
    <row r="13" spans="1:29" x14ac:dyDescent="0.25">
      <c r="A13" s="21">
        <f t="shared" si="9"/>
        <v>2.7E-2</v>
      </c>
      <c r="C13">
        <v>1</v>
      </c>
      <c r="D13">
        <v>1</v>
      </c>
      <c r="E13" s="5" t="s">
        <v>26</v>
      </c>
      <c r="F13" s="2">
        <f t="shared" si="10"/>
        <v>2.5270000000000001</v>
      </c>
      <c r="G13" s="2">
        <f t="shared" ref="G13:G25" si="15">IF(G$9=1,H13,H13/(1-(INDEX($O$2:$O$6,C13)/2)))</f>
        <v>3.0324</v>
      </c>
      <c r="H13" s="2">
        <f t="shared" si="11"/>
        <v>3.0324</v>
      </c>
      <c r="I13" s="2">
        <f t="shared" si="5"/>
        <v>1.6172800000000001</v>
      </c>
      <c r="J13" s="2">
        <f t="shared" si="5"/>
        <v>0.40432000000000001</v>
      </c>
      <c r="K13" s="10">
        <f t="shared" si="6"/>
        <v>-5.2222222222222223</v>
      </c>
      <c r="L13" s="10">
        <f t="shared" si="12"/>
        <v>1.6666666666666666E-2</v>
      </c>
      <c r="M13" s="10">
        <v>0</v>
      </c>
      <c r="N13" s="2">
        <f t="shared" si="13"/>
        <v>3.0324</v>
      </c>
      <c r="O13" s="2">
        <f t="shared" si="7"/>
        <v>45.485999999999997</v>
      </c>
      <c r="P13" s="2">
        <f t="shared" si="8"/>
        <v>75.81</v>
      </c>
      <c r="Q13" s="2">
        <f>(AVERAGE(VLOOKUP(E13,weapon_components!$A$8:$M$178,9,0),VLOOKUP(E13,weapon_components!$A$8:$M$178,10,0))+VLOOKUP(E13,weapon_components!$A$8:$M$178,11,0))/10</f>
        <v>3.75</v>
      </c>
      <c r="R13" s="2">
        <f>VLOOKUP(E13,weapon_components!$A$8:$M$178,13,0)</f>
        <v>0.75</v>
      </c>
      <c r="S13" s="25">
        <f t="shared" si="14"/>
        <v>36</v>
      </c>
      <c r="T13" s="2">
        <v>0</v>
      </c>
      <c r="U13" s="14">
        <f>-INDEX('Ship Design Balancing'!$K$2:$K$6,'Weapon Formulas'!C13)*(INDEX('Weapon Formulas'!$R$1:$R$3,'Weapon Formulas'!D13+2)*(1+'Weapon Formulas'!B13))</f>
        <v>-13.333333333333332</v>
      </c>
    </row>
    <row r="14" spans="1:29" x14ac:dyDescent="0.25">
      <c r="A14" s="21">
        <f t="shared" si="9"/>
        <v>5.4359999999999992E-2</v>
      </c>
      <c r="C14">
        <v>2</v>
      </c>
      <c r="D14">
        <v>-1</v>
      </c>
      <c r="E14" s="5" t="s">
        <v>27</v>
      </c>
      <c r="F14" s="2">
        <f t="shared" si="10"/>
        <v>5.05436</v>
      </c>
      <c r="G14" s="2">
        <f t="shared" si="15"/>
        <v>5.5597960000000004</v>
      </c>
      <c r="H14" s="2">
        <f t="shared" si="11"/>
        <v>5.5597960000000004</v>
      </c>
      <c r="I14" s="2">
        <f t="shared" si="5"/>
        <v>3.6391391999999998</v>
      </c>
      <c r="J14" s="2">
        <f t="shared" si="5"/>
        <v>0.90978479999999995</v>
      </c>
      <c r="K14" s="10">
        <f t="shared" si="6"/>
        <v>-1.3030303030303041</v>
      </c>
      <c r="L14" s="10">
        <f t="shared" si="12"/>
        <v>3.3333333333333333E-2</v>
      </c>
      <c r="M14" s="10">
        <v>0</v>
      </c>
      <c r="N14" s="2">
        <f t="shared" si="13"/>
        <v>5.5597960000000004</v>
      </c>
      <c r="O14" s="2">
        <f t="shared" si="7"/>
        <v>19.069422256097564</v>
      </c>
      <c r="P14" s="2">
        <f t="shared" si="8"/>
        <v>31.782370426829271</v>
      </c>
      <c r="Q14" s="2">
        <f>(AVERAGE(VLOOKUP(E14,weapon_components!$A$8:$M$178,9,0),VLOOKUP(E14,weapon_components!$A$8:$M$178,10,0))+VLOOKUP(E14,weapon_components!$A$8:$M$178,11,0))/10</f>
        <v>3.75</v>
      </c>
      <c r="R14" s="2">
        <f>VLOOKUP(E14,weapon_components!$A$8:$M$178,13,0)</f>
        <v>0.82</v>
      </c>
      <c r="S14" s="25">
        <f t="shared" si="14"/>
        <v>26.880000000000003</v>
      </c>
      <c r="T14" s="2">
        <v>0</v>
      </c>
      <c r="U14" s="14">
        <f>-INDEX('Ship Design Balancing'!$K$2:$K$6,'Weapon Formulas'!C14)*(INDEX('Weapon Formulas'!$R$1:$R$3,'Weapon Formulas'!D14+2)*(1+'Weapon Formulas'!B14))</f>
        <v>-6.6666666666666661</v>
      </c>
    </row>
    <row r="15" spans="1:29" x14ac:dyDescent="0.25">
      <c r="A15" s="21">
        <f t="shared" si="9"/>
        <v>3.4199999999999994E-2</v>
      </c>
      <c r="C15">
        <v>2</v>
      </c>
      <c r="D15">
        <v>0</v>
      </c>
      <c r="E15" s="5" t="s">
        <v>28</v>
      </c>
      <c r="F15" s="2">
        <f t="shared" si="10"/>
        <v>5.0342000000000002</v>
      </c>
      <c r="G15" s="2">
        <f t="shared" si="15"/>
        <v>6.0410399999999997</v>
      </c>
      <c r="H15" s="2">
        <f t="shared" si="11"/>
        <v>6.0410399999999997</v>
      </c>
      <c r="I15" s="2">
        <f t="shared" si="5"/>
        <v>3.2218880000000003</v>
      </c>
      <c r="J15" s="2">
        <f t="shared" si="5"/>
        <v>0.80547200000000008</v>
      </c>
      <c r="K15" s="10">
        <f t="shared" si="6"/>
        <v>-2.1111111111111107</v>
      </c>
      <c r="L15" s="10">
        <f t="shared" si="12"/>
        <v>3.3333333333333333E-2</v>
      </c>
      <c r="M15" s="10">
        <v>0</v>
      </c>
      <c r="N15" s="2">
        <f t="shared" si="13"/>
        <v>6.0410399999999997</v>
      </c>
      <c r="O15" s="2">
        <f t="shared" si="7"/>
        <v>42.476062499999998</v>
      </c>
      <c r="P15" s="2">
        <f t="shared" si="8"/>
        <v>70.793437499999996</v>
      </c>
      <c r="Q15" s="2">
        <f>(AVERAGE(VLOOKUP(E15,weapon_components!$A$8:$M$178,9,0),VLOOKUP(E15,weapon_components!$A$8:$M$178,10,0))+VLOOKUP(E15,weapon_components!$A$8:$M$178,11,0))/10</f>
        <v>3.75</v>
      </c>
      <c r="R15" s="2">
        <f>VLOOKUP(E15,weapon_components!$A$8:$M$178,13,0)</f>
        <v>0.8</v>
      </c>
      <c r="S15" s="25">
        <f t="shared" si="14"/>
        <v>33.6</v>
      </c>
      <c r="T15" s="2">
        <v>0</v>
      </c>
      <c r="U15" s="14">
        <f>-INDEX('Ship Design Balancing'!$K$2:$K$6,'Weapon Formulas'!C15)*(INDEX('Weapon Formulas'!$R$1:$R$3,'Weapon Formulas'!D15+2)*(1+'Weapon Formulas'!B15))</f>
        <v>-13.333333333333332</v>
      </c>
    </row>
    <row r="16" spans="1:29" x14ac:dyDescent="0.25">
      <c r="A16" s="21">
        <f t="shared" si="9"/>
        <v>1.4039999999999978E-2</v>
      </c>
      <c r="C16">
        <v>2</v>
      </c>
      <c r="D16">
        <v>1</v>
      </c>
      <c r="E16" s="5" t="s">
        <v>29</v>
      </c>
      <c r="F16" s="2">
        <f t="shared" si="10"/>
        <v>5.0140399999999996</v>
      </c>
      <c r="G16" s="2">
        <f t="shared" si="15"/>
        <v>6.5182519999999995</v>
      </c>
      <c r="H16" s="2">
        <f t="shared" si="11"/>
        <v>6.5182519999999995</v>
      </c>
      <c r="I16" s="2">
        <f t="shared" si="5"/>
        <v>2.8078623999999999</v>
      </c>
      <c r="J16" s="2">
        <f t="shared" si="5"/>
        <v>0.70196559999999997</v>
      </c>
      <c r="K16" s="10">
        <f t="shared" si="6"/>
        <v>-2.7948717948717947</v>
      </c>
      <c r="L16" s="10">
        <f t="shared" si="12"/>
        <v>3.3333333333333333E-2</v>
      </c>
      <c r="M16" s="10">
        <v>0</v>
      </c>
      <c r="N16" s="2">
        <f t="shared" si="13"/>
        <v>6.5182519999999995</v>
      </c>
      <c r="O16" s="2">
        <f t="shared" si="7"/>
        <v>97.773779999999988</v>
      </c>
      <c r="P16" s="2">
        <f t="shared" si="8"/>
        <v>162.9563</v>
      </c>
      <c r="Q16" s="2">
        <f>(AVERAGE(VLOOKUP(E16,weapon_components!$A$8:$M$178,9,0),VLOOKUP(E16,weapon_components!$A$8:$M$178,10,0))+VLOOKUP(E16,weapon_components!$A$8:$M$178,11,0))/10</f>
        <v>3.75</v>
      </c>
      <c r="R16" s="2">
        <f>VLOOKUP(E16,weapon_components!$A$8:$M$178,13,0)</f>
        <v>0.75</v>
      </c>
      <c r="S16" s="25">
        <f t="shared" si="14"/>
        <v>40.320000000000007</v>
      </c>
      <c r="T16" s="2">
        <v>0</v>
      </c>
      <c r="U16" s="14">
        <f>-INDEX('Ship Design Balancing'!$K$2:$K$6,'Weapon Formulas'!C16)*(INDEX('Weapon Formulas'!$R$1:$R$3,'Weapon Formulas'!D16+2)*(1+'Weapon Formulas'!B16))</f>
        <v>-26.666666666666664</v>
      </c>
    </row>
    <row r="17" spans="1:42" x14ac:dyDescent="0.25">
      <c r="A17" s="21">
        <f t="shared" si="9"/>
        <v>4.5720000000000004E-2</v>
      </c>
      <c r="C17" s="2">
        <v>3</v>
      </c>
      <c r="D17" s="2">
        <v>-1</v>
      </c>
      <c r="E17" s="5" t="s">
        <v>30</v>
      </c>
      <c r="F17" s="2">
        <f t="shared" si="10"/>
        <v>7.5457200000000002</v>
      </c>
      <c r="G17" s="2">
        <f t="shared" si="15"/>
        <v>9.0548640000000002</v>
      </c>
      <c r="H17" s="2">
        <f t="shared" si="11"/>
        <v>9.0548640000000002</v>
      </c>
      <c r="I17" s="2">
        <f t="shared" si="5"/>
        <v>4.8292608000000001</v>
      </c>
      <c r="J17" s="2">
        <f t="shared" si="5"/>
        <v>1.2073152</v>
      </c>
      <c r="K17" s="10">
        <f t="shared" si="6"/>
        <v>-1.0740740740740744</v>
      </c>
      <c r="L17" s="10">
        <f t="shared" si="12"/>
        <v>4.9999999999999996E-2</v>
      </c>
      <c r="M17" s="10">
        <v>0</v>
      </c>
      <c r="N17" s="2">
        <f t="shared" si="13"/>
        <v>9.0548640000000002</v>
      </c>
      <c r="O17" s="2">
        <f t="shared" si="7"/>
        <v>31.057079268292682</v>
      </c>
      <c r="P17" s="2">
        <f t="shared" si="8"/>
        <v>51.761798780487808</v>
      </c>
      <c r="Q17" s="2">
        <f>(AVERAGE(VLOOKUP(E17,weapon_components!$A$8:$M$178,9,0),VLOOKUP(E17,weapon_components!$A$8:$M$178,10,0))+VLOOKUP(E17,weapon_components!$A$8:$M$178,11,0))/10</f>
        <v>3.75</v>
      </c>
      <c r="R17" s="2">
        <f>VLOOKUP(E17,weapon_components!$A$8:$M$178,13,0)</f>
        <v>0.82</v>
      </c>
      <c r="S17" s="25">
        <f t="shared" si="14"/>
        <v>29.759999999999998</v>
      </c>
      <c r="T17" s="2">
        <v>0</v>
      </c>
      <c r="U17" s="14">
        <f>-INDEX('Ship Design Balancing'!$K$2:$K$6,'Weapon Formulas'!C17)*(INDEX('Weapon Formulas'!$R$1:$R$3,'Weapon Formulas'!D17+2)*(1+'Weapon Formulas'!B17))</f>
        <v>-13.333333333333332</v>
      </c>
    </row>
    <row r="18" spans="1:42" x14ac:dyDescent="0.25">
      <c r="A18" s="21">
        <f t="shared" si="9"/>
        <v>2.339999999999999E-2</v>
      </c>
      <c r="C18" s="2">
        <v>3</v>
      </c>
      <c r="D18" s="2">
        <v>0</v>
      </c>
      <c r="E18" s="5" t="s">
        <v>31</v>
      </c>
      <c r="F18" s="2">
        <f t="shared" si="10"/>
        <v>7.5233999999999996</v>
      </c>
      <c r="G18" s="2">
        <f t="shared" si="15"/>
        <v>9.7804199999999994</v>
      </c>
      <c r="H18" s="2">
        <f t="shared" si="11"/>
        <v>9.7804199999999994</v>
      </c>
      <c r="I18" s="2">
        <f t="shared" si="5"/>
        <v>4.2131040000000004</v>
      </c>
      <c r="J18" s="2">
        <f t="shared" si="5"/>
        <v>1.0532760000000001</v>
      </c>
      <c r="K18" s="10">
        <f t="shared" si="6"/>
        <v>-1.5299145299145303</v>
      </c>
      <c r="L18" s="10">
        <f t="shared" si="12"/>
        <v>4.9999999999999996E-2</v>
      </c>
      <c r="M18" s="10">
        <v>0</v>
      </c>
      <c r="N18" s="2">
        <f t="shared" si="13"/>
        <v>9.7804199999999994</v>
      </c>
      <c r="O18" s="2">
        <f t="shared" si="7"/>
        <v>68.768578124999991</v>
      </c>
      <c r="P18" s="2">
        <f t="shared" si="8"/>
        <v>114.61429687499999</v>
      </c>
      <c r="Q18" s="2">
        <f>(AVERAGE(VLOOKUP(E18,weapon_components!$A$8:$M$178,9,0),VLOOKUP(E18,weapon_components!$A$8:$M$178,10,0))+VLOOKUP(E18,weapon_components!$A$8:$M$178,11,0))/10</f>
        <v>3.75</v>
      </c>
      <c r="R18" s="2">
        <f>VLOOKUP(E18,weapon_components!$A$8:$M$178,13,0)</f>
        <v>0.8</v>
      </c>
      <c r="S18" s="25">
        <f t="shared" si="14"/>
        <v>37.200000000000003</v>
      </c>
      <c r="T18" s="2">
        <v>0</v>
      </c>
      <c r="U18" s="14">
        <f>-INDEX('Ship Design Balancing'!$K$2:$K$6,'Weapon Formulas'!C18)*(INDEX('Weapon Formulas'!$R$1:$R$3,'Weapon Formulas'!D18+2)*(1+'Weapon Formulas'!B18))</f>
        <v>-26.666666666666664</v>
      </c>
    </row>
    <row r="19" spans="1:42" x14ac:dyDescent="0.25">
      <c r="A19" s="21">
        <f t="shared" si="9"/>
        <v>1.0799999999999983E-3</v>
      </c>
      <c r="C19" s="2">
        <v>3</v>
      </c>
      <c r="D19" s="2">
        <v>1</v>
      </c>
      <c r="E19" s="5" t="s">
        <v>32</v>
      </c>
      <c r="F19" s="2">
        <f t="shared" si="10"/>
        <v>7.50108</v>
      </c>
      <c r="G19" s="2">
        <f t="shared" si="15"/>
        <v>10.501512</v>
      </c>
      <c r="H19" s="2">
        <f t="shared" si="11"/>
        <v>10.501512</v>
      </c>
      <c r="I19" s="2">
        <f t="shared" si="5"/>
        <v>3.6005183999999999</v>
      </c>
      <c r="J19" s="2">
        <f t="shared" si="5"/>
        <v>0.90012959999999997</v>
      </c>
      <c r="K19" s="10">
        <f t="shared" ref="K19:K23" si="16">1-((1-(I19/G19))/INDEX($P$2:$P$6,C19))</f>
        <v>-1.9206349206349209</v>
      </c>
      <c r="L19" s="10">
        <f t="shared" si="12"/>
        <v>4.9999999999999996E-2</v>
      </c>
      <c r="M19" s="10">
        <v>0</v>
      </c>
      <c r="N19" s="2">
        <f t="shared" si="13"/>
        <v>10.501511999999998</v>
      </c>
      <c r="O19" s="2">
        <f t="shared" si="7"/>
        <v>157.52268000000001</v>
      </c>
      <c r="P19" s="2">
        <f t="shared" si="8"/>
        <v>262.5378</v>
      </c>
      <c r="Q19" s="2">
        <f>(AVERAGE(VLOOKUP(E19,weapon_components!$A$8:$M$178,9,0),VLOOKUP(E19,weapon_components!$A$8:$M$178,10,0))+VLOOKUP(E19,weapon_components!$A$8:$M$178,11,0))/10</f>
        <v>3.75</v>
      </c>
      <c r="R19" s="2">
        <f>VLOOKUP(E19,weapon_components!$A$8:$M$178,13,0)</f>
        <v>0.75</v>
      </c>
      <c r="S19" s="25">
        <f t="shared" si="14"/>
        <v>44.64</v>
      </c>
      <c r="T19" s="2">
        <v>0</v>
      </c>
      <c r="U19" s="14">
        <f>-INDEX('Ship Design Balancing'!$K$2:$K$6,'Weapon Formulas'!C19)*(INDEX('Weapon Formulas'!$R$1:$R$3,'Weapon Formulas'!D19+2)*(1+'Weapon Formulas'!B19))</f>
        <v>-53.333333333333329</v>
      </c>
    </row>
    <row r="20" spans="1:42" x14ac:dyDescent="0.25">
      <c r="A20" s="21">
        <f t="shared" si="9"/>
        <v>3.7080000000000002E-2</v>
      </c>
      <c r="C20" s="2">
        <v>4</v>
      </c>
      <c r="D20" s="2">
        <v>-1</v>
      </c>
      <c r="E20" s="5" t="s">
        <v>33</v>
      </c>
      <c r="F20" s="2">
        <f t="shared" si="10"/>
        <v>10.03708</v>
      </c>
      <c r="G20" s="2">
        <f t="shared" si="15"/>
        <v>13.048204</v>
      </c>
      <c r="H20" s="2">
        <f t="shared" si="11"/>
        <v>13.048204</v>
      </c>
      <c r="I20" s="2">
        <f t="shared" si="5"/>
        <v>5.6207647999999999</v>
      </c>
      <c r="J20" s="2">
        <f t="shared" si="5"/>
        <v>1.4051912</v>
      </c>
      <c r="K20" s="10">
        <f t="shared" si="16"/>
        <v>-0.89743589743589736</v>
      </c>
      <c r="L20" s="10">
        <f t="shared" si="12"/>
        <v>6.6666666666666666E-2</v>
      </c>
      <c r="M20" s="10">
        <v>0</v>
      </c>
      <c r="N20" s="2">
        <f t="shared" si="13"/>
        <v>13.048204000000002</v>
      </c>
      <c r="O20" s="2">
        <f t="shared" si="7"/>
        <v>44.753748475609761</v>
      </c>
      <c r="P20" s="2">
        <f t="shared" si="8"/>
        <v>74.589580792682938</v>
      </c>
      <c r="Q20" s="2">
        <f>(AVERAGE(VLOOKUP(E20,weapon_components!$A$8:$M$178,9,0),VLOOKUP(E20,weapon_components!$A$8:$M$178,10,0))+VLOOKUP(E20,weapon_components!$A$8:$M$178,11,0))/10</f>
        <v>3.75</v>
      </c>
      <c r="R20" s="2">
        <f>VLOOKUP(E20,weapon_components!$A$8:$M$178,13,0)</f>
        <v>0.82</v>
      </c>
      <c r="S20" s="25">
        <f t="shared" si="14"/>
        <v>32.64</v>
      </c>
      <c r="T20" s="2">
        <v>0</v>
      </c>
      <c r="U20" s="14">
        <f>-INDEX('Ship Design Balancing'!$K$2:$K$6,'Weapon Formulas'!C20)*(INDEX('Weapon Formulas'!$R$1:$R$3,'Weapon Formulas'!D20+2)*(1+'Weapon Formulas'!B20))</f>
        <v>-26.666666666666664</v>
      </c>
      <c r="X20" s="14"/>
      <c r="Y20" s="14"/>
    </row>
    <row r="21" spans="1:42" x14ac:dyDescent="0.25">
      <c r="A21" s="21">
        <f t="shared" si="9"/>
        <v>1.2600000000000009E-2</v>
      </c>
      <c r="C21" s="2">
        <v>4</v>
      </c>
      <c r="D21" s="2">
        <v>0</v>
      </c>
      <c r="E21" s="5" t="s">
        <v>34</v>
      </c>
      <c r="F21" s="2">
        <f t="shared" si="10"/>
        <v>10.012600000000001</v>
      </c>
      <c r="G21" s="2">
        <f t="shared" si="15"/>
        <v>14.01764</v>
      </c>
      <c r="H21" s="2">
        <f t="shared" si="11"/>
        <v>14.01764</v>
      </c>
      <c r="I21" s="2">
        <f t="shared" si="5"/>
        <v>4.8060480000000005</v>
      </c>
      <c r="J21" s="2">
        <f t="shared" si="5"/>
        <v>1.2015120000000001</v>
      </c>
      <c r="K21" s="10">
        <f t="shared" si="16"/>
        <v>-1.1904761904761902</v>
      </c>
      <c r="L21" s="10">
        <f t="shared" si="12"/>
        <v>6.6666666666666666E-2</v>
      </c>
      <c r="M21" s="10">
        <v>0</v>
      </c>
      <c r="N21" s="2">
        <f t="shared" si="13"/>
        <v>14.017639999999998</v>
      </c>
      <c r="O21" s="2">
        <f t="shared" si="7"/>
        <v>98.561531249999987</v>
      </c>
      <c r="P21" s="2">
        <f t="shared" si="8"/>
        <v>164.26921874999999</v>
      </c>
      <c r="Q21" s="2">
        <f>(AVERAGE(VLOOKUP(E21,weapon_components!$A$8:$M$178,9,0),VLOOKUP(E21,weapon_components!$A$8:$M$178,10,0))+VLOOKUP(E21,weapon_components!$A$8:$M$178,11,0))/10</f>
        <v>3.75</v>
      </c>
      <c r="R21" s="2">
        <f>VLOOKUP(E21,weapon_components!$A$8:$M$178,13,0)</f>
        <v>0.8</v>
      </c>
      <c r="S21" s="25">
        <f t="shared" si="14"/>
        <v>40.799999999999997</v>
      </c>
      <c r="T21" s="2">
        <v>0</v>
      </c>
      <c r="U21" s="14">
        <f>-INDEX('Ship Design Balancing'!$K$2:$K$6,'Weapon Formulas'!C21)*(INDEX('Weapon Formulas'!$R$1:$R$3,'Weapon Formulas'!D21+2)*(1+'Weapon Formulas'!B21))</f>
        <v>-53.333333333333329</v>
      </c>
    </row>
    <row r="22" spans="1:42" x14ac:dyDescent="0.25">
      <c r="A22" s="21">
        <f t="shared" si="9"/>
        <v>-1.1879999999999981E-2</v>
      </c>
      <c r="C22" s="2">
        <v>4</v>
      </c>
      <c r="D22" s="2">
        <v>1</v>
      </c>
      <c r="E22" s="5" t="s">
        <v>35</v>
      </c>
      <c r="F22" s="2">
        <f t="shared" si="10"/>
        <v>9.9881200000000003</v>
      </c>
      <c r="G22" s="2">
        <f t="shared" si="15"/>
        <v>14.98218</v>
      </c>
      <c r="H22" s="2">
        <f t="shared" si="11"/>
        <v>14.98218</v>
      </c>
      <c r="I22" s="2">
        <f t="shared" si="5"/>
        <v>3.9952479999999997</v>
      </c>
      <c r="J22" s="2">
        <f t="shared" si="5"/>
        <v>0.99881199999999992</v>
      </c>
      <c r="K22" s="10">
        <f t="shared" si="16"/>
        <v>-1.4444444444444446</v>
      </c>
      <c r="L22" s="10">
        <f t="shared" si="12"/>
        <v>6.6666666666666666E-2</v>
      </c>
      <c r="M22" s="10">
        <v>0</v>
      </c>
      <c r="N22" s="2">
        <f t="shared" si="13"/>
        <v>14.98218</v>
      </c>
      <c r="O22" s="2">
        <f t="shared" si="7"/>
        <v>224.73269999999999</v>
      </c>
      <c r="P22" s="2">
        <f t="shared" si="8"/>
        <v>374.55449999999996</v>
      </c>
      <c r="Q22" s="2">
        <f>(AVERAGE(VLOOKUP(E22,weapon_components!$A$8:$M$178,9,0),VLOOKUP(E22,weapon_components!$A$8:$M$178,10,0))+VLOOKUP(E22,weapon_components!$A$8:$M$178,11,0))/10</f>
        <v>3.75</v>
      </c>
      <c r="R22" s="2">
        <f>VLOOKUP(E22,weapon_components!$A$8:$M$178,13,0)</f>
        <v>0.75</v>
      </c>
      <c r="S22" s="25">
        <f t="shared" si="14"/>
        <v>48.959999999999994</v>
      </c>
      <c r="T22" s="2">
        <v>0</v>
      </c>
      <c r="U22" s="14">
        <f>-INDEX('Ship Design Balancing'!$K$2:$K$6,'Weapon Formulas'!C22)*(INDEX('Weapon Formulas'!$R$1:$R$3,'Weapon Formulas'!D22+2)*(1+'Weapon Formulas'!B22))</f>
        <v>-106.66666666666666</v>
      </c>
    </row>
    <row r="23" spans="1:42" x14ac:dyDescent="0.25">
      <c r="A23" s="21">
        <f t="shared" si="9"/>
        <v>2.8440000000000014E-2</v>
      </c>
      <c r="C23" s="2">
        <v>5</v>
      </c>
      <c r="D23" s="2">
        <v>-1</v>
      </c>
      <c r="E23" s="5" t="s">
        <v>36</v>
      </c>
      <c r="F23" s="2">
        <f t="shared" si="10"/>
        <v>12.52844</v>
      </c>
      <c r="G23" s="2">
        <f t="shared" si="15"/>
        <v>17.539815999999998</v>
      </c>
      <c r="H23" s="2">
        <f t="shared" si="11"/>
        <v>17.539815999999998</v>
      </c>
      <c r="I23" s="2">
        <f t="shared" si="5"/>
        <v>6.0136512</v>
      </c>
      <c r="J23" s="2">
        <f t="shared" si="5"/>
        <v>1.5034128</v>
      </c>
      <c r="K23" s="10">
        <f t="shared" si="16"/>
        <v>-0.75238095238095215</v>
      </c>
      <c r="L23" s="10">
        <f t="shared" si="12"/>
        <v>8.3333333333333329E-2</v>
      </c>
      <c r="M23" s="10">
        <v>0</v>
      </c>
      <c r="N23" s="2">
        <f t="shared" si="13"/>
        <v>17.539815999999998</v>
      </c>
      <c r="O23" s="2">
        <f t="shared" si="7"/>
        <v>60.159429878048783</v>
      </c>
      <c r="P23" s="2">
        <f t="shared" si="8"/>
        <v>100.26571646341465</v>
      </c>
      <c r="Q23" s="2">
        <f>(AVERAGE(VLOOKUP(E23,weapon_components!$A$8:$M$178,9,0),VLOOKUP(E23,weapon_components!$A$8:$M$178,10,0))+VLOOKUP(E23,weapon_components!$A$8:$M$178,11,0))/10</f>
        <v>3.75</v>
      </c>
      <c r="R23" s="2">
        <f>VLOOKUP(E23,weapon_components!$A$8:$M$178,13,0)</f>
        <v>0.82</v>
      </c>
      <c r="S23" s="25">
        <f t="shared" si="14"/>
        <v>35.519999999999996</v>
      </c>
      <c r="T23" s="2">
        <v>0</v>
      </c>
      <c r="U23" s="14">
        <f>-INDEX('Ship Design Balancing'!$K$2:$K$6,'Weapon Formulas'!C23)*(INDEX('Weapon Formulas'!$R$1:$R$3,'Weapon Formulas'!D23+2)*(1+'Weapon Formulas'!B23))</f>
        <v>-53.333333333333329</v>
      </c>
    </row>
    <row r="24" spans="1:42" x14ac:dyDescent="0.25">
      <c r="A24" s="21">
        <f t="shared" si="9"/>
        <v>1.8000000000000043E-3</v>
      </c>
      <c r="C24" s="2">
        <v>5</v>
      </c>
      <c r="D24" s="2">
        <v>0</v>
      </c>
      <c r="E24" s="5" t="s">
        <v>37</v>
      </c>
      <c r="F24" s="2">
        <f t="shared" si="10"/>
        <v>12.501799999999999</v>
      </c>
      <c r="G24" s="2">
        <f t="shared" si="15"/>
        <v>18.752699999999997</v>
      </c>
      <c r="H24" s="2">
        <f t="shared" si="11"/>
        <v>18.752699999999997</v>
      </c>
      <c r="I24" s="2">
        <f t="shared" si="5"/>
        <v>5.0007199999999994</v>
      </c>
      <c r="J24" s="2">
        <f t="shared" si="5"/>
        <v>1.2501799999999998</v>
      </c>
      <c r="K24" s="10">
        <f>1-((1-(I24/G24))/INDEX($P$2:$P$6,C24))</f>
        <v>-0.95555555555555571</v>
      </c>
      <c r="L24" s="10">
        <f t="shared" si="12"/>
        <v>8.3333333333333329E-2</v>
      </c>
      <c r="M24" s="10">
        <v>0</v>
      </c>
      <c r="N24" s="2">
        <f t="shared" si="13"/>
        <v>18.752699999999997</v>
      </c>
      <c r="O24" s="2">
        <f t="shared" si="7"/>
        <v>131.85492187499997</v>
      </c>
      <c r="P24" s="2">
        <f t="shared" si="8"/>
        <v>219.75820312499994</v>
      </c>
      <c r="Q24" s="2">
        <f>(AVERAGE(VLOOKUP(E24,weapon_components!$A$8:$M$178,9,0),VLOOKUP(E24,weapon_components!$A$8:$M$178,10,0))+VLOOKUP(E24,weapon_components!$A$8:$M$178,11,0))/10</f>
        <v>3.75</v>
      </c>
      <c r="R24" s="2">
        <f>VLOOKUP(E24,weapon_components!$A$8:$M$178,13,0)</f>
        <v>0.8</v>
      </c>
      <c r="S24" s="25">
        <f t="shared" si="14"/>
        <v>44.4</v>
      </c>
      <c r="T24" s="2">
        <v>0</v>
      </c>
      <c r="U24" s="14">
        <f>-INDEX('Ship Design Balancing'!$K$2:$K$6,'Weapon Formulas'!C24)*(INDEX('Weapon Formulas'!$R$1:$R$3,'Weapon Formulas'!D24+2)*(1+'Weapon Formulas'!B24))</f>
        <v>-106.66666666666666</v>
      </c>
    </row>
    <row r="25" spans="1:42" x14ac:dyDescent="0.25">
      <c r="A25" s="21">
        <f t="shared" si="9"/>
        <v>-2.4840000000000004E-2</v>
      </c>
      <c r="C25" s="2">
        <v>5</v>
      </c>
      <c r="D25" s="2">
        <v>1</v>
      </c>
      <c r="E25" s="5" t="s">
        <v>38</v>
      </c>
      <c r="F25" s="2">
        <f t="shared" si="10"/>
        <v>12.475160000000001</v>
      </c>
      <c r="G25" s="2">
        <f t="shared" si="15"/>
        <v>19.960256000000001</v>
      </c>
      <c r="H25" s="2">
        <f t="shared" si="11"/>
        <v>19.960256000000001</v>
      </c>
      <c r="I25" s="2">
        <f t="shared" si="5"/>
        <v>3.9920511999999997</v>
      </c>
      <c r="J25" s="2">
        <f t="shared" si="5"/>
        <v>0.99801279999999992</v>
      </c>
      <c r="K25" s="10">
        <f>1-((1-(I25/G25))/INDEX($P$2:$P$6,C25))</f>
        <v>-1.1333333333333333</v>
      </c>
      <c r="L25" s="10">
        <f>(INDEX($Q$2:$Q$6,C25)/((1/INDEX($F$4:$F$6,J$9))-1))</f>
        <v>8.3333333333333329E-2</v>
      </c>
      <c r="M25" s="10">
        <v>0</v>
      </c>
      <c r="N25" s="2">
        <f t="shared" si="13"/>
        <v>19.960256000000001</v>
      </c>
      <c r="O25" s="2">
        <f t="shared" si="7"/>
        <v>299.40384</v>
      </c>
      <c r="P25" s="2">
        <f t="shared" si="8"/>
        <v>499.00640000000004</v>
      </c>
      <c r="Q25" s="2">
        <f>(AVERAGE(VLOOKUP(E25,weapon_components!$A$8:$M$178,9,0),VLOOKUP(E25,weapon_components!$A$8:$M$178,10,0))+VLOOKUP(E25,weapon_components!$A$8:$M$178,11,0))/10</f>
        <v>3.75</v>
      </c>
      <c r="R25" s="2">
        <f>VLOOKUP(E25,weapon_components!$A$8:$M$178,13,0)</f>
        <v>0.75</v>
      </c>
      <c r="S25" s="25">
        <f t="shared" si="14"/>
        <v>53.28</v>
      </c>
      <c r="T25" s="2">
        <v>0</v>
      </c>
      <c r="U25" s="14">
        <f>-INDEX('Ship Design Balancing'!$K$2:$K$6,'Weapon Formulas'!C25)*(INDEX('Weapon Formulas'!$R$1:$R$3,'Weapon Formulas'!D25+2)*(1+'Weapon Formulas'!B25))</f>
        <v>-213.33333333333331</v>
      </c>
      <c r="W25" s="14" t="s">
        <v>220</v>
      </c>
      <c r="X25" s="14" t="s">
        <v>144</v>
      </c>
    </row>
    <row r="26" spans="1:42" x14ac:dyDescent="0.25">
      <c r="A26" s="21">
        <f t="shared" si="9"/>
        <v>4.4999999999999998E-2</v>
      </c>
      <c r="E26" s="3" t="s">
        <v>39</v>
      </c>
      <c r="F26" s="13" t="s">
        <v>140</v>
      </c>
      <c r="G26" s="13">
        <v>0</v>
      </c>
      <c r="H26" s="13">
        <v>2</v>
      </c>
      <c r="I26" s="13">
        <v>1</v>
      </c>
      <c r="J26" s="13">
        <v>3</v>
      </c>
      <c r="K26" s="10"/>
      <c r="L26" s="10"/>
      <c r="M26" s="10"/>
      <c r="N26" s="2"/>
      <c r="O26" s="2"/>
      <c r="P26" s="2"/>
      <c r="Q26" s="2"/>
      <c r="R26" s="13" t="s">
        <v>247</v>
      </c>
      <c r="S26" s="2">
        <v>30</v>
      </c>
      <c r="T26" s="2">
        <v>0</v>
      </c>
      <c r="U26" s="14"/>
      <c r="W26" s="14" t="s">
        <v>130</v>
      </c>
      <c r="X26" s="2">
        <v>0.05</v>
      </c>
      <c r="Y26" s="2">
        <f t="shared" ref="Y26:AP26" si="17">X26+0.05</f>
        <v>0.1</v>
      </c>
      <c r="Z26" s="2">
        <f t="shared" si="17"/>
        <v>0.15000000000000002</v>
      </c>
      <c r="AA26" s="2">
        <f t="shared" si="17"/>
        <v>0.2</v>
      </c>
      <c r="AB26" s="2">
        <f t="shared" si="17"/>
        <v>0.25</v>
      </c>
      <c r="AC26" s="2">
        <f t="shared" si="17"/>
        <v>0.3</v>
      </c>
      <c r="AD26" s="2">
        <f t="shared" si="17"/>
        <v>0.35</v>
      </c>
      <c r="AE26" s="2">
        <f t="shared" si="17"/>
        <v>0.39999999999999997</v>
      </c>
      <c r="AF26" s="2">
        <f t="shared" si="17"/>
        <v>0.44999999999999996</v>
      </c>
      <c r="AG26" s="2">
        <f t="shared" si="17"/>
        <v>0.49999999999999994</v>
      </c>
      <c r="AH26" s="2">
        <f t="shared" si="17"/>
        <v>0.54999999999999993</v>
      </c>
      <c r="AI26" s="2">
        <f t="shared" si="17"/>
        <v>0.6</v>
      </c>
      <c r="AJ26" s="2">
        <f t="shared" si="17"/>
        <v>0.65</v>
      </c>
      <c r="AK26" s="2">
        <f t="shared" si="17"/>
        <v>0.70000000000000007</v>
      </c>
      <c r="AL26" s="2">
        <f t="shared" si="17"/>
        <v>0.75000000000000011</v>
      </c>
      <c r="AM26" s="2">
        <f t="shared" si="17"/>
        <v>0.80000000000000016</v>
      </c>
      <c r="AN26" s="2">
        <f t="shared" si="17"/>
        <v>0.8500000000000002</v>
      </c>
      <c r="AO26" s="2">
        <f t="shared" si="17"/>
        <v>0.90000000000000024</v>
      </c>
      <c r="AP26" s="2">
        <f t="shared" si="17"/>
        <v>0.95000000000000029</v>
      </c>
    </row>
    <row r="27" spans="1:42" x14ac:dyDescent="0.25">
      <c r="A27" s="21">
        <f t="shared" si="9"/>
        <v>-1.1879999999999981E-2</v>
      </c>
      <c r="B27" s="2">
        <v>1</v>
      </c>
      <c r="C27">
        <v>4</v>
      </c>
      <c r="D27">
        <v>1</v>
      </c>
      <c r="E27" s="5" t="s">
        <v>40</v>
      </c>
      <c r="F27" s="2">
        <f t="shared" si="10"/>
        <v>19.988119999999999</v>
      </c>
      <c r="G27" s="2">
        <f>IF(G$26=1,H27,H27/(1-INDEX($O$2:$O$6,C27)))</f>
        <v>11.421782857142855</v>
      </c>
      <c r="H27" s="2">
        <f>$F27*(INDEX($F$3:$F$5,H$26)+(($C27+($D27*$F$7))*INDEX($G$3:$G$5,H$26)))</f>
        <v>7.9952479999999984</v>
      </c>
      <c r="I27" s="2">
        <f>$F27*(INDEX($F$3:$F$5,I$26)+(($C27+($D27*$F$7))*INDEX($G$3:$G$5,I$26)))</f>
        <v>29.98218</v>
      </c>
      <c r="J27" s="2">
        <f t="shared" ref="I27:J28" si="18">$F27*(INDEX($F$3:$F$5,J$26)+(($C27+($D27*$F$7))*INDEX($G$3:$G$5,J$26)))</f>
        <v>1.9988119999999996</v>
      </c>
      <c r="K27" s="10">
        <f>1-((1-(I27/G27))/INDEX($P$2:$P$6,C27))</f>
        <v>6.4166666666666687</v>
      </c>
      <c r="L27" s="10">
        <f>(INDEX($Q$2:$Q$6,C27)/((1/INDEX($F$4:$F$6,J$26))-1))</f>
        <v>6.6666666666666666E-2</v>
      </c>
      <c r="M27" s="10">
        <v>0</v>
      </c>
      <c r="N27" s="2">
        <f>((AVERAGE(O27,P27)*R27)/Q27)/INDEX($R$1:$R$3,D27+2)</f>
        <v>11.421782857142855</v>
      </c>
      <c r="O27" s="2">
        <f>0.75*(((G27*INDEX($R$1:$R$3,$D27+2))*Q27)/R27)</f>
        <v>336.94259428571416</v>
      </c>
      <c r="P27" s="2">
        <f>1.25*(((G27*INDEX($R$1:$R$3,$D27+2))*Q27)/R27)</f>
        <v>561.57099047619022</v>
      </c>
      <c r="Q27" s="2">
        <f>(AVERAGE(VLOOKUP(E27,weapon_components!$A$8:$M$178,9,0),VLOOKUP(E27,weapon_components!$A$8:$M$178,10,0))+VLOOKUP(E27,weapon_components!$A$8:$M$178,11,0))/10</f>
        <v>8.85</v>
      </c>
      <c r="R27" s="2">
        <f>VLOOKUP(E27,weapon_components!$A$8:$M$178,13,0)</f>
        <v>0.9</v>
      </c>
      <c r="S27" s="25">
        <f>($S$26)*(1+(D27*$F$8))*(1+((C27-1)*$J$3))</f>
        <v>48.959999999999994</v>
      </c>
      <c r="T27" s="2">
        <v>0</v>
      </c>
      <c r="U27" s="14">
        <f>-INDEX('Ship Design Balancing'!$K$2:$K$6,'Weapon Formulas'!C27)*(INDEX('Weapon Formulas'!$R$1:$R$3,'Weapon Formulas'!D27+2)*(1+'Weapon Formulas'!B27))</f>
        <v>-213.33333333333331</v>
      </c>
      <c r="W27" s="14" t="s">
        <v>221</v>
      </c>
      <c r="X27">
        <f>$G30*(1-(X$26*(1-$K30)))</f>
        <v>6.8587619784946234</v>
      </c>
      <c r="Y27" s="2">
        <f t="shared" ref="Y27:AP27" si="19">$G30*(1-(Y$26*(1-$K30)))</f>
        <v>7.4862196989247307</v>
      </c>
      <c r="Z27" s="2">
        <f t="shared" si="19"/>
        <v>8.1136774193548398</v>
      </c>
      <c r="AA27" s="2">
        <f t="shared" si="19"/>
        <v>8.7411351397849462</v>
      </c>
      <c r="AB27" s="2">
        <f t="shared" si="19"/>
        <v>9.3685928602150543</v>
      </c>
      <c r="AC27" s="2">
        <f t="shared" si="19"/>
        <v>9.9960505806451625</v>
      </c>
      <c r="AD27" s="2">
        <f t="shared" si="19"/>
        <v>10.623508301075269</v>
      </c>
      <c r="AE27" s="2">
        <f t="shared" si="19"/>
        <v>11.250966021505377</v>
      </c>
      <c r="AF27" s="2">
        <f t="shared" si="19"/>
        <v>11.878423741935483</v>
      </c>
      <c r="AG27" s="2">
        <f t="shared" si="19"/>
        <v>12.505881462365593</v>
      </c>
      <c r="AH27" s="2">
        <f t="shared" si="19"/>
        <v>13.133339182795702</v>
      </c>
      <c r="AI27" s="2">
        <f t="shared" si="19"/>
        <v>13.760796903225808</v>
      </c>
      <c r="AJ27" s="2">
        <f t="shared" si="19"/>
        <v>14.388254623655916</v>
      </c>
      <c r="AK27" s="2">
        <f t="shared" si="19"/>
        <v>15.015712344086023</v>
      </c>
      <c r="AL27" s="2">
        <f t="shared" si="19"/>
        <v>15.643170064516131</v>
      </c>
      <c r="AM27" s="2">
        <f t="shared" si="19"/>
        <v>16.270627784946239</v>
      </c>
      <c r="AN27" s="2">
        <f t="shared" si="19"/>
        <v>16.898085505376347</v>
      </c>
      <c r="AO27" s="2">
        <f t="shared" si="19"/>
        <v>17.525543225806459</v>
      </c>
      <c r="AP27" s="2">
        <f t="shared" si="19"/>
        <v>18.153000946236567</v>
      </c>
    </row>
    <row r="28" spans="1:42" x14ac:dyDescent="0.25">
      <c r="A28" s="21">
        <f t="shared" si="9"/>
        <v>-2.4840000000000004E-2</v>
      </c>
      <c r="B28" s="2">
        <v>1</v>
      </c>
      <c r="C28">
        <v>5</v>
      </c>
      <c r="D28">
        <v>1</v>
      </c>
      <c r="E28" s="5" t="s">
        <v>41</v>
      </c>
      <c r="F28" s="2">
        <f t="shared" si="10"/>
        <v>24.975159999999999</v>
      </c>
      <c r="G28" s="2">
        <f>IF(G$26=1,H28,H28/(1-INDEX($O$2:$O$6,C28)))</f>
        <v>12.787281919999998</v>
      </c>
      <c r="H28" s="2">
        <f>$F28*(INDEX($F$3:$F$5,H$26)+(($C28+($D28*$F$7))*INDEX($G$3:$G$5,H$26)))</f>
        <v>7.9920511999999988</v>
      </c>
      <c r="I28" s="2">
        <f t="shared" si="18"/>
        <v>39.960256000000001</v>
      </c>
      <c r="J28" s="2">
        <f t="shared" si="18"/>
        <v>1.9980127999999997</v>
      </c>
      <c r="K28" s="10">
        <f>1-((1-(I28/G28))/INDEX($P$2:$P$6,C28))</f>
        <v>6.6666666666666679</v>
      </c>
      <c r="L28" s="10">
        <f>(INDEX($Q$2:$Q$6,C28)/((1/INDEX($F$4:$F$6,J$26))-1))</f>
        <v>8.3333333333333329E-2</v>
      </c>
      <c r="M28" s="10">
        <v>0</v>
      </c>
      <c r="N28" s="2">
        <f>((AVERAGE(O28,P28)*R28)/Q28)/INDEX($R$1:$R$3,D28+2)</f>
        <v>12.787281919999998</v>
      </c>
      <c r="O28" s="2">
        <f>0.75*(((G28*INDEX($R$1:$R$3,$D28+2))*Q28)/R28)</f>
        <v>377.22481663999991</v>
      </c>
      <c r="P28" s="2">
        <f>1.25*(((G28*INDEX($R$1:$R$3,$D28+2))*Q28)/R28)</f>
        <v>628.70802773333321</v>
      </c>
      <c r="Q28" s="2">
        <f>(AVERAGE(VLOOKUP(E28,weapon_components!$A$8:$M$178,9,0),VLOOKUP(E28,weapon_components!$A$8:$M$178,10,0))+VLOOKUP(E28,weapon_components!$A$8:$M$178,11,0))/10</f>
        <v>8.85</v>
      </c>
      <c r="R28" s="2">
        <f>VLOOKUP(E28,weapon_components!$A$8:$M$178,13,0)</f>
        <v>0.9</v>
      </c>
      <c r="S28" s="25">
        <f>($S$26)*(1+(D28*$F$8))*(1+((C28-1)*$J$3))</f>
        <v>53.28</v>
      </c>
      <c r="T28" s="2">
        <v>0</v>
      </c>
      <c r="U28" s="14">
        <f>-INDEX('Ship Design Balancing'!$K$2:$K$6,'Weapon Formulas'!C28)*(INDEX('Weapon Formulas'!$R$1:$R$3,'Weapon Formulas'!D28+2)*(1+'Weapon Formulas'!B28))</f>
        <v>-426.66666666666663</v>
      </c>
      <c r="W28" s="14" t="s">
        <v>222</v>
      </c>
      <c r="X28" s="2">
        <f t="shared" ref="X28:AP28" si="20">$G31*(1-(X$26*(1-$K31)))</f>
        <v>6.4016313978494628</v>
      </c>
      <c r="Y28" s="2">
        <f t="shared" si="20"/>
        <v>7.3669995698924726</v>
      </c>
      <c r="Z28" s="2">
        <f t="shared" si="20"/>
        <v>8.3323677419354834</v>
      </c>
      <c r="AA28" s="2">
        <f t="shared" si="20"/>
        <v>9.2977359139784941</v>
      </c>
      <c r="AB28" s="2">
        <f t="shared" si="20"/>
        <v>10.263104086021505</v>
      </c>
      <c r="AC28" s="2">
        <f t="shared" si="20"/>
        <v>11.228472258064514</v>
      </c>
      <c r="AD28" s="2">
        <f t="shared" si="20"/>
        <v>12.193840430107526</v>
      </c>
      <c r="AE28" s="2">
        <f t="shared" si="20"/>
        <v>13.159208602150535</v>
      </c>
      <c r="AF28" s="2">
        <f t="shared" si="20"/>
        <v>14.124576774193546</v>
      </c>
      <c r="AG28" s="2">
        <f t="shared" si="20"/>
        <v>15.089944946236557</v>
      </c>
      <c r="AH28" s="2">
        <f t="shared" si="20"/>
        <v>16.055313118279567</v>
      </c>
      <c r="AI28" s="2">
        <f t="shared" si="20"/>
        <v>17.020681290322578</v>
      </c>
      <c r="AJ28" s="2">
        <f t="shared" si="20"/>
        <v>17.986049462365589</v>
      </c>
      <c r="AK28" s="2">
        <f t="shared" si="20"/>
        <v>18.951417634408603</v>
      </c>
      <c r="AL28" s="2">
        <f t="shared" si="20"/>
        <v>19.916785806451614</v>
      </c>
      <c r="AM28" s="2">
        <f t="shared" si="20"/>
        <v>20.882153978494625</v>
      </c>
      <c r="AN28" s="2">
        <f t="shared" si="20"/>
        <v>21.847522150537632</v>
      </c>
      <c r="AO28" s="2">
        <f t="shared" si="20"/>
        <v>22.812890322580646</v>
      </c>
      <c r="AP28" s="2">
        <f t="shared" si="20"/>
        <v>23.77825849462366</v>
      </c>
    </row>
    <row r="29" spans="1:42" x14ac:dyDescent="0.25">
      <c r="A29" s="21">
        <f t="shared" si="9"/>
        <v>4.4999999999999998E-2</v>
      </c>
      <c r="E29" s="3" t="s">
        <v>42</v>
      </c>
      <c r="F29" s="13" t="s">
        <v>140</v>
      </c>
      <c r="G29" s="13">
        <v>0</v>
      </c>
      <c r="H29" s="13">
        <v>2</v>
      </c>
      <c r="I29" s="13">
        <v>1</v>
      </c>
      <c r="J29" s="13">
        <v>3</v>
      </c>
      <c r="K29" s="10"/>
      <c r="L29" s="10"/>
      <c r="M29" s="10"/>
      <c r="N29" s="2"/>
      <c r="O29" s="2"/>
      <c r="P29" s="2"/>
      <c r="Q29" s="2"/>
      <c r="R29" s="13" t="s">
        <v>247</v>
      </c>
      <c r="S29" s="2">
        <f t="shared" ref="S12:S29" si="21">$S$9*(1+(D29*$F$8))</f>
        <v>30</v>
      </c>
      <c r="T29" s="2">
        <v>0</v>
      </c>
      <c r="U29" s="14"/>
      <c r="W29" s="14" t="s">
        <v>223</v>
      </c>
      <c r="X29" s="2">
        <f t="shared" ref="X29:AP29" si="22">$G32*(1-(X$26*(1-$K32)))</f>
        <v>5.9470928172043012</v>
      </c>
      <c r="Y29" s="2">
        <f t="shared" si="22"/>
        <v>7.2483554408602151</v>
      </c>
      <c r="Z29" s="2">
        <f t="shared" si="22"/>
        <v>8.5496180645161299</v>
      </c>
      <c r="AA29" s="2">
        <f t="shared" si="22"/>
        <v>9.8508806881720421</v>
      </c>
      <c r="AB29" s="2">
        <f t="shared" si="22"/>
        <v>11.152143311827956</v>
      </c>
      <c r="AC29" s="2">
        <f t="shared" si="22"/>
        <v>12.45340593548387</v>
      </c>
      <c r="AD29" s="2">
        <f t="shared" si="22"/>
        <v>13.754668559139784</v>
      </c>
      <c r="AE29" s="2">
        <f t="shared" si="22"/>
        <v>15.055931182795698</v>
      </c>
      <c r="AF29" s="2">
        <f t="shared" si="22"/>
        <v>16.357193806451612</v>
      </c>
      <c r="AG29" s="2">
        <f t="shared" si="22"/>
        <v>17.658456430107528</v>
      </c>
      <c r="AH29" s="2">
        <f t="shared" si="22"/>
        <v>18.95971905376344</v>
      </c>
      <c r="AI29" s="2">
        <f t="shared" si="22"/>
        <v>20.260981677419352</v>
      </c>
      <c r="AJ29" s="2">
        <f t="shared" si="22"/>
        <v>21.562244301075271</v>
      </c>
      <c r="AK29" s="2">
        <f t="shared" si="22"/>
        <v>22.863506924731187</v>
      </c>
      <c r="AL29" s="2">
        <f t="shared" si="22"/>
        <v>24.164769548387099</v>
      </c>
      <c r="AM29" s="2">
        <f t="shared" si="22"/>
        <v>25.466032172043018</v>
      </c>
      <c r="AN29" s="2">
        <f t="shared" si="22"/>
        <v>26.76729479569893</v>
      </c>
      <c r="AO29" s="2">
        <f t="shared" si="22"/>
        <v>28.068557419354846</v>
      </c>
      <c r="AP29" s="2">
        <f t="shared" si="22"/>
        <v>29.369820043010762</v>
      </c>
    </row>
    <row r="30" spans="1:42" x14ac:dyDescent="0.25">
      <c r="A30" s="21">
        <f t="shared" si="9"/>
        <v>4.5720000000000004E-2</v>
      </c>
      <c r="C30" s="2">
        <v>3</v>
      </c>
      <c r="D30">
        <v>-1</v>
      </c>
      <c r="E30" s="5" t="s">
        <v>43</v>
      </c>
      <c r="F30" s="2">
        <f t="shared" si="10"/>
        <v>7.5457200000000002</v>
      </c>
      <c r="G30" s="2">
        <f>IF(G$29=1,H30,H30/(1-INDEX($O$2:$O$6,C30)))</f>
        <v>6.2313042580645162</v>
      </c>
      <c r="H30" s="2">
        <f>$F30*(INDEX($F$3:$F$5,H$29)+(($C30+($D30*$F$7))*INDEX($G$3:$G$5,H$29)))</f>
        <v>4.8292608000000001</v>
      </c>
      <c r="I30" s="2">
        <f t="shared" ref="I30:J38" si="23">$F30*(INDEX($F$3:$F$5,I$29)+(($C30+($D30*$F$7))*INDEX($G$3:$G$5,I$29)))</f>
        <v>9.0548640000000002</v>
      </c>
      <c r="J30" s="2">
        <f t="shared" si="23"/>
        <v>1.2073152</v>
      </c>
      <c r="K30" s="10">
        <f t="shared" ref="K30:K89" si="24">1-((1-(I30/G30))/INDEX($P$2:$P$6,C30))</f>
        <v>3.0138888888888893</v>
      </c>
      <c r="L30" s="10">
        <f>(INDEX($Q$2:$Q$6,C30)/((1/INDEX($F$4:$F$6,J$29))-1))</f>
        <v>4.9999999999999996E-2</v>
      </c>
      <c r="M30" s="10">
        <v>0</v>
      </c>
      <c r="N30" s="2">
        <f t="shared" ref="N30:N38" si="25">((AVERAGE(O30,P30)*R30)/Q30)/INDEX($R$1:$R$3,D30+2)</f>
        <v>6.2313042580645162</v>
      </c>
      <c r="O30" s="2">
        <f t="shared" ref="O30:O38" si="26">0.75*(((G30*INDEX($R$1:$R$3,$D30+2))*Q30)/R30)</f>
        <v>24.792231880409126</v>
      </c>
      <c r="P30" s="2">
        <f t="shared" ref="P30:P38" si="27">1.25*(((G30*INDEX($R$1:$R$3,$D30+2))*Q30)/R30)</f>
        <v>41.320386467348548</v>
      </c>
      <c r="Q30" s="2">
        <f>(AVERAGE(VLOOKUP(E30,weapon_components!$A$8:$M$178,9,0),VLOOKUP(E30,weapon_components!$A$8:$M$178,10,0))+VLOOKUP(E30,weapon_components!$A$8:$M$178,11,0))/10</f>
        <v>4.3499999999999996</v>
      </c>
      <c r="R30" s="2">
        <f>VLOOKUP(E30,weapon_components!$A$8:$M$178,13,0)</f>
        <v>0.82</v>
      </c>
      <c r="S30" s="25">
        <f>($S$29)*(1+(D30*$F$8))*(1+((C30-1)*$J$3))</f>
        <v>29.759999999999998</v>
      </c>
      <c r="T30" s="2">
        <v>0</v>
      </c>
      <c r="U30" s="14">
        <f>-INDEX('Ship Design Balancing'!$K$2:$K$6,'Weapon Formulas'!C30)*(INDEX('Weapon Formulas'!$R$1:$R$3,'Weapon Formulas'!D30+2)*(1+'Weapon Formulas'!B30))</f>
        <v>-13.333333333333332</v>
      </c>
      <c r="W30" s="14" t="s">
        <v>224</v>
      </c>
      <c r="X30" s="2">
        <f t="shared" ref="X30:AP30" si="28">$G33*(1-(X$26*(1-$K33)))</f>
        <v>8.8660873333333345</v>
      </c>
      <c r="Y30" s="2">
        <f t="shared" si="28"/>
        <v>9.7025106666666687</v>
      </c>
      <c r="Z30" s="2">
        <f t="shared" si="28"/>
        <v>10.538934000000001</v>
      </c>
      <c r="AA30" s="2">
        <f t="shared" si="28"/>
        <v>11.375357333333335</v>
      </c>
      <c r="AB30" s="2">
        <f t="shared" si="28"/>
        <v>12.211780666666668</v>
      </c>
      <c r="AC30" s="2">
        <f t="shared" si="28"/>
        <v>13.048204</v>
      </c>
      <c r="AD30" s="2">
        <f t="shared" si="28"/>
        <v>13.884627333333333</v>
      </c>
      <c r="AE30" s="2">
        <f t="shared" si="28"/>
        <v>14.721050666666669</v>
      </c>
      <c r="AF30" s="2">
        <f t="shared" si="28"/>
        <v>15.557474000000001</v>
      </c>
      <c r="AG30" s="2">
        <f t="shared" si="28"/>
        <v>16.393897333333332</v>
      </c>
      <c r="AH30" s="2">
        <f t="shared" si="28"/>
        <v>17.230320666666664</v>
      </c>
      <c r="AI30" s="2">
        <f t="shared" si="28"/>
        <v>18.066744</v>
      </c>
      <c r="AJ30" s="2">
        <f t="shared" si="28"/>
        <v>18.903167333333336</v>
      </c>
      <c r="AK30" s="2">
        <f t="shared" si="28"/>
        <v>19.739590666666668</v>
      </c>
      <c r="AL30" s="2">
        <f t="shared" si="28"/>
        <v>20.576014000000004</v>
      </c>
      <c r="AM30" s="2">
        <f t="shared" si="28"/>
        <v>21.412437333333337</v>
      </c>
      <c r="AN30" s="2">
        <f t="shared" si="28"/>
        <v>22.248860666666673</v>
      </c>
      <c r="AO30" s="2">
        <f t="shared" si="28"/>
        <v>23.085284000000009</v>
      </c>
      <c r="AP30" s="2">
        <f t="shared" si="28"/>
        <v>23.921707333333341</v>
      </c>
    </row>
    <row r="31" spans="1:42" x14ac:dyDescent="0.25">
      <c r="A31" s="21">
        <f t="shared" si="9"/>
        <v>2.339999999999999E-2</v>
      </c>
      <c r="C31" s="2">
        <v>3</v>
      </c>
      <c r="D31">
        <v>0</v>
      </c>
      <c r="E31" s="5" t="s">
        <v>44</v>
      </c>
      <c r="F31" s="2">
        <f t="shared" si="10"/>
        <v>7.5233999999999996</v>
      </c>
      <c r="G31" s="2">
        <f t="shared" ref="G31:G38" si="29">IF(G$29=1,H31,H31/(1-INDEX($O$2:$O$6,C31)))</f>
        <v>5.436263225806452</v>
      </c>
      <c r="H31" s="2">
        <f t="shared" ref="H31:H38" si="30">$F31*(INDEX($F$3:$F$5,H$29)+(($C31+($D31*$F$7))*INDEX($G$3:$G$5,H$29)))</f>
        <v>4.2131040000000004</v>
      </c>
      <c r="I31" s="2">
        <f t="shared" si="23"/>
        <v>9.7804199999999994</v>
      </c>
      <c r="J31" s="2">
        <f t="shared" si="23"/>
        <v>1.0532760000000001</v>
      </c>
      <c r="K31" s="10">
        <f t="shared" si="24"/>
        <v>4.5515873015873005</v>
      </c>
      <c r="L31" s="10">
        <f t="shared" ref="L31:L38" si="31">(INDEX($Q$2:$Q$6,C31)/((1/INDEX($F$4:$F$6,J$29))-1))</f>
        <v>4.9999999999999996E-2</v>
      </c>
      <c r="M31" s="10">
        <v>0</v>
      </c>
      <c r="N31" s="2">
        <f t="shared" si="25"/>
        <v>5.436263225806452</v>
      </c>
      <c r="O31" s="2">
        <f t="shared" si="26"/>
        <v>44.339521935483873</v>
      </c>
      <c r="P31" s="2">
        <f t="shared" si="27"/>
        <v>73.899203225806446</v>
      </c>
      <c r="Q31" s="2">
        <f>(AVERAGE(VLOOKUP(E31,weapon_components!$A$8:$M$178,9,0),VLOOKUP(E31,weapon_components!$A$8:$M$178,10,0))+VLOOKUP(E31,weapon_components!$A$8:$M$178,11,0))/10</f>
        <v>4.3499999999999996</v>
      </c>
      <c r="R31" s="2">
        <f>VLOOKUP(E31,weapon_components!$A$8:$M$178,13,0)</f>
        <v>0.8</v>
      </c>
      <c r="S31" s="25">
        <f t="shared" ref="S31:S40" si="32">($S$29)*(1+(D31*$F$8))*(1+((C31-1)*$J$3))</f>
        <v>37.200000000000003</v>
      </c>
      <c r="T31" s="2">
        <v>0</v>
      </c>
      <c r="U31" s="14">
        <f>-INDEX('Ship Design Balancing'!$K$2:$K$6,'Weapon Formulas'!C31)*(INDEX('Weapon Formulas'!$R$1:$R$3,'Weapon Formulas'!D31+2)*(1+'Weapon Formulas'!B31))</f>
        <v>-26.666666666666664</v>
      </c>
      <c r="W31" s="14" t="s">
        <v>225</v>
      </c>
      <c r="X31" s="2">
        <f t="shared" ref="X31:AP31" si="33">$G34*(1-(X$26*(1-$K34)))</f>
        <v>8.057759047619049</v>
      </c>
      <c r="Y31" s="2">
        <f t="shared" si="33"/>
        <v>9.2497352380952389</v>
      </c>
      <c r="Z31" s="2">
        <f t="shared" si="33"/>
        <v>10.441711428571431</v>
      </c>
      <c r="AA31" s="2">
        <f t="shared" si="33"/>
        <v>11.633687619047619</v>
      </c>
      <c r="AB31" s="2">
        <f t="shared" si="33"/>
        <v>12.82566380952381</v>
      </c>
      <c r="AC31" s="2">
        <f t="shared" si="33"/>
        <v>14.017639999999998</v>
      </c>
      <c r="AD31" s="2">
        <f t="shared" si="33"/>
        <v>15.209616190476192</v>
      </c>
      <c r="AE31" s="2">
        <f t="shared" si="33"/>
        <v>16.40159238095238</v>
      </c>
      <c r="AF31" s="2">
        <f t="shared" si="33"/>
        <v>17.59356857142857</v>
      </c>
      <c r="AG31" s="2">
        <f t="shared" si="33"/>
        <v>18.785544761904763</v>
      </c>
      <c r="AH31" s="2">
        <f t="shared" si="33"/>
        <v>19.977520952380949</v>
      </c>
      <c r="AI31" s="2">
        <f t="shared" si="33"/>
        <v>21.169497142857143</v>
      </c>
      <c r="AJ31" s="2">
        <f t="shared" si="33"/>
        <v>22.361473333333336</v>
      </c>
      <c r="AK31" s="2">
        <f t="shared" si="33"/>
        <v>23.553449523809526</v>
      </c>
      <c r="AL31" s="2">
        <f t="shared" si="33"/>
        <v>24.745425714285716</v>
      </c>
      <c r="AM31" s="2">
        <f t="shared" si="33"/>
        <v>25.937401904761909</v>
      </c>
      <c r="AN31" s="2">
        <f t="shared" si="33"/>
        <v>27.129378095238099</v>
      </c>
      <c r="AO31" s="2">
        <f t="shared" si="33"/>
        <v>28.321354285714289</v>
      </c>
      <c r="AP31" s="2">
        <f t="shared" si="33"/>
        <v>29.513330476190479</v>
      </c>
    </row>
    <row r="32" spans="1:42" x14ac:dyDescent="0.25">
      <c r="A32" s="21">
        <f t="shared" si="9"/>
        <v>1.0799999999999983E-3</v>
      </c>
      <c r="C32" s="2">
        <v>3</v>
      </c>
      <c r="D32">
        <v>1</v>
      </c>
      <c r="E32" s="5" t="s">
        <v>45</v>
      </c>
      <c r="F32" s="2">
        <f t="shared" si="10"/>
        <v>7.50108</v>
      </c>
      <c r="G32" s="2">
        <f t="shared" si="29"/>
        <v>4.6458301935483872</v>
      </c>
      <c r="H32" s="2">
        <f t="shared" si="30"/>
        <v>3.6005183999999999</v>
      </c>
      <c r="I32" s="2">
        <f t="shared" si="23"/>
        <v>10.501512</v>
      </c>
      <c r="J32" s="2">
        <f t="shared" si="23"/>
        <v>0.90012959999999997</v>
      </c>
      <c r="K32" s="10">
        <f t="shared" si="24"/>
        <v>6.6018518518518521</v>
      </c>
      <c r="L32" s="10">
        <f t="shared" si="31"/>
        <v>4.9999999999999996E-2</v>
      </c>
      <c r="M32" s="10">
        <v>0</v>
      </c>
      <c r="N32" s="2">
        <f t="shared" si="25"/>
        <v>4.6458301935483872</v>
      </c>
      <c r="O32" s="2">
        <f t="shared" si="26"/>
        <v>80.837445367741935</v>
      </c>
      <c r="P32" s="2">
        <f t="shared" si="27"/>
        <v>134.72907561290322</v>
      </c>
      <c r="Q32" s="2">
        <f>(AVERAGE(VLOOKUP(E32,weapon_components!$A$8:$M$178,9,0),VLOOKUP(E32,weapon_components!$A$8:$M$178,10,0))+VLOOKUP(E32,weapon_components!$A$8:$M$178,11,0))/10</f>
        <v>4.3499999999999996</v>
      </c>
      <c r="R32" s="2">
        <f>VLOOKUP(E32,weapon_components!$A$8:$M$178,13,0)</f>
        <v>0.75</v>
      </c>
      <c r="S32" s="25">
        <f t="shared" si="32"/>
        <v>44.64</v>
      </c>
      <c r="T32" s="2">
        <v>0</v>
      </c>
      <c r="U32" s="14">
        <f>-INDEX('Ship Design Balancing'!$K$2:$K$6,'Weapon Formulas'!C32)*(INDEX('Weapon Formulas'!$R$1:$R$3,'Weapon Formulas'!D32+2)*(1+'Weapon Formulas'!B32))</f>
        <v>-53.333333333333329</v>
      </c>
      <c r="W32" s="14" t="s">
        <v>226</v>
      </c>
      <c r="X32" s="2">
        <f t="shared" ref="X32:AP32" si="34">$G35*(1-(X$26*(1-$K35)))</f>
        <v>7.25327761904762</v>
      </c>
      <c r="Y32" s="2">
        <f t="shared" si="34"/>
        <v>8.7990580952380952</v>
      </c>
      <c r="Z32" s="2">
        <f t="shared" si="34"/>
        <v>10.344838571428571</v>
      </c>
      <c r="AA32" s="2">
        <f t="shared" si="34"/>
        <v>11.890619047619049</v>
      </c>
      <c r="AB32" s="2">
        <f t="shared" si="34"/>
        <v>13.436399523809525</v>
      </c>
      <c r="AC32" s="2">
        <f t="shared" si="34"/>
        <v>14.98218</v>
      </c>
      <c r="AD32" s="2">
        <f t="shared" si="34"/>
        <v>16.527960476190476</v>
      </c>
      <c r="AE32" s="2">
        <f t="shared" si="34"/>
        <v>18.073740952380952</v>
      </c>
      <c r="AF32" s="2">
        <f t="shared" si="34"/>
        <v>19.619521428571428</v>
      </c>
      <c r="AG32" s="2">
        <f t="shared" si="34"/>
        <v>21.165301904761904</v>
      </c>
      <c r="AH32" s="2">
        <f t="shared" si="34"/>
        <v>22.71108238095238</v>
      </c>
      <c r="AI32" s="2">
        <f t="shared" si="34"/>
        <v>24.256862857142856</v>
      </c>
      <c r="AJ32" s="2">
        <f t="shared" si="34"/>
        <v>25.802643333333336</v>
      </c>
      <c r="AK32" s="2">
        <f t="shared" si="34"/>
        <v>27.348423809523815</v>
      </c>
      <c r="AL32" s="2">
        <f t="shared" si="34"/>
        <v>28.894204285714292</v>
      </c>
      <c r="AM32" s="2">
        <f t="shared" si="34"/>
        <v>30.439984761904771</v>
      </c>
      <c r="AN32" s="2">
        <f t="shared" si="34"/>
        <v>31.985765238095247</v>
      </c>
      <c r="AO32" s="2">
        <f t="shared" si="34"/>
        <v>33.531545714285727</v>
      </c>
      <c r="AP32" s="2">
        <f t="shared" si="34"/>
        <v>35.077326190476199</v>
      </c>
    </row>
    <row r="33" spans="1:42" x14ac:dyDescent="0.25">
      <c r="A33" s="21">
        <f t="shared" si="9"/>
        <v>3.7080000000000002E-2</v>
      </c>
      <c r="C33" s="2">
        <v>4</v>
      </c>
      <c r="D33">
        <v>-1</v>
      </c>
      <c r="E33" s="5" t="s">
        <v>46</v>
      </c>
      <c r="F33" s="2">
        <f t="shared" si="10"/>
        <v>10.03708</v>
      </c>
      <c r="G33" s="2">
        <f t="shared" si="29"/>
        <v>8.0296640000000004</v>
      </c>
      <c r="H33" s="2">
        <f t="shared" si="30"/>
        <v>5.6207647999999999</v>
      </c>
      <c r="I33" s="2">
        <f t="shared" si="23"/>
        <v>13.048204</v>
      </c>
      <c r="J33" s="2">
        <f t="shared" si="23"/>
        <v>1.4051912</v>
      </c>
      <c r="K33" s="10">
        <f t="shared" si="24"/>
        <v>3.0833333333333335</v>
      </c>
      <c r="L33" s="10">
        <f t="shared" si="31"/>
        <v>6.6666666666666666E-2</v>
      </c>
      <c r="M33" s="10">
        <v>0</v>
      </c>
      <c r="N33" s="2">
        <f t="shared" si="25"/>
        <v>8.0296640000000004</v>
      </c>
      <c r="O33" s="2">
        <f t="shared" si="26"/>
        <v>31.947291219512195</v>
      </c>
      <c r="P33" s="2">
        <f t="shared" si="27"/>
        <v>53.245485365853654</v>
      </c>
      <c r="Q33" s="2">
        <f>(AVERAGE(VLOOKUP(E33,weapon_components!$A$8:$M$178,9,0),VLOOKUP(E33,weapon_components!$A$8:$M$178,10,0))+VLOOKUP(E33,weapon_components!$A$8:$M$178,11,0))/10</f>
        <v>4.3499999999999996</v>
      </c>
      <c r="R33" s="2">
        <f>VLOOKUP(E33,weapon_components!$A$8:$M$178,13,0)</f>
        <v>0.82</v>
      </c>
      <c r="S33" s="25">
        <f t="shared" si="32"/>
        <v>32.64</v>
      </c>
      <c r="T33" s="2">
        <v>0</v>
      </c>
      <c r="U33" s="14">
        <f>-INDEX('Ship Design Balancing'!$K$2:$K$6,'Weapon Formulas'!C33)*(INDEX('Weapon Formulas'!$R$1:$R$3,'Weapon Formulas'!D33+2)*(1+'Weapon Formulas'!B33))</f>
        <v>-26.666666666666664</v>
      </c>
      <c r="W33" s="14" t="s">
        <v>227</v>
      </c>
      <c r="X33" s="2">
        <f t="shared" ref="X33:AP33" si="35">$G36*(1-(X$26*(1-$K36)))</f>
        <v>10.677571797333334</v>
      </c>
      <c r="Y33" s="2">
        <f t="shared" si="35"/>
        <v>11.733301674666667</v>
      </c>
      <c r="Z33" s="2">
        <f t="shared" si="35"/>
        <v>12.789031551999999</v>
      </c>
      <c r="AA33" s="2">
        <f t="shared" si="35"/>
        <v>13.844761429333333</v>
      </c>
      <c r="AB33" s="2">
        <f t="shared" si="35"/>
        <v>14.900491306666666</v>
      </c>
      <c r="AC33" s="2">
        <f t="shared" si="35"/>
        <v>15.956221183999999</v>
      </c>
      <c r="AD33" s="2">
        <f t="shared" si="35"/>
        <v>17.011951061333331</v>
      </c>
      <c r="AE33" s="2">
        <f t="shared" si="35"/>
        <v>18.067680938666665</v>
      </c>
      <c r="AF33" s="2">
        <f t="shared" si="35"/>
        <v>19.123410815999996</v>
      </c>
      <c r="AG33" s="2">
        <f t="shared" si="35"/>
        <v>20.179140693333331</v>
      </c>
      <c r="AH33" s="2">
        <f t="shared" si="35"/>
        <v>21.234870570666661</v>
      </c>
      <c r="AI33" s="2">
        <f t="shared" si="35"/>
        <v>22.290600447999996</v>
      </c>
      <c r="AJ33" s="2">
        <f t="shared" si="35"/>
        <v>23.346330325333334</v>
      </c>
      <c r="AK33" s="2">
        <f t="shared" si="35"/>
        <v>24.402060202666664</v>
      </c>
      <c r="AL33" s="2">
        <f t="shared" si="35"/>
        <v>25.457790079999999</v>
      </c>
      <c r="AM33" s="2">
        <f t="shared" si="35"/>
        <v>26.513519957333333</v>
      </c>
      <c r="AN33" s="2">
        <f t="shared" si="35"/>
        <v>27.569249834666667</v>
      </c>
      <c r="AO33" s="2">
        <f t="shared" si="35"/>
        <v>28.624979712000005</v>
      </c>
      <c r="AP33" s="2">
        <f t="shared" si="35"/>
        <v>29.680709589333336</v>
      </c>
    </row>
    <row r="34" spans="1:42" x14ac:dyDescent="0.25">
      <c r="A34" s="21">
        <f t="shared" si="9"/>
        <v>1.2600000000000009E-2</v>
      </c>
      <c r="C34" s="2">
        <v>4</v>
      </c>
      <c r="D34">
        <v>0</v>
      </c>
      <c r="E34" s="5" t="s">
        <v>47</v>
      </c>
      <c r="F34" s="2">
        <f t="shared" si="10"/>
        <v>10.012600000000001</v>
      </c>
      <c r="G34" s="2">
        <f t="shared" si="29"/>
        <v>6.8657828571428583</v>
      </c>
      <c r="H34" s="2">
        <f t="shared" si="30"/>
        <v>4.8060480000000005</v>
      </c>
      <c r="I34" s="2">
        <f t="shared" si="23"/>
        <v>14.01764</v>
      </c>
      <c r="J34" s="2">
        <f t="shared" si="23"/>
        <v>1.2015120000000001</v>
      </c>
      <c r="K34" s="10">
        <f t="shared" si="24"/>
        <v>4.4722222222222214</v>
      </c>
      <c r="L34" s="10">
        <f t="shared" si="31"/>
        <v>6.6666666666666666E-2</v>
      </c>
      <c r="M34" s="10">
        <v>0</v>
      </c>
      <c r="N34" s="2">
        <f t="shared" si="25"/>
        <v>6.8657828571428583</v>
      </c>
      <c r="O34" s="2">
        <f t="shared" si="26"/>
        <v>55.999041428571431</v>
      </c>
      <c r="P34" s="2">
        <f t="shared" si="27"/>
        <v>93.331735714285728</v>
      </c>
      <c r="Q34" s="2">
        <f>(AVERAGE(VLOOKUP(E34,weapon_components!$A$8:$M$178,9,0),VLOOKUP(E34,weapon_components!$A$8:$M$178,10,0))+VLOOKUP(E34,weapon_components!$A$8:$M$178,11,0))/10</f>
        <v>4.3499999999999996</v>
      </c>
      <c r="R34" s="2">
        <f>VLOOKUP(E34,weapon_components!$A$8:$M$178,13,0)</f>
        <v>0.8</v>
      </c>
      <c r="S34" s="25">
        <f t="shared" si="32"/>
        <v>40.799999999999997</v>
      </c>
      <c r="T34" s="2">
        <v>0</v>
      </c>
      <c r="U34" s="14">
        <f>-INDEX('Ship Design Balancing'!$K$2:$K$6,'Weapon Formulas'!C34)*(INDEX('Weapon Formulas'!$R$1:$R$3,'Weapon Formulas'!D34+2)*(1+'Weapon Formulas'!B34))</f>
        <v>-53.333333333333329</v>
      </c>
      <c r="W34" s="14" t="s">
        <v>228</v>
      </c>
      <c r="X34" s="2">
        <f t="shared" ref="X34:AP34" si="36">$G37*(1-(X$26*(1-$K37)))</f>
        <v>9.4346917333333327</v>
      </c>
      <c r="Y34" s="2">
        <f t="shared" si="36"/>
        <v>10.868231466666666</v>
      </c>
      <c r="Z34" s="2">
        <f t="shared" si="36"/>
        <v>12.301771199999999</v>
      </c>
      <c r="AA34" s="2">
        <f t="shared" si="36"/>
        <v>13.735310933333333</v>
      </c>
      <c r="AB34" s="2">
        <f t="shared" si="36"/>
        <v>15.168850666666666</v>
      </c>
      <c r="AC34" s="2">
        <f t="shared" si="36"/>
        <v>16.602390400000001</v>
      </c>
      <c r="AD34" s="2">
        <f t="shared" si="36"/>
        <v>18.035930133333334</v>
      </c>
      <c r="AE34" s="2">
        <f t="shared" si="36"/>
        <v>19.469469866666667</v>
      </c>
      <c r="AF34" s="2">
        <f t="shared" si="36"/>
        <v>20.903009599999997</v>
      </c>
      <c r="AG34" s="2">
        <f t="shared" si="36"/>
        <v>22.336549333333334</v>
      </c>
      <c r="AH34" s="2">
        <f t="shared" si="36"/>
        <v>23.770089066666664</v>
      </c>
      <c r="AI34" s="2">
        <f t="shared" si="36"/>
        <v>25.203628800000001</v>
      </c>
      <c r="AJ34" s="2">
        <f t="shared" si="36"/>
        <v>26.637168533333334</v>
      </c>
      <c r="AK34" s="2">
        <f t="shared" si="36"/>
        <v>28.070708266666671</v>
      </c>
      <c r="AL34" s="2">
        <f t="shared" si="36"/>
        <v>29.504248000000004</v>
      </c>
      <c r="AM34" s="2">
        <f t="shared" si="36"/>
        <v>30.937787733333337</v>
      </c>
      <c r="AN34" s="2">
        <f t="shared" si="36"/>
        <v>32.371327466666671</v>
      </c>
      <c r="AO34" s="2">
        <f t="shared" si="36"/>
        <v>33.804867200000011</v>
      </c>
      <c r="AP34" s="2">
        <f t="shared" si="36"/>
        <v>35.238406933333344</v>
      </c>
    </row>
    <row r="35" spans="1:42" x14ac:dyDescent="0.25">
      <c r="A35" s="21">
        <f t="shared" si="9"/>
        <v>-1.1879999999999981E-2</v>
      </c>
      <c r="C35" s="2">
        <v>4</v>
      </c>
      <c r="D35">
        <v>1</v>
      </c>
      <c r="E35" s="5" t="s">
        <v>48</v>
      </c>
      <c r="F35" s="2">
        <f t="shared" si="10"/>
        <v>9.9881200000000003</v>
      </c>
      <c r="G35" s="2">
        <f t="shared" si="29"/>
        <v>5.707497142857143</v>
      </c>
      <c r="H35" s="2">
        <f t="shared" si="30"/>
        <v>3.9952479999999997</v>
      </c>
      <c r="I35" s="2">
        <f t="shared" si="23"/>
        <v>14.98218</v>
      </c>
      <c r="J35" s="2">
        <f t="shared" si="23"/>
        <v>0.99881199999999992</v>
      </c>
      <c r="K35" s="10">
        <f t="shared" si="24"/>
        <v>6.416666666666667</v>
      </c>
      <c r="L35" s="10">
        <f t="shared" si="31"/>
        <v>6.6666666666666666E-2</v>
      </c>
      <c r="M35" s="10">
        <v>0</v>
      </c>
      <c r="N35" s="2">
        <f t="shared" si="25"/>
        <v>5.7074971428571439</v>
      </c>
      <c r="O35" s="2">
        <f t="shared" si="26"/>
        <v>99.310450285714296</v>
      </c>
      <c r="P35" s="2">
        <f t="shared" si="27"/>
        <v>165.51741714285714</v>
      </c>
      <c r="Q35" s="2">
        <f>(AVERAGE(VLOOKUP(E35,weapon_components!$A$8:$M$178,9,0),VLOOKUP(E35,weapon_components!$A$8:$M$178,10,0))+VLOOKUP(E35,weapon_components!$A$8:$M$178,11,0))/10</f>
        <v>4.3499999999999996</v>
      </c>
      <c r="R35" s="2">
        <f>VLOOKUP(E35,weapon_components!$A$8:$M$178,13,0)</f>
        <v>0.75</v>
      </c>
      <c r="S35" s="25">
        <f t="shared" si="32"/>
        <v>48.959999999999994</v>
      </c>
      <c r="T35" s="2">
        <v>0</v>
      </c>
      <c r="U35" s="14">
        <f>-INDEX('Ship Design Balancing'!$K$2:$K$6,'Weapon Formulas'!C35)*(INDEX('Weapon Formulas'!$R$1:$R$3,'Weapon Formulas'!D35+2)*(1+'Weapon Formulas'!B35))</f>
        <v>-106.66666666666666</v>
      </c>
      <c r="W35" s="14" t="s">
        <v>229</v>
      </c>
      <c r="X35" s="2">
        <f t="shared" ref="X35:AP35" si="37">$G38*(1-(X$26*(1-$K38)))</f>
        <v>8.1970117973333334</v>
      </c>
      <c r="Y35" s="2">
        <f t="shared" si="37"/>
        <v>10.006741674666667</v>
      </c>
      <c r="Z35" s="2">
        <f t="shared" si="37"/>
        <v>11.816471552000001</v>
      </c>
      <c r="AA35" s="2">
        <f t="shared" si="37"/>
        <v>13.626201429333335</v>
      </c>
      <c r="AB35" s="2">
        <f t="shared" si="37"/>
        <v>15.435931306666667</v>
      </c>
      <c r="AC35" s="2">
        <f t="shared" si="37"/>
        <v>17.245661183999999</v>
      </c>
      <c r="AD35" s="2">
        <f t="shared" si="37"/>
        <v>19.055391061333331</v>
      </c>
      <c r="AE35" s="2">
        <f t="shared" si="37"/>
        <v>20.865120938666667</v>
      </c>
      <c r="AF35" s="2">
        <f t="shared" si="37"/>
        <v>22.674850815999999</v>
      </c>
      <c r="AG35" s="2">
        <f t="shared" si="37"/>
        <v>24.484580693333331</v>
      </c>
      <c r="AH35" s="2">
        <f t="shared" si="37"/>
        <v>26.294310570666667</v>
      </c>
      <c r="AI35" s="2">
        <f t="shared" si="37"/>
        <v>28.104040447999999</v>
      </c>
      <c r="AJ35" s="2">
        <f t="shared" si="37"/>
        <v>29.913770325333331</v>
      </c>
      <c r="AK35" s="2">
        <f t="shared" si="37"/>
        <v>31.723500202666671</v>
      </c>
      <c r="AL35" s="2">
        <f t="shared" si="37"/>
        <v>33.53323008000001</v>
      </c>
      <c r="AM35" s="2">
        <f t="shared" si="37"/>
        <v>35.342959957333342</v>
      </c>
      <c r="AN35" s="2">
        <f t="shared" si="37"/>
        <v>37.152689834666681</v>
      </c>
      <c r="AO35" s="2">
        <f t="shared" si="37"/>
        <v>38.962419712000013</v>
      </c>
      <c r="AP35" s="2">
        <f t="shared" si="37"/>
        <v>40.772149589333353</v>
      </c>
    </row>
    <row r="36" spans="1:42" x14ac:dyDescent="0.25">
      <c r="A36" s="21">
        <f t="shared" si="9"/>
        <v>2.8440000000000014E-2</v>
      </c>
      <c r="C36" s="2">
        <v>5</v>
      </c>
      <c r="D36">
        <v>-1</v>
      </c>
      <c r="E36" s="5" t="s">
        <v>49</v>
      </c>
      <c r="F36" s="2">
        <f t="shared" si="10"/>
        <v>12.52844</v>
      </c>
      <c r="G36" s="2">
        <f t="shared" si="29"/>
        <v>9.6218419199999996</v>
      </c>
      <c r="H36" s="2">
        <f t="shared" si="30"/>
        <v>6.0136512</v>
      </c>
      <c r="I36" s="2">
        <f t="shared" si="23"/>
        <v>17.539815999999998</v>
      </c>
      <c r="J36" s="2">
        <f t="shared" si="23"/>
        <v>1.5034128</v>
      </c>
      <c r="K36" s="10">
        <f t="shared" si="24"/>
        <v>3.1944444444444442</v>
      </c>
      <c r="L36" s="10">
        <f t="shared" si="31"/>
        <v>8.3333333333333329E-2</v>
      </c>
      <c r="M36" s="10">
        <v>0</v>
      </c>
      <c r="N36" s="2">
        <f t="shared" si="25"/>
        <v>9.6218419199999996</v>
      </c>
      <c r="O36" s="2">
        <f t="shared" si="26"/>
        <v>38.282023492682924</v>
      </c>
      <c r="P36" s="2">
        <f t="shared" si="27"/>
        <v>63.803372487804879</v>
      </c>
      <c r="Q36" s="2">
        <f>(AVERAGE(VLOOKUP(E36,weapon_components!$A$8:$M$178,9,0),VLOOKUP(E36,weapon_components!$A$8:$M$178,10,0))+VLOOKUP(E36,weapon_components!$A$8:$M$178,11,0))/10</f>
        <v>4.3499999999999996</v>
      </c>
      <c r="R36" s="2">
        <f>VLOOKUP(E36,weapon_components!$A$8:$M$178,13,0)</f>
        <v>0.82</v>
      </c>
      <c r="S36" s="25">
        <f t="shared" si="32"/>
        <v>35.519999999999996</v>
      </c>
      <c r="T36" s="2">
        <v>0</v>
      </c>
      <c r="U36" s="14">
        <f>-INDEX('Ship Design Balancing'!$K$2:$K$6,'Weapon Formulas'!C36)*(INDEX('Weapon Formulas'!$R$1:$R$3,'Weapon Formulas'!D36+2)*(1+'Weapon Formulas'!B36))</f>
        <v>-53.333333333333329</v>
      </c>
      <c r="W36" s="14" t="s">
        <v>230</v>
      </c>
      <c r="X36" s="2">
        <f>($G27*(1-(X$26*(1-$K27))))/2</f>
        <v>7.2575911904761901</v>
      </c>
      <c r="Y36" s="2">
        <f t="shared" ref="Y36:AP36" si="38">($G27*(1-(Y$26*(1-$K27))))/2</f>
        <v>8.8042909523809527</v>
      </c>
      <c r="Z36" s="2">
        <f t="shared" si="38"/>
        <v>10.350990714285714</v>
      </c>
      <c r="AA36" s="2">
        <f t="shared" si="38"/>
        <v>11.897690476190476</v>
      </c>
      <c r="AB36" s="2">
        <f t="shared" si="38"/>
        <v>13.444390238095236</v>
      </c>
      <c r="AC36" s="2">
        <f t="shared" si="38"/>
        <v>14.991090000000002</v>
      </c>
      <c r="AD36" s="2">
        <f t="shared" si="38"/>
        <v>16.537789761904762</v>
      </c>
      <c r="AE36" s="2">
        <f t="shared" si="38"/>
        <v>18.084489523809523</v>
      </c>
      <c r="AF36" s="2">
        <f t="shared" si="38"/>
        <v>19.631189285714285</v>
      </c>
      <c r="AG36" s="2">
        <f t="shared" si="38"/>
        <v>21.177889047619047</v>
      </c>
      <c r="AH36" s="2">
        <f t="shared" si="38"/>
        <v>22.724588809523809</v>
      </c>
      <c r="AI36" s="2">
        <f t="shared" si="38"/>
        <v>24.271288571428578</v>
      </c>
      <c r="AJ36" s="2">
        <f t="shared" si="38"/>
        <v>25.817988333333336</v>
      </c>
      <c r="AK36" s="2">
        <f t="shared" si="38"/>
        <v>27.364688095238098</v>
      </c>
      <c r="AL36" s="2">
        <f t="shared" si="38"/>
        <v>28.911387857142863</v>
      </c>
      <c r="AM36" s="2">
        <f t="shared" si="38"/>
        <v>30.458087619047625</v>
      </c>
      <c r="AN36" s="2">
        <f t="shared" si="38"/>
        <v>32.004787380952394</v>
      </c>
      <c r="AO36" s="2">
        <f t="shared" si="38"/>
        <v>33.551487142857155</v>
      </c>
      <c r="AP36" s="2">
        <f t="shared" si="38"/>
        <v>35.098186904761917</v>
      </c>
    </row>
    <row r="37" spans="1:42" x14ac:dyDescent="0.25">
      <c r="A37" s="21">
        <f t="shared" si="9"/>
        <v>1.8000000000000043E-3</v>
      </c>
      <c r="C37" s="2">
        <v>5</v>
      </c>
      <c r="D37">
        <v>0</v>
      </c>
      <c r="E37" s="5" t="s">
        <v>50</v>
      </c>
      <c r="F37" s="2">
        <f t="shared" si="10"/>
        <v>12.501799999999999</v>
      </c>
      <c r="G37" s="2">
        <f t="shared" si="29"/>
        <v>8.0011519999999994</v>
      </c>
      <c r="H37" s="2">
        <f t="shared" si="30"/>
        <v>5.0007199999999994</v>
      </c>
      <c r="I37" s="2">
        <f t="shared" si="23"/>
        <v>18.752699999999997</v>
      </c>
      <c r="J37" s="2">
        <f t="shared" si="23"/>
        <v>1.2501799999999998</v>
      </c>
      <c r="K37" s="10">
        <f t="shared" si="24"/>
        <v>4.5833333333333339</v>
      </c>
      <c r="L37" s="10">
        <f t="shared" si="31"/>
        <v>8.3333333333333329E-2</v>
      </c>
      <c r="M37" s="10">
        <v>0</v>
      </c>
      <c r="N37" s="2">
        <f t="shared" si="25"/>
        <v>8.0011519999999994</v>
      </c>
      <c r="O37" s="2">
        <f t="shared" si="26"/>
        <v>65.259395999999995</v>
      </c>
      <c r="P37" s="2">
        <f t="shared" si="27"/>
        <v>108.76565999999998</v>
      </c>
      <c r="Q37" s="2">
        <f>(AVERAGE(VLOOKUP(E37,weapon_components!$A$8:$M$178,9,0),VLOOKUP(E37,weapon_components!$A$8:$M$178,10,0))+VLOOKUP(E37,weapon_components!$A$8:$M$178,11,0))/10</f>
        <v>4.3499999999999996</v>
      </c>
      <c r="R37" s="2">
        <f>VLOOKUP(E37,weapon_components!$A$8:$M$178,13,0)</f>
        <v>0.8</v>
      </c>
      <c r="S37" s="25">
        <f t="shared" si="32"/>
        <v>44.4</v>
      </c>
      <c r="T37" s="2">
        <v>0</v>
      </c>
      <c r="U37" s="14">
        <f>-INDEX('Ship Design Balancing'!$K$2:$K$6,'Weapon Formulas'!C37)*(INDEX('Weapon Formulas'!$R$1:$R$3,'Weapon Formulas'!D37+2)*(1+'Weapon Formulas'!B37))</f>
        <v>-106.66666666666666</v>
      </c>
      <c r="W37" s="14" t="s">
        <v>231</v>
      </c>
      <c r="X37" s="2">
        <f>($G28*(1-(X$26*(1-$K28))))/2</f>
        <v>8.2051725653333332</v>
      </c>
      <c r="Y37" s="2">
        <f t="shared" ref="Y37:AP37" si="39">($G28*(1-(Y$26*(1-$K28))))/2</f>
        <v>10.016704170666667</v>
      </c>
      <c r="Z37" s="2">
        <f t="shared" si="39"/>
        <v>11.828235776</v>
      </c>
      <c r="AA37" s="2">
        <f t="shared" si="39"/>
        <v>13.639767381333334</v>
      </c>
      <c r="AB37" s="2">
        <f t="shared" si="39"/>
        <v>15.451298986666666</v>
      </c>
      <c r="AC37" s="2">
        <f t="shared" si="39"/>
        <v>17.262830592</v>
      </c>
      <c r="AD37" s="2">
        <f t="shared" si="39"/>
        <v>19.074362197333333</v>
      </c>
      <c r="AE37" s="2">
        <f t="shared" si="39"/>
        <v>20.885893802666665</v>
      </c>
      <c r="AF37" s="2">
        <f t="shared" si="39"/>
        <v>22.697425407999997</v>
      </c>
      <c r="AG37" s="2">
        <f t="shared" si="39"/>
        <v>24.50895701333333</v>
      </c>
      <c r="AH37" s="2">
        <f t="shared" si="39"/>
        <v>26.320488618666666</v>
      </c>
      <c r="AI37" s="2">
        <f t="shared" si="39"/>
        <v>28.132020223999998</v>
      </c>
      <c r="AJ37" s="2">
        <f t="shared" si="39"/>
        <v>29.94355182933333</v>
      </c>
      <c r="AK37" s="2">
        <f t="shared" si="39"/>
        <v>31.75508343466667</v>
      </c>
      <c r="AL37" s="2">
        <f t="shared" si="39"/>
        <v>33.566615040000009</v>
      </c>
      <c r="AM37" s="2">
        <f t="shared" si="39"/>
        <v>35.378146645333338</v>
      </c>
      <c r="AN37" s="2">
        <f t="shared" si="39"/>
        <v>37.189678250666674</v>
      </c>
      <c r="AO37" s="2">
        <f t="shared" si="39"/>
        <v>39.00120985600001</v>
      </c>
      <c r="AP37" s="2">
        <f t="shared" si="39"/>
        <v>40.812741461333346</v>
      </c>
    </row>
    <row r="38" spans="1:42" x14ac:dyDescent="0.25">
      <c r="A38" s="21">
        <f t="shared" si="9"/>
        <v>-2.4840000000000004E-2</v>
      </c>
      <c r="C38" s="2">
        <v>5</v>
      </c>
      <c r="D38">
        <v>1</v>
      </c>
      <c r="E38" s="5" t="s">
        <v>51</v>
      </c>
      <c r="F38" s="2">
        <f t="shared" si="10"/>
        <v>12.475160000000001</v>
      </c>
      <c r="G38" s="2">
        <f t="shared" si="29"/>
        <v>6.3872819199999995</v>
      </c>
      <c r="H38" s="2">
        <f t="shared" si="30"/>
        <v>3.9920511999999997</v>
      </c>
      <c r="I38" s="2">
        <f t="shared" si="23"/>
        <v>19.960256000000001</v>
      </c>
      <c r="J38" s="2">
        <f t="shared" si="23"/>
        <v>0.99801279999999992</v>
      </c>
      <c r="K38" s="10">
        <f t="shared" si="24"/>
        <v>6.6666666666666679</v>
      </c>
      <c r="L38" s="10">
        <f t="shared" si="31"/>
        <v>8.3333333333333329E-2</v>
      </c>
      <c r="M38" s="10">
        <v>0</v>
      </c>
      <c r="N38" s="2">
        <f t="shared" si="25"/>
        <v>6.3872819199999995</v>
      </c>
      <c r="O38" s="2">
        <f t="shared" si="26"/>
        <v>111.13870540799998</v>
      </c>
      <c r="P38" s="2">
        <f t="shared" si="27"/>
        <v>185.23117567999998</v>
      </c>
      <c r="Q38" s="2">
        <f>(AVERAGE(VLOOKUP(E38,weapon_components!$A$8:$M$178,9,0),VLOOKUP(E38,weapon_components!$A$8:$M$178,10,0))+VLOOKUP(E38,weapon_components!$A$8:$M$178,11,0))/10</f>
        <v>4.3499999999999996</v>
      </c>
      <c r="R38" s="2">
        <f>VLOOKUP(E38,weapon_components!$A$8:$M$178,13,0)</f>
        <v>0.75</v>
      </c>
      <c r="S38" s="25">
        <f t="shared" si="32"/>
        <v>53.28</v>
      </c>
      <c r="T38" s="2">
        <v>0</v>
      </c>
      <c r="U38" s="14">
        <f>-INDEX('Ship Design Balancing'!$K$2:$K$6,'Weapon Formulas'!C38)*(INDEX('Weapon Formulas'!$R$1:$R$3,'Weapon Formulas'!D38+2)*(1+'Weapon Formulas'!B38))</f>
        <v>-213.33333333333331</v>
      </c>
      <c r="W38" s="2"/>
    </row>
    <row r="39" spans="1:42" x14ac:dyDescent="0.25">
      <c r="A39" s="21">
        <f t="shared" si="9"/>
        <v>4.4999999999999998E-2</v>
      </c>
      <c r="E39" s="3" t="s">
        <v>52</v>
      </c>
      <c r="F39" s="13" t="s">
        <v>140</v>
      </c>
      <c r="G39" s="13">
        <v>0</v>
      </c>
      <c r="H39" s="13">
        <v>1</v>
      </c>
      <c r="I39" s="13">
        <v>2</v>
      </c>
      <c r="J39" s="13">
        <v>3</v>
      </c>
      <c r="K39" s="10"/>
      <c r="L39" s="10"/>
      <c r="M39" s="10"/>
      <c r="N39" s="2"/>
      <c r="O39" s="2"/>
      <c r="P39" s="2"/>
      <c r="Q39" s="2"/>
      <c r="R39" s="13" t="s">
        <v>247</v>
      </c>
      <c r="S39" s="2">
        <v>30</v>
      </c>
      <c r="T39" s="2">
        <v>0</v>
      </c>
      <c r="U39" s="14"/>
      <c r="W39" s="2"/>
    </row>
    <row r="40" spans="1:42" x14ac:dyDescent="0.25">
      <c r="A40" s="21">
        <f t="shared" si="9"/>
        <v>-1.1879999999999981E-2</v>
      </c>
      <c r="B40" s="2">
        <v>1</v>
      </c>
      <c r="C40">
        <v>4</v>
      </c>
      <c r="D40">
        <v>1</v>
      </c>
      <c r="E40" s="5" t="s">
        <v>53</v>
      </c>
      <c r="F40" s="2">
        <f t="shared" si="10"/>
        <v>19.988119999999999</v>
      </c>
      <c r="G40" s="2">
        <f>IF(G$39=1,H40,H40/(1-INDEX($O$2:$O$6,C40)))</f>
        <v>42.831685714285719</v>
      </c>
      <c r="H40" s="2">
        <f>$F40*(INDEX($F$3:$F$5,H$39)+(($C40+($D40*$F$7))*INDEX($G$3:$G$5,H$39)))</f>
        <v>29.98218</v>
      </c>
      <c r="I40" s="2">
        <f t="shared" ref="I40:J41" si="40">$F40*(INDEX($F$3:$F$5,I$39)+(($C40+($D40*$F$7))*INDEX($G$3:$G$5,I$39)))</f>
        <v>7.9952479999999984</v>
      </c>
      <c r="J40" s="2">
        <f t="shared" si="40"/>
        <v>1.9988119999999996</v>
      </c>
      <c r="K40" s="10">
        <f t="shared" si="24"/>
        <v>-1.7111111111111112</v>
      </c>
      <c r="L40" s="10">
        <f>(INDEX($Q$2:$Q$6,C40)/((1/INDEX($F$4:$F$6,J$39))-1))</f>
        <v>6.6666666666666666E-2</v>
      </c>
      <c r="M40" s="10">
        <v>0</v>
      </c>
      <c r="N40" s="2">
        <f>((AVERAGE(O40,P40)*R40)/Q40)/INDEX($R$1:$R$3,D40+2)</f>
        <v>42.831685714285719</v>
      </c>
      <c r="O40" s="2">
        <f>0.75*(((G40*INDEX($R$1:$R$3,$D40+2))*Q40)/R40)</f>
        <v>848.06737714285725</v>
      </c>
      <c r="P40" s="2">
        <f>1.25*(((G40*INDEX($R$1:$R$3,$D40+2))*Q40)/R40)</f>
        <v>1413.4456285714286</v>
      </c>
      <c r="Q40" s="2">
        <f>(AVERAGE(VLOOKUP(E40,weapon_components!$A$8:$M$178,9,0),VLOOKUP(E40,weapon_components!$A$8:$M$178,10,0))+VLOOKUP(E40,weapon_components!$A$8:$M$178,11,0))/10</f>
        <v>6.6</v>
      </c>
      <c r="R40" s="2">
        <f>VLOOKUP(E40,weapon_components!$A$8:$M$178,13,0)</f>
        <v>1</v>
      </c>
      <c r="S40" s="25">
        <f>($S$39)*(1+(D40*$F$8))*(1+((C40-1)*$J$3))</f>
        <v>48.959999999999994</v>
      </c>
      <c r="T40" s="2">
        <v>0</v>
      </c>
      <c r="U40" s="14">
        <f>-INDEX('Ship Design Balancing'!$K$2:$K$6,'Weapon Formulas'!C40)*(INDEX('Weapon Formulas'!$R$1:$R$3,'Weapon Formulas'!D40+2)*(1+'Weapon Formulas'!B40))</f>
        <v>-213.33333333333331</v>
      </c>
      <c r="W40" s="2"/>
    </row>
    <row r="41" spans="1:42" x14ac:dyDescent="0.25">
      <c r="A41" s="21">
        <f t="shared" si="9"/>
        <v>-2.4840000000000004E-2</v>
      </c>
      <c r="B41" s="2">
        <v>1</v>
      </c>
      <c r="C41">
        <v>5</v>
      </c>
      <c r="D41">
        <v>1</v>
      </c>
      <c r="E41" s="5" t="s">
        <v>54</v>
      </c>
      <c r="F41" s="2">
        <f t="shared" si="10"/>
        <v>24.975159999999999</v>
      </c>
      <c r="G41" s="2">
        <f>IF(G$39=1,H41,H41/(1-INDEX($O$2:$O$6,C41)))</f>
        <v>63.936409600000005</v>
      </c>
      <c r="H41" s="2">
        <f>$F41*(INDEX($F$3:$F$5,H$39)+(($C41+($D41*$F$7))*INDEX($G$3:$G$5,H$39)))</f>
        <v>39.960256000000001</v>
      </c>
      <c r="I41" s="2">
        <f t="shared" si="40"/>
        <v>7.9920511999999988</v>
      </c>
      <c r="J41" s="2">
        <f t="shared" si="40"/>
        <v>1.9980127999999997</v>
      </c>
      <c r="K41" s="10">
        <f t="shared" si="24"/>
        <v>-1.3333333333333335</v>
      </c>
      <c r="L41" s="10">
        <f>(INDEX($Q$2:$Q$6,C41)/((1/INDEX($F$4:$F$6,J$39))-1))</f>
        <v>8.3333333333333329E-2</v>
      </c>
      <c r="M41" s="10">
        <v>0</v>
      </c>
      <c r="N41" s="2">
        <f>((AVERAGE(O41,P41)*R41)/Q41)/INDEX($R$1:$R$3,D41+2)</f>
        <v>63.936409600000005</v>
      </c>
      <c r="O41" s="2">
        <f>0.75*(((G41*INDEX($R$1:$R$3,$D41+2))*Q41)/R41)</f>
        <v>1265.9409100799999</v>
      </c>
      <c r="P41" s="2">
        <f>1.25*(((G41*INDEX($R$1:$R$3,$D41+2))*Q41)/R41)</f>
        <v>2109.9015168000001</v>
      </c>
      <c r="Q41" s="2">
        <f>(AVERAGE(VLOOKUP(E41,weapon_components!$A$8:$M$178,9,0),VLOOKUP(E41,weapon_components!$A$8:$M$178,10,0))+VLOOKUP(E41,weapon_components!$A$8:$M$178,11,0))/10</f>
        <v>6.6</v>
      </c>
      <c r="R41" s="2">
        <f>VLOOKUP(E41,weapon_components!$A$8:$M$178,13,0)</f>
        <v>1</v>
      </c>
      <c r="S41" s="25">
        <f>($S$39)*(1+(D41*$F$8))*(1+((C41-1)*$J$3))</f>
        <v>53.28</v>
      </c>
      <c r="T41" s="2">
        <v>0</v>
      </c>
      <c r="U41" s="14">
        <f>-INDEX('Ship Design Balancing'!$K$2:$K$6,'Weapon Formulas'!C41)*(INDEX('Weapon Formulas'!$R$1:$R$3,'Weapon Formulas'!D41+2)*(1+'Weapon Formulas'!B41))</f>
        <v>-426.66666666666663</v>
      </c>
      <c r="W41" s="2"/>
    </row>
    <row r="42" spans="1:42" x14ac:dyDescent="0.25">
      <c r="A42" s="21">
        <f t="shared" si="9"/>
        <v>0.09</v>
      </c>
      <c r="E42" s="3" t="s">
        <v>55</v>
      </c>
      <c r="F42" s="13" t="s">
        <v>140</v>
      </c>
      <c r="G42" s="13">
        <v>0</v>
      </c>
      <c r="H42" s="13">
        <v>2</v>
      </c>
      <c r="I42" s="13">
        <v>3</v>
      </c>
      <c r="J42" s="13">
        <v>1</v>
      </c>
      <c r="K42" s="10"/>
      <c r="L42" s="10"/>
      <c r="M42" s="10"/>
      <c r="N42" s="2"/>
      <c r="O42" s="2"/>
      <c r="P42" s="2"/>
      <c r="Q42" s="2"/>
      <c r="R42" s="13" t="s">
        <v>247</v>
      </c>
      <c r="S42" s="2">
        <v>15</v>
      </c>
      <c r="T42" s="2">
        <v>0</v>
      </c>
      <c r="U42" s="14"/>
      <c r="W42" s="2"/>
    </row>
    <row r="43" spans="1:42" x14ac:dyDescent="0.25">
      <c r="A43" s="21">
        <f t="shared" si="9"/>
        <v>6.8040000000000003E-2</v>
      </c>
      <c r="C43" s="2">
        <v>3</v>
      </c>
      <c r="D43" s="2">
        <v>1</v>
      </c>
      <c r="E43" s="5" t="s">
        <v>56</v>
      </c>
      <c r="F43" s="2">
        <f t="shared" si="10"/>
        <v>7.5680399999999999</v>
      </c>
      <c r="G43" s="2">
        <f>IF(G$42=1,H43,H43/(1-INDEX($O$2:$O$6,C43)))</f>
        <v>4.687302193548387</v>
      </c>
      <c r="H43" s="2">
        <f>$F43*(INDEX($F$3:$F$5,H$42)+(($C43+($D43*$F$7))*INDEX($G$3:$G$5,H$42)))</f>
        <v>3.6326592</v>
      </c>
      <c r="I43" s="2">
        <f>$F43*(INDEX($F$3:$F$5,I$42)+(($C43+($D43*$F$7))*INDEX($G$3:$G$5,I$42)))</f>
        <v>0.90816479999999999</v>
      </c>
      <c r="J43" s="2">
        <f t="shared" ref="I43:J51" si="41">$F43*(INDEX($F$3:$F$5,J$42)+(($C43+($D43*$F$7))*INDEX($G$3:$G$5,J$42)))</f>
        <v>10.595255999999999</v>
      </c>
      <c r="K43" s="10">
        <f>1-((1-(I43/G43))/INDEX($P$2:$P$6,C43))</f>
        <v>-2.5833333333333339</v>
      </c>
      <c r="L43" s="10">
        <f>(INDEX($Q$2:$Q$6,C43)/((1/INDEX($F$4:$F$6,J$42))-1))</f>
        <v>1.7999999999999998</v>
      </c>
      <c r="M43" s="10">
        <v>0</v>
      </c>
      <c r="N43" s="2">
        <f>((AVERAGE(O43,P43)*R43)/Q43)/INDEX($R$1:$R$3,D43)</f>
        <v>18.749208774193551</v>
      </c>
      <c r="O43" s="2">
        <f>0.75*(((G43*INDEX($R$1:$R$3,$D43+2))*Q43)/R43)</f>
        <v>61.735199622344616</v>
      </c>
      <c r="P43" s="2">
        <f>1.25*(((G43*INDEX($R$1:$R$3,$D43+2))*Q43)/R43)</f>
        <v>102.89199937057435</v>
      </c>
      <c r="Q43" s="2">
        <f>(AVERAGE(VLOOKUP(E43,weapon_components!$A$8:$M$178,9,0),VLOOKUP(E43,weapon_components!$A$8:$M$178,10,0))+VLOOKUP(E43,weapon_components!$A$8:$M$178,11,0))/10</f>
        <v>3.6</v>
      </c>
      <c r="R43" s="2">
        <f>VLOOKUP(E43,weapon_components!$A$8:$M$178,13,0)</f>
        <v>0.82</v>
      </c>
      <c r="S43" s="25">
        <f>($S$42)*(1+(D43*$F$8))*(1+((C43-1)*$J$3))</f>
        <v>22.32</v>
      </c>
      <c r="T43" s="2">
        <v>0</v>
      </c>
      <c r="U43" s="14">
        <f>-INDEX('Ship Design Balancing'!$K$2:$K$6,'Weapon Formulas'!C43)*(INDEX('Weapon Formulas'!$R$1:$R$3,'Weapon Formulas'!D43)*(1+'Weapon Formulas'!B43))</f>
        <v>-13.333333333333332</v>
      </c>
      <c r="W43" s="2"/>
    </row>
    <row r="44" spans="1:42" x14ac:dyDescent="0.25">
      <c r="A44" s="21">
        <f t="shared" si="9"/>
        <v>5.6880000000000007E-2</v>
      </c>
      <c r="C44" s="2">
        <v>3</v>
      </c>
      <c r="D44" s="2">
        <v>2</v>
      </c>
      <c r="E44" s="5" t="s">
        <v>57</v>
      </c>
      <c r="F44" s="2">
        <f t="shared" si="10"/>
        <v>7.5568799999999996</v>
      </c>
      <c r="G44" s="2">
        <f t="shared" ref="G44:G51" si="42">IF(G$42=1,H44,H44/(1-INDEX($O$2:$O$6,C44)))</f>
        <v>3.900325161290322</v>
      </c>
      <c r="H44" s="2">
        <f t="shared" ref="H44:H51" si="43">$F44*(INDEX($F$3:$F$5,H$42)+(($C44+($D44*$F$7))*INDEX($G$3:$G$5,H$42)))</f>
        <v>3.0227519999999997</v>
      </c>
      <c r="I44" s="2">
        <f t="shared" si="41"/>
        <v>0.75568799999999992</v>
      </c>
      <c r="J44" s="2">
        <f t="shared" si="41"/>
        <v>11.335319999999999</v>
      </c>
      <c r="K44" s="10">
        <f t="shared" si="24"/>
        <v>-2.5833333333333339</v>
      </c>
      <c r="L44" s="10">
        <f t="shared" ref="L44:L51" si="44">(INDEX($Q$2:$Q$6,C44)/((1/INDEX($F$4:$F$6,J$42))-1))</f>
        <v>1.7999999999999998</v>
      </c>
      <c r="M44" s="10">
        <v>0</v>
      </c>
      <c r="N44" s="2">
        <f t="shared" ref="N44:N51" si="45">((AVERAGE(O44,P44)*R44)/Q44)/INDEX($R$1:$R$3,D44)</f>
        <v>3.9003251612903216</v>
      </c>
      <c r="O44" s="2">
        <f>0.75*(((G44*INDEX($R$1:$R$3,$D44))*Q44)/R44)</f>
        <v>26.327194838709673</v>
      </c>
      <c r="P44" s="2">
        <f>1.25*(((G44*INDEX($R$1:$R$3,$D44))*Q44)/R44)</f>
        <v>43.878658064516117</v>
      </c>
      <c r="Q44" s="2">
        <f>(AVERAGE(VLOOKUP(E44,weapon_components!$A$8:$M$178,9,0),VLOOKUP(E44,weapon_components!$A$8:$M$178,10,0))+VLOOKUP(E44,weapon_components!$A$8:$M$178,11,0))/10</f>
        <v>3.6</v>
      </c>
      <c r="R44" s="2">
        <f>VLOOKUP(E44,weapon_components!$A$8:$M$178,13,0)</f>
        <v>0.8</v>
      </c>
      <c r="S44" s="25">
        <f t="shared" ref="S44:S53" si="46">($S$42)*(1+(D44*$F$8))*(1+((C44-1)*$J$3))</f>
        <v>26.04</v>
      </c>
      <c r="T44" s="2">
        <v>0</v>
      </c>
      <c r="U44" s="14">
        <f>-INDEX('Ship Design Balancing'!$K$2:$K$6,'Weapon Formulas'!C44)*(INDEX('Weapon Formulas'!$R$1:$R$3,'Weapon Formulas'!D44)*(1+'Weapon Formulas'!B44))</f>
        <v>-26.666666666666664</v>
      </c>
      <c r="W44" s="2"/>
    </row>
    <row r="45" spans="1:42" x14ac:dyDescent="0.25">
      <c r="A45" s="21">
        <f t="shared" si="9"/>
        <v>4.5720000000000004E-2</v>
      </c>
      <c r="C45" s="2">
        <v>3</v>
      </c>
      <c r="D45" s="2">
        <v>3</v>
      </c>
      <c r="E45" s="5" t="s">
        <v>58</v>
      </c>
      <c r="F45" s="2">
        <f t="shared" si="10"/>
        <v>7.5457200000000002</v>
      </c>
      <c r="G45" s="2">
        <f t="shared" si="42"/>
        <v>3.1156521290322576</v>
      </c>
      <c r="H45" s="2">
        <f t="shared" si="43"/>
        <v>2.4146303999999996</v>
      </c>
      <c r="I45" s="2">
        <f t="shared" si="41"/>
        <v>0.60365759999999991</v>
      </c>
      <c r="J45" s="2">
        <f t="shared" si="41"/>
        <v>12.073152</v>
      </c>
      <c r="K45" s="10">
        <f>1-((1-(I45/G45))/INDEX($P$2:$P$6,C45))</f>
        <v>-2.5833333333333339</v>
      </c>
      <c r="L45" s="10">
        <f t="shared" si="44"/>
        <v>1.7999999999999998</v>
      </c>
      <c r="M45" s="10">
        <v>0</v>
      </c>
      <c r="N45" s="2">
        <f t="shared" si="45"/>
        <v>3.1156521290322576</v>
      </c>
      <c r="O45" s="2">
        <f t="shared" ref="O45:O51" si="47">0.75*(((G45*INDEX($R$1:$R$3,$D45))*Q45)/R45)</f>
        <v>44.865390658064513</v>
      </c>
      <c r="P45" s="2">
        <f>1.25*(((G45*INDEX($R$1:$R$3,$D45))*Q45)/R45)</f>
        <v>74.775651096774183</v>
      </c>
      <c r="Q45" s="2">
        <f>(AVERAGE(VLOOKUP(E45,weapon_components!$A$8:$M$178,9,0),VLOOKUP(E45,weapon_components!$A$8:$M$178,10,0))+VLOOKUP(E45,weapon_components!$A$8:$M$178,11,0))/10</f>
        <v>3.6</v>
      </c>
      <c r="R45" s="2">
        <f>VLOOKUP(E45,weapon_components!$A$8:$M$178,13,0)</f>
        <v>0.75</v>
      </c>
      <c r="S45" s="25">
        <f t="shared" si="46"/>
        <v>29.759999999999998</v>
      </c>
      <c r="T45" s="2">
        <v>0</v>
      </c>
      <c r="U45" s="14">
        <f>-INDEX('Ship Design Balancing'!$K$2:$K$6,'Weapon Formulas'!C45)*(INDEX('Weapon Formulas'!$R$1:$R$3,'Weapon Formulas'!D45)*(1+'Weapon Formulas'!B45))</f>
        <v>-53.333333333333329</v>
      </c>
      <c r="W45" s="2"/>
    </row>
    <row r="46" spans="1:42" x14ac:dyDescent="0.25">
      <c r="A46" s="21">
        <f t="shared" si="9"/>
        <v>6.1560000000000011E-2</v>
      </c>
      <c r="C46" s="2">
        <v>4</v>
      </c>
      <c r="D46" s="2">
        <v>1</v>
      </c>
      <c r="E46" s="5" t="s">
        <v>59</v>
      </c>
      <c r="F46" s="2">
        <f t="shared" si="10"/>
        <v>10.06156</v>
      </c>
      <c r="G46" s="2">
        <f t="shared" si="42"/>
        <v>5.7494628571428565</v>
      </c>
      <c r="H46" s="2">
        <f t="shared" si="43"/>
        <v>4.0246239999999993</v>
      </c>
      <c r="I46" s="2">
        <f t="shared" si="41"/>
        <v>1.0061559999999998</v>
      </c>
      <c r="J46" s="2">
        <f t="shared" si="41"/>
        <v>15.09234</v>
      </c>
      <c r="K46" s="10">
        <f t="shared" si="24"/>
        <v>-1.75</v>
      </c>
      <c r="L46" s="10">
        <f t="shared" si="44"/>
        <v>2.4</v>
      </c>
      <c r="M46" s="10">
        <v>0</v>
      </c>
      <c r="N46" s="2">
        <f t="shared" si="45"/>
        <v>5.7494628571428565</v>
      </c>
      <c r="O46" s="2">
        <f t="shared" si="47"/>
        <v>18.931158188153312</v>
      </c>
      <c r="P46" s="2">
        <f t="shared" ref="P46:P51" si="48">1.25*(((G46*INDEX($R$1:$R$3,$D46))*Q46)/R46)</f>
        <v>31.551930313588848</v>
      </c>
      <c r="Q46" s="2">
        <f>(AVERAGE(VLOOKUP(E46,weapon_components!$A$8:$M$178,9,0),VLOOKUP(E46,weapon_components!$A$8:$M$178,10,0))+VLOOKUP(E46,weapon_components!$A$8:$M$178,11,0))/10</f>
        <v>3.6</v>
      </c>
      <c r="R46" s="2">
        <f>VLOOKUP(E46,weapon_components!$A$8:$M$178,13,0)</f>
        <v>0.82</v>
      </c>
      <c r="S46" s="25">
        <f t="shared" si="46"/>
        <v>24.479999999999997</v>
      </c>
      <c r="T46" s="2">
        <v>0</v>
      </c>
      <c r="U46" s="14">
        <f>-INDEX('Ship Design Balancing'!$K$2:$K$6,'Weapon Formulas'!C46)*(INDEX('Weapon Formulas'!$R$1:$R$3,'Weapon Formulas'!D46)*(1+'Weapon Formulas'!B46))</f>
        <v>-26.666666666666664</v>
      </c>
      <c r="W46" s="2"/>
    </row>
    <row r="47" spans="1:42" x14ac:dyDescent="0.25">
      <c r="A47" s="21">
        <f t="shared" si="9"/>
        <v>4.9320000000000003E-2</v>
      </c>
      <c r="C47" s="2">
        <v>4</v>
      </c>
      <c r="D47" s="2">
        <v>2</v>
      </c>
      <c r="E47" s="5" t="s">
        <v>60</v>
      </c>
      <c r="F47" s="2">
        <f t="shared" si="10"/>
        <v>10.04932</v>
      </c>
      <c r="G47" s="2">
        <f t="shared" si="42"/>
        <v>4.5939748571428565</v>
      </c>
      <c r="H47" s="2">
        <f t="shared" si="43"/>
        <v>3.2157823999999993</v>
      </c>
      <c r="I47" s="2">
        <f t="shared" si="41"/>
        <v>0.80394559999999982</v>
      </c>
      <c r="J47" s="2">
        <f t="shared" si="41"/>
        <v>16.078911999999999</v>
      </c>
      <c r="K47" s="10">
        <f t="shared" si="24"/>
        <v>-1.75</v>
      </c>
      <c r="L47" s="10">
        <f t="shared" si="44"/>
        <v>2.4</v>
      </c>
      <c r="M47" s="10">
        <v>0</v>
      </c>
      <c r="N47" s="2">
        <f t="shared" si="45"/>
        <v>4.5939748571428565</v>
      </c>
      <c r="O47" s="2">
        <f t="shared" si="47"/>
        <v>31.009330285714277</v>
      </c>
      <c r="P47" s="2">
        <f t="shared" si="48"/>
        <v>51.682217142857134</v>
      </c>
      <c r="Q47" s="2">
        <f>(AVERAGE(VLOOKUP(E47,weapon_components!$A$8:$M$178,9,0),VLOOKUP(E47,weapon_components!$A$8:$M$178,10,0))+VLOOKUP(E47,weapon_components!$A$8:$M$178,11,0))/10</f>
        <v>3.6</v>
      </c>
      <c r="R47" s="2">
        <f>VLOOKUP(E47,weapon_components!$A$8:$M$178,13,0)</f>
        <v>0.8</v>
      </c>
      <c r="S47" s="25">
        <f t="shared" si="46"/>
        <v>28.56</v>
      </c>
      <c r="T47" s="2">
        <v>0</v>
      </c>
      <c r="U47" s="14">
        <f>-INDEX('Ship Design Balancing'!$K$2:$K$6,'Weapon Formulas'!C47)*(INDEX('Weapon Formulas'!$R$1:$R$3,'Weapon Formulas'!D47)*(1+'Weapon Formulas'!B47))</f>
        <v>-53.333333333333329</v>
      </c>
      <c r="W47" s="14"/>
    </row>
    <row r="48" spans="1:42" x14ac:dyDescent="0.25">
      <c r="A48" s="21">
        <f t="shared" si="9"/>
        <v>3.7080000000000002E-2</v>
      </c>
      <c r="C48" s="2">
        <v>4</v>
      </c>
      <c r="D48" s="2">
        <v>3</v>
      </c>
      <c r="E48" s="5" t="s">
        <v>61</v>
      </c>
      <c r="F48" s="2">
        <f t="shared" si="10"/>
        <v>10.03708</v>
      </c>
      <c r="G48" s="2">
        <f t="shared" si="42"/>
        <v>3.4412845714285716</v>
      </c>
      <c r="H48" s="2">
        <f t="shared" si="43"/>
        <v>2.4088992</v>
      </c>
      <c r="I48" s="2">
        <f t="shared" si="41"/>
        <v>0.6022248</v>
      </c>
      <c r="J48" s="2">
        <f t="shared" si="41"/>
        <v>17.063036</v>
      </c>
      <c r="K48" s="10">
        <f t="shared" si="24"/>
        <v>-1.75</v>
      </c>
      <c r="L48" s="10">
        <f t="shared" si="44"/>
        <v>2.4</v>
      </c>
      <c r="M48" s="10">
        <v>0</v>
      </c>
      <c r="N48" s="2">
        <f t="shared" si="45"/>
        <v>3.4412845714285716</v>
      </c>
      <c r="O48" s="2">
        <f t="shared" si="47"/>
        <v>49.554497828571435</v>
      </c>
      <c r="P48" s="2">
        <f t="shared" si="48"/>
        <v>82.590829714285718</v>
      </c>
      <c r="Q48" s="2">
        <f>(AVERAGE(VLOOKUP(E48,weapon_components!$A$8:$M$178,9,0),VLOOKUP(E48,weapon_components!$A$8:$M$178,10,0))+VLOOKUP(E48,weapon_components!$A$8:$M$178,11,0))/10</f>
        <v>3.6</v>
      </c>
      <c r="R48" s="2">
        <f>VLOOKUP(E48,weapon_components!$A$8:$M$178,13,0)</f>
        <v>0.75</v>
      </c>
      <c r="S48" s="25">
        <f t="shared" si="46"/>
        <v>32.64</v>
      </c>
      <c r="T48" s="2">
        <v>0</v>
      </c>
      <c r="U48" s="14">
        <f>-INDEX('Ship Design Balancing'!$K$2:$K$6,'Weapon Formulas'!C48)*(INDEX('Weapon Formulas'!$R$1:$R$3,'Weapon Formulas'!D48)*(1+'Weapon Formulas'!B48))</f>
        <v>-106.66666666666666</v>
      </c>
    </row>
    <row r="49" spans="1:24" x14ac:dyDescent="0.25">
      <c r="A49" s="21">
        <f t="shared" si="9"/>
        <v>5.5079999999999997E-2</v>
      </c>
      <c r="C49" s="2">
        <v>5</v>
      </c>
      <c r="D49" s="2">
        <v>1</v>
      </c>
      <c r="E49" s="5" t="s">
        <v>62</v>
      </c>
      <c r="F49" s="2">
        <f t="shared" si="10"/>
        <v>12.55508</v>
      </c>
      <c r="G49" s="2">
        <f t="shared" si="42"/>
        <v>6.4282009599999999</v>
      </c>
      <c r="H49" s="2">
        <f t="shared" si="43"/>
        <v>4.0176255999999997</v>
      </c>
      <c r="I49" s="2">
        <f t="shared" si="41"/>
        <v>1.0044063999999999</v>
      </c>
      <c r="J49" s="2">
        <f t="shared" si="41"/>
        <v>20.088128000000001</v>
      </c>
      <c r="K49" s="10">
        <f t="shared" si="24"/>
        <v>-1.25</v>
      </c>
      <c r="L49" s="10">
        <f t="shared" si="44"/>
        <v>3</v>
      </c>
      <c r="M49" s="10">
        <v>0</v>
      </c>
      <c r="N49" s="2">
        <f t="shared" si="45"/>
        <v>6.4282009599999999</v>
      </c>
      <c r="O49" s="2">
        <f t="shared" si="47"/>
        <v>21.166027551219514</v>
      </c>
      <c r="P49" s="2">
        <f t="shared" si="48"/>
        <v>35.276712585365857</v>
      </c>
      <c r="Q49" s="2">
        <f>(AVERAGE(VLOOKUP(E49,weapon_components!$A$8:$M$178,9,0),VLOOKUP(E49,weapon_components!$A$8:$M$178,10,0))+VLOOKUP(E49,weapon_components!$A$8:$M$178,11,0))/10</f>
        <v>3.6</v>
      </c>
      <c r="R49" s="2">
        <f>VLOOKUP(E49,weapon_components!$A$8:$M$178,13,0)</f>
        <v>0.82</v>
      </c>
      <c r="S49" s="25">
        <f t="shared" si="46"/>
        <v>26.64</v>
      </c>
      <c r="T49" s="2">
        <v>0</v>
      </c>
      <c r="U49" s="14">
        <f>-INDEX('Ship Design Balancing'!$K$2:$K$6,'Weapon Formulas'!C49)*(INDEX('Weapon Formulas'!$R$1:$R$3,'Weapon Formulas'!D49)*(1+'Weapon Formulas'!B49))</f>
        <v>-53.333333333333329</v>
      </c>
    </row>
    <row r="50" spans="1:24" x14ac:dyDescent="0.25">
      <c r="A50" s="21">
        <f t="shared" si="9"/>
        <v>4.1760000000000005E-2</v>
      </c>
      <c r="C50" s="2">
        <v>5</v>
      </c>
      <c r="D50" s="2">
        <v>2</v>
      </c>
      <c r="E50" s="5" t="s">
        <v>63</v>
      </c>
      <c r="F50" s="2">
        <f t="shared" si="10"/>
        <v>12.54176</v>
      </c>
      <c r="G50" s="2">
        <f t="shared" si="42"/>
        <v>4.8160358399999996</v>
      </c>
      <c r="H50" s="2">
        <f t="shared" si="43"/>
        <v>3.0100224</v>
      </c>
      <c r="I50" s="2">
        <f t="shared" si="41"/>
        <v>0.7525056</v>
      </c>
      <c r="J50" s="2">
        <f t="shared" si="41"/>
        <v>21.320992000000004</v>
      </c>
      <c r="K50" s="10">
        <f t="shared" si="24"/>
        <v>-1.25</v>
      </c>
      <c r="L50" s="10">
        <f t="shared" si="44"/>
        <v>3</v>
      </c>
      <c r="M50" s="10">
        <v>0</v>
      </c>
      <c r="N50" s="2">
        <f t="shared" si="45"/>
        <v>4.8160358399999996</v>
      </c>
      <c r="O50" s="2">
        <f t="shared" si="47"/>
        <v>32.508241919999996</v>
      </c>
      <c r="P50" s="2">
        <f t="shared" si="48"/>
        <v>54.180403199999994</v>
      </c>
      <c r="Q50" s="2">
        <f>(AVERAGE(VLOOKUP(E50,weapon_components!$A$8:$M$178,9,0),VLOOKUP(E50,weapon_components!$A$8:$M$178,10,0))+VLOOKUP(E50,weapon_components!$A$8:$M$178,11,0))/10</f>
        <v>3.6</v>
      </c>
      <c r="R50" s="2">
        <f>VLOOKUP(E50,weapon_components!$A$8:$M$178,13,0)</f>
        <v>0.8</v>
      </c>
      <c r="S50" s="25">
        <f t="shared" si="46"/>
        <v>31.08</v>
      </c>
      <c r="T50" s="2">
        <v>0</v>
      </c>
      <c r="U50" s="14">
        <f>-INDEX('Ship Design Balancing'!$K$2:$K$6,'Weapon Formulas'!C50)*(INDEX('Weapon Formulas'!$R$1:$R$3,'Weapon Formulas'!D50)*(1+'Weapon Formulas'!B50))</f>
        <v>-106.66666666666666</v>
      </c>
    </row>
    <row r="51" spans="1:24" x14ac:dyDescent="0.25">
      <c r="A51" s="21">
        <f t="shared" si="9"/>
        <v>2.8440000000000014E-2</v>
      </c>
      <c r="C51" s="2">
        <v>5</v>
      </c>
      <c r="D51" s="2">
        <v>3</v>
      </c>
      <c r="E51" s="5" t="s">
        <v>64</v>
      </c>
      <c r="F51" s="2">
        <f t="shared" si="10"/>
        <v>12.52844</v>
      </c>
      <c r="G51" s="2">
        <f t="shared" si="42"/>
        <v>3.2072806399999982</v>
      </c>
      <c r="H51" s="2">
        <f t="shared" si="43"/>
        <v>2.004550399999999</v>
      </c>
      <c r="I51" s="2">
        <f t="shared" si="41"/>
        <v>0.50113759999999974</v>
      </c>
      <c r="J51" s="2">
        <f t="shared" si="41"/>
        <v>22.551192</v>
      </c>
      <c r="K51" s="10">
        <f>1-((1-(I51/G51))/INDEX($P$2:$P$6,C51))</f>
        <v>-1.25</v>
      </c>
      <c r="L51" s="10">
        <f t="shared" si="44"/>
        <v>3</v>
      </c>
      <c r="M51" s="10">
        <v>0</v>
      </c>
      <c r="N51" s="2">
        <f t="shared" si="45"/>
        <v>3.2072806399999978</v>
      </c>
      <c r="O51" s="2">
        <f t="shared" si="47"/>
        <v>46.184841215999974</v>
      </c>
      <c r="P51" s="2">
        <f t="shared" si="48"/>
        <v>76.974735359999954</v>
      </c>
      <c r="Q51" s="2">
        <f>(AVERAGE(VLOOKUP(E51,weapon_components!$A$8:$M$178,9,0),VLOOKUP(E51,weapon_components!$A$8:$M$178,10,0))+VLOOKUP(E51,weapon_components!$A$8:$M$178,11,0))/10</f>
        <v>3.6</v>
      </c>
      <c r="R51" s="2">
        <f>VLOOKUP(E51,weapon_components!$A$8:$M$178,13,0)</f>
        <v>0.75</v>
      </c>
      <c r="S51" s="25">
        <f t="shared" si="46"/>
        <v>35.519999999999996</v>
      </c>
      <c r="T51" s="2">
        <v>0</v>
      </c>
      <c r="U51" s="14">
        <f>-INDEX('Ship Design Balancing'!$K$2:$K$6,'Weapon Formulas'!C51)*(INDEX('Weapon Formulas'!$R$1:$R$3,'Weapon Formulas'!D51)*(1+'Weapon Formulas'!B51))</f>
        <v>-213.33333333333331</v>
      </c>
    </row>
    <row r="52" spans="1:24" x14ac:dyDescent="0.25">
      <c r="A52" s="21">
        <f t="shared" si="9"/>
        <v>-4.4999999999999998E-2</v>
      </c>
      <c r="E52" s="3" t="s">
        <v>65</v>
      </c>
      <c r="F52" s="13" t="s">
        <v>140</v>
      </c>
      <c r="G52" s="13">
        <v>1</v>
      </c>
      <c r="H52" s="13">
        <v>1</v>
      </c>
      <c r="I52" s="13">
        <v>1</v>
      </c>
      <c r="J52" s="13">
        <v>3</v>
      </c>
      <c r="K52" s="10"/>
      <c r="L52" s="10"/>
      <c r="M52" s="10"/>
      <c r="N52" s="2"/>
      <c r="O52" s="2"/>
      <c r="P52" s="2"/>
      <c r="Q52" s="2"/>
      <c r="R52" s="13" t="s">
        <v>247</v>
      </c>
      <c r="S52" s="2">
        <v>60</v>
      </c>
      <c r="T52" s="2">
        <v>0</v>
      </c>
      <c r="U52" s="14"/>
    </row>
    <row r="53" spans="1:24" x14ac:dyDescent="0.25">
      <c r="A53" s="21">
        <f t="shared" si="9"/>
        <v>-0.15875999999999996</v>
      </c>
      <c r="B53" s="2">
        <v>1</v>
      </c>
      <c r="C53">
        <v>4</v>
      </c>
      <c r="D53">
        <v>1</v>
      </c>
      <c r="E53" s="5" t="s">
        <v>66</v>
      </c>
      <c r="F53" s="2">
        <f t="shared" si="10"/>
        <v>19.841239999999999</v>
      </c>
      <c r="G53" s="2">
        <f>IF(G$52=1,H53,H53/(1-INDEX($O$2:$O$6,C53)))</f>
        <v>29.761859999999999</v>
      </c>
      <c r="H53" s="2">
        <f>$F53*(INDEX($F$3:$F$5,H$9)+(($C53+($D53*$F$7))*INDEX($G$3:$G$5,H$9)))</f>
        <v>29.761859999999999</v>
      </c>
      <c r="I53" s="2">
        <f>$F53*(INDEX($F$3:$F$5,I$9)+(($C53+($D53*$F$7))*INDEX($G$3:$G$5,I$9)))</f>
        <v>7.9364959999999991</v>
      </c>
      <c r="J53" s="2">
        <f>$F53*(INDEX($F$3:$F$5,J$9)+(($C53+($D53*$F$7))*INDEX($G$3:$G$5,J$9)))</f>
        <v>1.9841239999999998</v>
      </c>
      <c r="K53" s="10">
        <f>1-((1-(I53/G53))/INDEX($P$2:$P$6,C53))</f>
        <v>-1.4444444444444446</v>
      </c>
      <c r="L53" s="10">
        <f>(INDEX($Q$2:$Q$6,C53)/((1/INDEX($F$4:$F$6,J$52))-1))</f>
        <v>6.6666666666666666E-2</v>
      </c>
      <c r="M53" s="10">
        <v>0</v>
      </c>
      <c r="N53" s="2">
        <f t="shared" ref="N53:N89" si="49">(AVERAGE(O53,P53)*R53)/Q53</f>
        <v>119.04744000000001</v>
      </c>
      <c r="O53" s="2">
        <f>0.75*(((G53*INDEX($R$1:$R$3,$D53+2))*Q53)/R53)</f>
        <v>634.39754210526314</v>
      </c>
      <c r="P53" s="2">
        <f>1.25*(((G53*INDEX($R$1:$R$3,$D53+2))*Q53)/R53)</f>
        <v>1057.3292368421053</v>
      </c>
      <c r="Q53" s="2">
        <f>(AVERAGE(VLOOKUP(E53,weapon_components!$A$8:$M$178,9,0),VLOOKUP(E53,weapon_components!$A$8:$M$178,10,0))+VLOOKUP(E53,weapon_components!$A$8:$M$178,11,0))/10</f>
        <v>6.75</v>
      </c>
      <c r="R53" s="2">
        <f>VLOOKUP(E53,weapon_components!$A$8:$M$178,13,0)</f>
        <v>0.95</v>
      </c>
      <c r="S53" s="25">
        <f>($S$52)*(1+(D53*$F$8))*(1+((C53-1)*$J$3))</f>
        <v>97.919999999999987</v>
      </c>
      <c r="T53" s="2">
        <f>INDEX($T$2:$T$6,C53)</f>
        <v>7.5</v>
      </c>
      <c r="U53" s="14">
        <f>-INDEX('Ship Design Balancing'!$K$2:$K$6,'Weapon Formulas'!C53)*(INDEX('Weapon Formulas'!$R$1:$R$3,'Weapon Formulas'!D53+2)*(1+'Weapon Formulas'!B53))</f>
        <v>-213.33333333333331</v>
      </c>
    </row>
    <row r="54" spans="1:24" x14ac:dyDescent="0.25">
      <c r="A54" s="21">
        <f t="shared" si="9"/>
        <v>-0.18468000000000001</v>
      </c>
      <c r="B54" s="2">
        <v>1</v>
      </c>
      <c r="C54">
        <v>5</v>
      </c>
      <c r="D54">
        <v>1</v>
      </c>
      <c r="E54" s="5" t="s">
        <v>67</v>
      </c>
      <c r="F54" s="2">
        <f t="shared" si="10"/>
        <v>24.81532</v>
      </c>
      <c r="G54" s="2">
        <f>IF(G$52=1,H54,H54/(1-INDEX($O$2:$O$6,C54)))</f>
        <v>39.704512000000001</v>
      </c>
      <c r="H54" s="2">
        <f t="shared" ref="H54:J75" si="50">$F54*(INDEX($F$3:$F$5,H$9)+(($C54+($D54*$F$7))*INDEX($G$3:$G$5,H$9)))</f>
        <v>39.704512000000001</v>
      </c>
      <c r="I54" s="2">
        <f t="shared" si="50"/>
        <v>7.9409023999999988</v>
      </c>
      <c r="J54" s="2">
        <f t="shared" si="50"/>
        <v>1.9852255999999997</v>
      </c>
      <c r="K54" s="10">
        <f>1-((1-(I54/G54))/INDEX($P$2:$P$6,C54))</f>
        <v>-1.1333333333333333</v>
      </c>
      <c r="L54" s="10">
        <f>(INDEX($Q$2:$Q$6,C54)/((1/INDEX($F$4:$F$6,J$52))-1))</f>
        <v>8.3333333333333329E-2</v>
      </c>
      <c r="M54" s="10">
        <v>0</v>
      </c>
      <c r="N54" s="2">
        <f t="shared" si="49"/>
        <v>158.81804799999998</v>
      </c>
      <c r="O54" s="2">
        <f>0.75*(((G54*INDEX($R$1:$R$3,$D54+2))*Q54)/R54)</f>
        <v>846.33301894736837</v>
      </c>
      <c r="P54" s="2">
        <f>1.25*(((G54*INDEX($R$1:$R$3,$D54+2))*Q54)/R54)</f>
        <v>1410.5550315789471</v>
      </c>
      <c r="Q54" s="2">
        <f>(AVERAGE(VLOOKUP(E54,weapon_components!$A$8:$M$178,9,0),VLOOKUP(E54,weapon_components!$A$8:$M$178,10,0))+VLOOKUP(E54,weapon_components!$A$8:$M$178,11,0))/10</f>
        <v>6.75</v>
      </c>
      <c r="R54" s="2">
        <f>VLOOKUP(E54,weapon_components!$A$8:$M$178,13,0)</f>
        <v>0.95</v>
      </c>
      <c r="S54" s="25">
        <f>($S$52)*(1+(D54*$F$8))*(1+((C54-1)*$J$3))</f>
        <v>106.56</v>
      </c>
      <c r="T54" s="2">
        <f>INDEX($T$2:$T$6,C54)</f>
        <v>10</v>
      </c>
      <c r="U54" s="14">
        <f>-INDEX('Ship Design Balancing'!$K$2:$K$6,'Weapon Formulas'!C54)*(INDEX('Weapon Formulas'!$R$1:$R$3,'Weapon Formulas'!D54+2)*(1+'Weapon Formulas'!B54))</f>
        <v>-426.66666666666663</v>
      </c>
    </row>
    <row r="55" spans="1:24" x14ac:dyDescent="0.25">
      <c r="A55" s="21">
        <f t="shared" si="9"/>
        <v>0</v>
      </c>
      <c r="E55" s="17" t="s">
        <v>218</v>
      </c>
      <c r="F55" s="13" t="s">
        <v>140</v>
      </c>
      <c r="G55" s="13">
        <v>0</v>
      </c>
      <c r="H55" s="13">
        <v>2</v>
      </c>
      <c r="I55" s="13">
        <v>3</v>
      </c>
      <c r="J55" s="13">
        <v>1</v>
      </c>
      <c r="K55" s="10"/>
      <c r="L55" s="10"/>
      <c r="M55" s="10"/>
      <c r="N55" s="2"/>
      <c r="O55" s="2"/>
      <c r="P55" s="2"/>
      <c r="Q55" s="2"/>
      <c r="R55" s="13" t="s">
        <v>247</v>
      </c>
      <c r="S55" s="2">
        <v>45</v>
      </c>
      <c r="T55" s="2">
        <v>0</v>
      </c>
      <c r="U55" s="14"/>
    </row>
    <row r="56" spans="1:24" x14ac:dyDescent="0.25">
      <c r="A56" s="21">
        <f>(S56-$I$2)*$J$2</f>
        <v>2.7E-2</v>
      </c>
      <c r="C56" s="2">
        <v>1</v>
      </c>
      <c r="D56" s="2">
        <v>-1</v>
      </c>
      <c r="E56" s="5" t="s">
        <v>69</v>
      </c>
      <c r="F56" s="2">
        <f t="shared" si="10"/>
        <v>2.5270000000000001</v>
      </c>
      <c r="G56" s="2">
        <f>IF(G$55=1,H56,H56/(1-INDEX($O$2:$O$6,C56)))</f>
        <v>2.1855135135135138</v>
      </c>
      <c r="H56" s="2">
        <f>$F56*(0.68-(0.12*$D56))</f>
        <v>2.0216000000000003</v>
      </c>
      <c r="I56" s="2">
        <f>$F56*(0.32+(0.12*D56))</f>
        <v>0.50540000000000007</v>
      </c>
      <c r="J56" s="2">
        <f>F56</f>
        <v>2.5270000000000001</v>
      </c>
      <c r="K56" s="10">
        <f t="shared" ref="K56:K70" si="51">1-((1-(I56/G56))/INDEX($P$2:$P$6,C56))</f>
        <v>-9.2500000000000018</v>
      </c>
      <c r="L56" s="10">
        <v>0</v>
      </c>
      <c r="M56" s="10">
        <v>1</v>
      </c>
      <c r="N56" s="2">
        <f t="shared" si="49"/>
        <v>2.1855135135135138</v>
      </c>
      <c r="O56" s="2">
        <f t="shared" ref="O56:O70" si="52">0.75*(((G56*INDEX($R$1:$R$3,$D56+2))*Q56)/R56)</f>
        <v>8.0878378378378386</v>
      </c>
      <c r="P56" s="2">
        <f t="shared" ref="P56:P70" si="53">1.25*(((G56*INDEX($R$1:$R$3,$D56+2))*Q56)/R56)</f>
        <v>13.479729729729733</v>
      </c>
      <c r="Q56" s="2">
        <f>(AVERAGE(VLOOKUP(E56,weapon_components!$A$8:$M$178,9,0),VLOOKUP(E56,weapon_components!$A$8:$M$178,10,0))+VLOOKUP(E56,weapon_components!$A$8:$M$178,11,0))/10</f>
        <v>3.75</v>
      </c>
      <c r="R56" s="2">
        <f>VLOOKUP(E56,weapon_components!$A$8:$M$178,13,0)</f>
        <v>0.76</v>
      </c>
      <c r="S56" s="25">
        <f>($S$55)*(1+(D56*$F$8))*(1+((C56-1)*$J$3))</f>
        <v>36</v>
      </c>
      <c r="T56" s="2">
        <v>0</v>
      </c>
      <c r="U56" s="14">
        <f>-INDEX('Ship Design Balancing'!$K$2:$K$6,'Weapon Formulas'!C56)*(INDEX('Weapon Formulas'!$R$1:$R$3,'Weapon Formulas'!D56+2)*(1+'Weapon Formulas'!B56))</f>
        <v>-3.333333333333333</v>
      </c>
    </row>
    <row r="57" spans="1:24" x14ac:dyDescent="0.25">
      <c r="A57" s="21">
        <f t="shared" si="9"/>
        <v>0</v>
      </c>
      <c r="C57" s="2">
        <v>1</v>
      </c>
      <c r="D57" s="2">
        <v>0</v>
      </c>
      <c r="E57" s="16" t="s">
        <v>70</v>
      </c>
      <c r="F57" s="2">
        <f t="shared" si="10"/>
        <v>2.5</v>
      </c>
      <c r="G57" s="2">
        <f t="shared" ref="G57:G70" si="54">IF(G$55=1,H57,H57/(1-INDEX($O$2:$O$6,C57)))</f>
        <v>1.8378378378378379</v>
      </c>
      <c r="H57" s="2">
        <f>$F57*(0.68-(0.12*$D57))</f>
        <v>1.7000000000000002</v>
      </c>
      <c r="I57" s="2">
        <f t="shared" ref="I57:I70" si="55">$F57*(0.32+(0.12*D57))</f>
        <v>0.8</v>
      </c>
      <c r="J57" s="2">
        <f t="shared" ref="J57:J70" si="56">F57</f>
        <v>2.5</v>
      </c>
      <c r="K57" s="10">
        <f t="shared" si="51"/>
        <v>-6.5294117647058822</v>
      </c>
      <c r="L57" s="10">
        <v>0</v>
      </c>
      <c r="M57" s="10">
        <v>1</v>
      </c>
      <c r="N57" s="2">
        <f t="shared" si="49"/>
        <v>3.6756756756756759</v>
      </c>
      <c r="O57" s="2">
        <f t="shared" si="52"/>
        <v>14.358108108108109</v>
      </c>
      <c r="P57" s="2">
        <f t="shared" si="53"/>
        <v>23.930180180180184</v>
      </c>
      <c r="Q57" s="2">
        <f>(AVERAGE(VLOOKUP(E57,weapon_components!$A$8:$M$178,9,0),VLOOKUP(E57,weapon_components!$A$8:$M$178,10,0))+VLOOKUP(E57,weapon_components!$A$8:$M$178,11,0))/10</f>
        <v>3.75</v>
      </c>
      <c r="R57" s="2">
        <f>VLOOKUP(E57,weapon_components!$A$8:$M$178,13,0)</f>
        <v>0.72</v>
      </c>
      <c r="S57" s="25">
        <f t="shared" ref="S57:S72" si="57">($S$55)*(1+(D57*$F$8))*(1+((C57-1)*$J$3))</f>
        <v>45</v>
      </c>
      <c r="T57" s="2">
        <v>0</v>
      </c>
      <c r="U57" s="14">
        <f>-INDEX('Ship Design Balancing'!$K$2:$K$6,'Weapon Formulas'!C57)*(INDEX('Weapon Formulas'!$R$1:$R$3,'Weapon Formulas'!D57+2)*(1+'Weapon Formulas'!B57))</f>
        <v>-6.6666666666666661</v>
      </c>
    </row>
    <row r="58" spans="1:24" x14ac:dyDescent="0.25">
      <c r="A58" s="21">
        <f t="shared" si="9"/>
        <v>-2.7E-2</v>
      </c>
      <c r="C58" s="2">
        <v>1</v>
      </c>
      <c r="D58" s="2">
        <v>1</v>
      </c>
      <c r="E58" s="16" t="s">
        <v>71</v>
      </c>
      <c r="F58" s="2">
        <f t="shared" si="10"/>
        <v>2.4729999999999999</v>
      </c>
      <c r="G58" s="2">
        <f t="shared" si="54"/>
        <v>1.4971675675675675</v>
      </c>
      <c r="H58" s="2">
        <f t="shared" ref="H58:H70" si="58">$F58*(0.68-(0.12*$D58))</f>
        <v>1.3848800000000001</v>
      </c>
      <c r="I58" s="2">
        <f t="shared" si="55"/>
        <v>1.08812</v>
      </c>
      <c r="J58" s="2">
        <f t="shared" si="56"/>
        <v>2.4729999999999999</v>
      </c>
      <c r="K58" s="10">
        <f t="shared" si="51"/>
        <v>-2.6428571428571432</v>
      </c>
      <c r="L58" s="10">
        <v>0</v>
      </c>
      <c r="M58" s="10">
        <v>1</v>
      </c>
      <c r="N58" s="2">
        <f t="shared" si="49"/>
        <v>5.9886702702702701</v>
      </c>
      <c r="O58" s="2">
        <f t="shared" si="52"/>
        <v>25.139007664380795</v>
      </c>
      <c r="P58" s="2">
        <f t="shared" si="53"/>
        <v>41.898346107301322</v>
      </c>
      <c r="Q58" s="2">
        <f>(AVERAGE(VLOOKUP(E58,weapon_components!$A$8:$M$178,9,0),VLOOKUP(E58,weapon_components!$A$8:$M$178,10,0))+VLOOKUP(E58,weapon_components!$A$8:$M$178,11,0))/10</f>
        <v>3.75</v>
      </c>
      <c r="R58" s="2">
        <f>VLOOKUP(E58,weapon_components!$A$8:$M$178,13,0)</f>
        <v>0.67</v>
      </c>
      <c r="S58" s="25">
        <f t="shared" si="57"/>
        <v>54</v>
      </c>
      <c r="T58" s="2">
        <v>0</v>
      </c>
      <c r="U58" s="14">
        <f>-INDEX('Ship Design Balancing'!$K$2:$K$6,'Weapon Formulas'!C58)*(INDEX('Weapon Formulas'!$R$1:$R$3,'Weapon Formulas'!D58+2)*(1+'Weapon Formulas'!B58))</f>
        <v>-13.333333333333332</v>
      </c>
    </row>
    <row r="59" spans="1:24" x14ac:dyDescent="0.25">
      <c r="A59" s="21">
        <f t="shared" si="9"/>
        <v>1.4039999999999978E-2</v>
      </c>
      <c r="C59" s="2">
        <v>2</v>
      </c>
      <c r="D59" s="2">
        <v>-1</v>
      </c>
      <c r="E59" s="16" t="s">
        <v>72</v>
      </c>
      <c r="F59" s="2">
        <f t="shared" si="10"/>
        <v>5.0140399999999996</v>
      </c>
      <c r="G59" s="2">
        <f t="shared" si="54"/>
        <v>4.7190964705882354</v>
      </c>
      <c r="H59" s="2">
        <f t="shared" si="58"/>
        <v>4.0112319999999997</v>
      </c>
      <c r="I59" s="2">
        <f t="shared" si="55"/>
        <v>1.0028079999999999</v>
      </c>
      <c r="J59" s="2">
        <f t="shared" si="56"/>
        <v>5.0140399999999996</v>
      </c>
      <c r="K59" s="10">
        <f t="shared" si="51"/>
        <v>-4.2500000000000009</v>
      </c>
      <c r="L59" s="10">
        <v>0</v>
      </c>
      <c r="M59" s="10">
        <v>1</v>
      </c>
      <c r="N59" s="2">
        <f t="shared" si="49"/>
        <v>4.7190964705882354</v>
      </c>
      <c r="O59" s="2">
        <f t="shared" si="52"/>
        <v>17.46376160990712</v>
      </c>
      <c r="P59" s="2">
        <f t="shared" si="53"/>
        <v>29.106269349845203</v>
      </c>
      <c r="Q59" s="2">
        <f>(AVERAGE(VLOOKUP(E59,weapon_components!$A$8:$M$178,9,0),VLOOKUP(E59,weapon_components!$A$8:$M$178,10,0))+VLOOKUP(E59,weapon_components!$A$8:$M$178,11,0))/10</f>
        <v>3.75</v>
      </c>
      <c r="R59" s="2">
        <f>VLOOKUP(E59,weapon_components!$A$8:$M$178,13,0)</f>
        <v>0.76</v>
      </c>
      <c r="S59" s="25">
        <f t="shared" si="57"/>
        <v>40.320000000000007</v>
      </c>
      <c r="T59" s="2">
        <v>0</v>
      </c>
      <c r="U59" s="14">
        <f>-INDEX('Ship Design Balancing'!$K$2:$K$6,'Weapon Formulas'!C59)*(INDEX('Weapon Formulas'!$R$1:$R$3,'Weapon Formulas'!D59+2)*(1+'Weapon Formulas'!B59))</f>
        <v>-6.6666666666666661</v>
      </c>
    </row>
    <row r="60" spans="1:24" x14ac:dyDescent="0.25">
      <c r="A60" s="21">
        <f t="shared" si="9"/>
        <v>-1.6200000000000016E-2</v>
      </c>
      <c r="C60" s="2">
        <v>2</v>
      </c>
      <c r="D60" s="2">
        <v>0</v>
      </c>
      <c r="E60" s="16" t="s">
        <v>73</v>
      </c>
      <c r="F60" s="2">
        <f t="shared" si="10"/>
        <v>4.9837999999999996</v>
      </c>
      <c r="G60" s="2">
        <f t="shared" si="54"/>
        <v>3.9870399999999999</v>
      </c>
      <c r="H60" s="2">
        <f t="shared" si="58"/>
        <v>3.3889839999999998</v>
      </c>
      <c r="I60" s="2">
        <f t="shared" si="55"/>
        <v>1.5948159999999998</v>
      </c>
      <c r="J60" s="2">
        <f t="shared" si="56"/>
        <v>4.9837999999999996</v>
      </c>
      <c r="K60" s="10">
        <f t="shared" si="51"/>
        <v>-3.0000000000000009</v>
      </c>
      <c r="L60" s="10">
        <v>0</v>
      </c>
      <c r="M60" s="10">
        <v>1</v>
      </c>
      <c r="N60" s="2">
        <f t="shared" si="49"/>
        <v>7.9740799999999998</v>
      </c>
      <c r="O60" s="2">
        <f t="shared" si="52"/>
        <v>31.14875</v>
      </c>
      <c r="P60" s="2">
        <f t="shared" si="53"/>
        <v>51.914583333333333</v>
      </c>
      <c r="Q60" s="2">
        <f>(AVERAGE(VLOOKUP(E60,weapon_components!$A$8:$M$178,9,0),VLOOKUP(E60,weapon_components!$A$8:$M$178,10,0))+VLOOKUP(E60,weapon_components!$A$8:$M$178,11,0))/10</f>
        <v>3.75</v>
      </c>
      <c r="R60" s="2">
        <f>VLOOKUP(E60,weapon_components!$A$8:$M$178,13,0)</f>
        <v>0.72</v>
      </c>
      <c r="S60" s="25">
        <f t="shared" si="57"/>
        <v>50.400000000000006</v>
      </c>
      <c r="T60" s="2">
        <v>0</v>
      </c>
      <c r="U60" s="14">
        <f>-INDEX('Ship Design Balancing'!$K$2:$K$6,'Weapon Formulas'!C60)*(INDEX('Weapon Formulas'!$R$1:$R$3,'Weapon Formulas'!D60+2)*(1+'Weapon Formulas'!B60))</f>
        <v>-13.333333333333332</v>
      </c>
    </row>
    <row r="61" spans="1:24" x14ac:dyDescent="0.25">
      <c r="A61" s="21">
        <f t="shared" si="9"/>
        <v>-4.6440000000000016E-2</v>
      </c>
      <c r="C61" s="2">
        <v>2</v>
      </c>
      <c r="D61" s="2">
        <v>1</v>
      </c>
      <c r="E61" s="16" t="s">
        <v>74</v>
      </c>
      <c r="F61" s="2">
        <f t="shared" si="10"/>
        <v>4.9535600000000004</v>
      </c>
      <c r="G61" s="2">
        <f t="shared" si="54"/>
        <v>3.2635218823529417</v>
      </c>
      <c r="H61" s="2">
        <f t="shared" si="58"/>
        <v>2.7739936000000003</v>
      </c>
      <c r="I61" s="2">
        <f t="shared" si="55"/>
        <v>2.1795664000000001</v>
      </c>
      <c r="J61" s="2">
        <f t="shared" si="56"/>
        <v>4.9535600000000004</v>
      </c>
      <c r="K61" s="10">
        <f t="shared" si="51"/>
        <v>-1.2142857142857149</v>
      </c>
      <c r="L61" s="10">
        <v>0</v>
      </c>
      <c r="M61" s="10">
        <v>1</v>
      </c>
      <c r="N61" s="2">
        <f t="shared" si="49"/>
        <v>13.054087529411767</v>
      </c>
      <c r="O61" s="2">
        <f t="shared" si="52"/>
        <v>54.797942054433719</v>
      </c>
      <c r="P61" s="2">
        <f t="shared" si="53"/>
        <v>91.329903424056198</v>
      </c>
      <c r="Q61" s="2">
        <f>(AVERAGE(VLOOKUP(E61,weapon_components!$A$8:$M$178,9,0),VLOOKUP(E61,weapon_components!$A$8:$M$178,10,0))+VLOOKUP(E61,weapon_components!$A$8:$M$178,11,0))/10</f>
        <v>3.75</v>
      </c>
      <c r="R61" s="2">
        <f>VLOOKUP(E61,weapon_components!$A$8:$M$178,13,0)</f>
        <v>0.67</v>
      </c>
      <c r="S61" s="25">
        <f t="shared" si="57"/>
        <v>60.480000000000004</v>
      </c>
      <c r="T61" s="2">
        <v>0</v>
      </c>
      <c r="U61" s="14">
        <f>-INDEX('Ship Design Balancing'!$K$2:$K$6,'Weapon Formulas'!C61)*(INDEX('Weapon Formulas'!$R$1:$R$3,'Weapon Formulas'!D61+2)*(1+'Weapon Formulas'!B61))</f>
        <v>-26.666666666666664</v>
      </c>
    </row>
    <row r="62" spans="1:24" x14ac:dyDescent="0.25">
      <c r="A62" s="21">
        <f t="shared" si="9"/>
        <v>1.0799999999999983E-3</v>
      </c>
      <c r="C62" s="2">
        <v>3</v>
      </c>
      <c r="D62" s="2">
        <v>-1</v>
      </c>
      <c r="E62" s="16" t="s">
        <v>75</v>
      </c>
      <c r="F62" s="2">
        <f t="shared" si="10"/>
        <v>7.50108</v>
      </c>
      <c r="G62" s="2">
        <f t="shared" si="54"/>
        <v>7.7430503225806451</v>
      </c>
      <c r="H62" s="2">
        <f t="shared" si="58"/>
        <v>6.000864</v>
      </c>
      <c r="I62" s="2">
        <f t="shared" si="55"/>
        <v>1.500216</v>
      </c>
      <c r="J62" s="2">
        <f t="shared" si="56"/>
        <v>7.50108</v>
      </c>
      <c r="K62" s="10">
        <f t="shared" si="51"/>
        <v>-2.5833333333333339</v>
      </c>
      <c r="L62" s="10">
        <v>0</v>
      </c>
      <c r="M62" s="10">
        <v>1</v>
      </c>
      <c r="N62" s="2">
        <f t="shared" si="49"/>
        <v>7.7430503225806451</v>
      </c>
      <c r="O62" s="2">
        <f t="shared" si="52"/>
        <v>28.654380305602718</v>
      </c>
      <c r="P62" s="2">
        <f t="shared" si="53"/>
        <v>47.757300509337867</v>
      </c>
      <c r="Q62" s="2">
        <f>(AVERAGE(VLOOKUP(E62,weapon_components!$A$8:$M$178,9,0),VLOOKUP(E62,weapon_components!$A$8:$M$178,10,0))+VLOOKUP(E62,weapon_components!$A$8:$M$178,11,0))/10</f>
        <v>3.75</v>
      </c>
      <c r="R62" s="2">
        <f>VLOOKUP(E62,weapon_components!$A$8:$M$178,13,0)</f>
        <v>0.76</v>
      </c>
      <c r="S62" s="25">
        <f t="shared" si="57"/>
        <v>44.64</v>
      </c>
      <c r="T62" s="2">
        <v>0</v>
      </c>
      <c r="U62" s="14">
        <f>-INDEX('Ship Design Balancing'!$K$2:$K$6,'Weapon Formulas'!C62)*(INDEX('Weapon Formulas'!$R$1:$R$3,'Weapon Formulas'!D62+2)*(1+'Weapon Formulas'!B62))</f>
        <v>-13.333333333333332</v>
      </c>
    </row>
    <row r="63" spans="1:24" x14ac:dyDescent="0.25">
      <c r="A63" s="21">
        <f t="shared" si="9"/>
        <v>-3.2399999999999991E-2</v>
      </c>
      <c r="C63" s="2">
        <v>3</v>
      </c>
      <c r="D63" s="2">
        <v>0</v>
      </c>
      <c r="E63" s="16" t="s">
        <v>76</v>
      </c>
      <c r="F63" s="2">
        <f t="shared" si="10"/>
        <v>7.4676</v>
      </c>
      <c r="G63" s="2">
        <f t="shared" si="54"/>
        <v>6.5522167741935489</v>
      </c>
      <c r="H63" s="2">
        <f t="shared" si="58"/>
        <v>5.0779680000000003</v>
      </c>
      <c r="I63" s="2">
        <f t="shared" si="55"/>
        <v>2.3896320000000002</v>
      </c>
      <c r="J63" s="2">
        <f t="shared" si="56"/>
        <v>7.4676</v>
      </c>
      <c r="K63" s="10">
        <f t="shared" si="51"/>
        <v>-1.8235294117647061</v>
      </c>
      <c r="L63" s="10">
        <v>0</v>
      </c>
      <c r="M63" s="10">
        <v>1</v>
      </c>
      <c r="N63" s="2">
        <f t="shared" si="49"/>
        <v>13.104433548387096</v>
      </c>
      <c r="O63" s="2">
        <f t="shared" si="52"/>
        <v>51.189193548387095</v>
      </c>
      <c r="P63" s="2">
        <f t="shared" si="53"/>
        <v>85.315322580645159</v>
      </c>
      <c r="Q63" s="2">
        <f>(AVERAGE(VLOOKUP(E63,weapon_components!$A$8:$M$178,9,0),VLOOKUP(E63,weapon_components!$A$8:$M$178,10,0))+VLOOKUP(E63,weapon_components!$A$8:$M$178,11,0))/10</f>
        <v>3.75</v>
      </c>
      <c r="R63" s="2">
        <f>VLOOKUP(E63,weapon_components!$A$8:$M$178,13,0)</f>
        <v>0.72</v>
      </c>
      <c r="S63" s="25">
        <f t="shared" si="57"/>
        <v>55.8</v>
      </c>
      <c r="T63" s="2">
        <v>0</v>
      </c>
      <c r="U63" s="14">
        <f>-INDEX('Ship Design Balancing'!$K$2:$K$6,'Weapon Formulas'!C63)*(INDEX('Weapon Formulas'!$R$1:$R$3,'Weapon Formulas'!D63+2)*(1+'Weapon Formulas'!B63))</f>
        <v>-26.666666666666664</v>
      </c>
      <c r="X63" s="14"/>
    </row>
    <row r="64" spans="1:24" x14ac:dyDescent="0.25">
      <c r="A64" s="21">
        <f t="shared" si="9"/>
        <v>-6.587999999999998E-2</v>
      </c>
      <c r="C64" s="2">
        <v>3</v>
      </c>
      <c r="D64" s="2">
        <v>1</v>
      </c>
      <c r="E64" s="16" t="s">
        <v>77</v>
      </c>
      <c r="F64" s="2">
        <f t="shared" si="10"/>
        <v>7.4341200000000001</v>
      </c>
      <c r="G64" s="2">
        <f t="shared" si="54"/>
        <v>5.3717512258064524</v>
      </c>
      <c r="H64" s="2">
        <f t="shared" si="58"/>
        <v>4.1631072000000007</v>
      </c>
      <c r="I64" s="2">
        <f t="shared" si="55"/>
        <v>3.2710127999999998</v>
      </c>
      <c r="J64" s="2">
        <f t="shared" si="56"/>
        <v>7.4341200000000001</v>
      </c>
      <c r="K64" s="10">
        <f t="shared" si="51"/>
        <v>-0.73809523809523903</v>
      </c>
      <c r="L64" s="10">
        <v>0</v>
      </c>
      <c r="M64" s="10">
        <v>1</v>
      </c>
      <c r="N64" s="2">
        <f t="shared" si="49"/>
        <v>21.487004903225809</v>
      </c>
      <c r="O64" s="2">
        <f t="shared" si="52"/>
        <v>90.197315358690432</v>
      </c>
      <c r="P64" s="2">
        <f t="shared" si="53"/>
        <v>150.32885893115071</v>
      </c>
      <c r="Q64" s="2">
        <f>(AVERAGE(VLOOKUP(E64,weapon_components!$A$8:$M$178,9,0),VLOOKUP(E64,weapon_components!$A$8:$M$178,10,0))+VLOOKUP(E64,weapon_components!$A$8:$M$178,11,0))/10</f>
        <v>3.75</v>
      </c>
      <c r="R64" s="2">
        <f>VLOOKUP(E64,weapon_components!$A$8:$M$178,13,0)</f>
        <v>0.67</v>
      </c>
      <c r="S64" s="25">
        <f t="shared" si="57"/>
        <v>66.959999999999994</v>
      </c>
      <c r="T64" s="2">
        <v>0</v>
      </c>
      <c r="U64" s="14">
        <f>-INDEX('Ship Design Balancing'!$K$2:$K$6,'Weapon Formulas'!C64)*(INDEX('Weapon Formulas'!$R$1:$R$3,'Weapon Formulas'!D64+2)*(1+'Weapon Formulas'!B64))</f>
        <v>-53.333333333333329</v>
      </c>
    </row>
    <row r="65" spans="1:21" x14ac:dyDescent="0.25">
      <c r="A65" s="21">
        <f t="shared" si="9"/>
        <v>-1.1879999999999981E-2</v>
      </c>
      <c r="C65" s="2">
        <v>4</v>
      </c>
      <c r="D65" s="2">
        <v>-1</v>
      </c>
      <c r="E65" s="16" t="s">
        <v>78</v>
      </c>
      <c r="F65" s="2">
        <f t="shared" si="10"/>
        <v>9.9881200000000003</v>
      </c>
      <c r="G65" s="2">
        <f t="shared" si="54"/>
        <v>11.414994285714286</v>
      </c>
      <c r="H65" s="2">
        <f t="shared" si="58"/>
        <v>7.9904960000000003</v>
      </c>
      <c r="I65" s="2">
        <f t="shared" si="55"/>
        <v>1.9976240000000001</v>
      </c>
      <c r="J65" s="2">
        <f t="shared" si="56"/>
        <v>9.9881200000000003</v>
      </c>
      <c r="K65" s="10">
        <f t="shared" si="51"/>
        <v>-1.75</v>
      </c>
      <c r="L65" s="10">
        <v>0</v>
      </c>
      <c r="M65" s="10">
        <v>1</v>
      </c>
      <c r="N65" s="2">
        <f t="shared" si="49"/>
        <v>11.414994285714284</v>
      </c>
      <c r="O65" s="2">
        <f t="shared" si="52"/>
        <v>42.242988721804515</v>
      </c>
      <c r="P65" s="2">
        <f t="shared" si="53"/>
        <v>70.404981203007523</v>
      </c>
      <c r="Q65" s="2">
        <f>(AVERAGE(VLOOKUP(E65,weapon_components!$A$8:$M$178,9,0),VLOOKUP(E65,weapon_components!$A$8:$M$178,10,0))+VLOOKUP(E65,weapon_components!$A$8:$M$178,11,0))/10</f>
        <v>3.75</v>
      </c>
      <c r="R65" s="2">
        <f>VLOOKUP(E65,weapon_components!$A$8:$M$178,13,0)</f>
        <v>0.76</v>
      </c>
      <c r="S65" s="25">
        <f t="shared" si="57"/>
        <v>48.959999999999994</v>
      </c>
      <c r="T65" s="2">
        <v>0</v>
      </c>
      <c r="U65" s="14">
        <f>-INDEX('Ship Design Balancing'!$K$2:$K$6,'Weapon Formulas'!C65)*(INDEX('Weapon Formulas'!$R$1:$R$3,'Weapon Formulas'!D65+2)*(1+'Weapon Formulas'!B65))</f>
        <v>-26.666666666666664</v>
      </c>
    </row>
    <row r="66" spans="1:21" x14ac:dyDescent="0.25">
      <c r="A66" s="21">
        <f t="shared" si="9"/>
        <v>-4.859999999999999E-2</v>
      </c>
      <c r="C66" s="2">
        <v>4</v>
      </c>
      <c r="D66" s="2">
        <v>0</v>
      </c>
      <c r="E66" s="16" t="s">
        <v>79</v>
      </c>
      <c r="F66" s="2">
        <f t="shared" si="10"/>
        <v>9.9513999999999996</v>
      </c>
      <c r="G66" s="2">
        <f t="shared" si="54"/>
        <v>9.6670742857142855</v>
      </c>
      <c r="H66" s="2">
        <f t="shared" si="58"/>
        <v>6.7669519999999999</v>
      </c>
      <c r="I66" s="2">
        <f t="shared" si="55"/>
        <v>3.1844479999999997</v>
      </c>
      <c r="J66" s="2">
        <f t="shared" si="56"/>
        <v>9.9513999999999996</v>
      </c>
      <c r="K66" s="10">
        <f t="shared" si="51"/>
        <v>-1.2352941176470593</v>
      </c>
      <c r="L66" s="10">
        <v>0</v>
      </c>
      <c r="M66" s="10">
        <v>1</v>
      </c>
      <c r="N66" s="2">
        <f t="shared" si="49"/>
        <v>19.334148571428571</v>
      </c>
      <c r="O66" s="2">
        <f t="shared" si="52"/>
        <v>75.524017857142866</v>
      </c>
      <c r="P66" s="2">
        <f t="shared" si="53"/>
        <v>125.87336309523809</v>
      </c>
      <c r="Q66" s="2">
        <f>(AVERAGE(VLOOKUP(E66,weapon_components!$A$8:$M$178,9,0),VLOOKUP(E66,weapon_components!$A$8:$M$178,10,0))+VLOOKUP(E66,weapon_components!$A$8:$M$178,11,0))/10</f>
        <v>3.75</v>
      </c>
      <c r="R66" s="2">
        <f>VLOOKUP(E66,weapon_components!$A$8:$M$178,13,0)</f>
        <v>0.72</v>
      </c>
      <c r="S66" s="25">
        <f t="shared" si="57"/>
        <v>61.199999999999996</v>
      </c>
      <c r="T66" s="2">
        <v>0</v>
      </c>
      <c r="U66" s="14">
        <f>-INDEX('Ship Design Balancing'!$K$2:$K$6,'Weapon Formulas'!C66)*(INDEX('Weapon Formulas'!$R$1:$R$3,'Weapon Formulas'!D66+2)*(1+'Weapon Formulas'!B66))</f>
        <v>-53.333333333333329</v>
      </c>
    </row>
    <row r="67" spans="1:21" x14ac:dyDescent="0.25">
      <c r="A67" s="21">
        <f t="shared" si="9"/>
        <v>-8.5319999999999993E-2</v>
      </c>
      <c r="C67" s="2">
        <v>4</v>
      </c>
      <c r="D67" s="2">
        <v>1</v>
      </c>
      <c r="E67" s="16" t="s">
        <v>80</v>
      </c>
      <c r="F67" s="2">
        <f t="shared" si="10"/>
        <v>9.9146800000000006</v>
      </c>
      <c r="G67" s="2">
        <f t="shared" si="54"/>
        <v>7.931744000000001</v>
      </c>
      <c r="H67" s="2">
        <f t="shared" si="58"/>
        <v>5.5522208000000006</v>
      </c>
      <c r="I67" s="2">
        <f t="shared" si="55"/>
        <v>4.3624592</v>
      </c>
      <c r="J67" s="2">
        <f t="shared" si="56"/>
        <v>9.9146800000000006</v>
      </c>
      <c r="K67" s="10">
        <f t="shared" si="51"/>
        <v>-0.50000000000000022</v>
      </c>
      <c r="L67" s="10">
        <v>0</v>
      </c>
      <c r="M67" s="10">
        <v>1</v>
      </c>
      <c r="N67" s="2">
        <f t="shared" si="49"/>
        <v>31.726976000000004</v>
      </c>
      <c r="O67" s="2">
        <f t="shared" si="52"/>
        <v>133.18226865671642</v>
      </c>
      <c r="P67" s="2">
        <f t="shared" si="53"/>
        <v>221.97044776119407</v>
      </c>
      <c r="Q67" s="2">
        <f>(AVERAGE(VLOOKUP(E67,weapon_components!$A$8:$M$178,9,0),VLOOKUP(E67,weapon_components!$A$8:$M$178,10,0))+VLOOKUP(E67,weapon_components!$A$8:$M$178,11,0))/10</f>
        <v>3.75</v>
      </c>
      <c r="R67" s="2">
        <f>VLOOKUP(E67,weapon_components!$A$8:$M$178,13,0)</f>
        <v>0.67</v>
      </c>
      <c r="S67" s="25">
        <f t="shared" si="57"/>
        <v>73.44</v>
      </c>
      <c r="T67" s="2">
        <v>0</v>
      </c>
      <c r="U67" s="14">
        <f>-INDEX('Ship Design Balancing'!$K$2:$K$6,'Weapon Formulas'!C67)*(INDEX('Weapon Formulas'!$R$1:$R$3,'Weapon Formulas'!D67+2)*(1+'Weapon Formulas'!B67))</f>
        <v>-106.66666666666666</v>
      </c>
    </row>
    <row r="68" spans="1:21" x14ac:dyDescent="0.25">
      <c r="A68" s="21">
        <f t="shared" si="9"/>
        <v>-2.4840000000000004E-2</v>
      </c>
      <c r="C68" s="2">
        <v>5</v>
      </c>
      <c r="D68" s="2">
        <v>-1</v>
      </c>
      <c r="E68" s="16" t="s">
        <v>81</v>
      </c>
      <c r="F68" s="2">
        <f t="shared" si="10"/>
        <v>12.475160000000001</v>
      </c>
      <c r="G68" s="2">
        <f t="shared" si="54"/>
        <v>15.968204800000001</v>
      </c>
      <c r="H68" s="2">
        <f t="shared" si="58"/>
        <v>9.9801280000000006</v>
      </c>
      <c r="I68" s="2">
        <f t="shared" si="55"/>
        <v>2.4950320000000001</v>
      </c>
      <c r="J68" s="2">
        <f t="shared" si="56"/>
        <v>12.475160000000001</v>
      </c>
      <c r="K68" s="10">
        <f t="shared" si="51"/>
        <v>-1.25</v>
      </c>
      <c r="L68" s="10">
        <v>0</v>
      </c>
      <c r="M68" s="10">
        <v>1</v>
      </c>
      <c r="N68" s="2">
        <f t="shared" si="49"/>
        <v>15.968204800000001</v>
      </c>
      <c r="O68" s="2">
        <f t="shared" si="52"/>
        <v>59.09286315789474</v>
      </c>
      <c r="P68" s="2">
        <f t="shared" si="53"/>
        <v>98.488105263157891</v>
      </c>
      <c r="Q68" s="2">
        <f>(AVERAGE(VLOOKUP(E68,weapon_components!$A$8:$M$178,9,0),VLOOKUP(E68,weapon_components!$A$8:$M$178,10,0))+VLOOKUP(E68,weapon_components!$A$8:$M$178,11,0))/10</f>
        <v>3.75</v>
      </c>
      <c r="R68" s="2">
        <f>VLOOKUP(E68,weapon_components!$A$8:$M$178,13,0)</f>
        <v>0.76</v>
      </c>
      <c r="S68" s="25">
        <f t="shared" si="57"/>
        <v>53.28</v>
      </c>
      <c r="T68" s="2">
        <v>0</v>
      </c>
      <c r="U68" s="14">
        <f>-INDEX('Ship Design Balancing'!$K$2:$K$6,'Weapon Formulas'!C68)*(INDEX('Weapon Formulas'!$R$1:$R$3,'Weapon Formulas'!D68+2)*(1+'Weapon Formulas'!B68))</f>
        <v>-53.333333333333329</v>
      </c>
    </row>
    <row r="69" spans="1:21" x14ac:dyDescent="0.25">
      <c r="A69" s="21">
        <f t="shared" si="9"/>
        <v>-6.4799999999999983E-2</v>
      </c>
      <c r="C69" s="2">
        <v>5</v>
      </c>
      <c r="D69" s="2">
        <v>0</v>
      </c>
      <c r="E69" s="16" t="s">
        <v>82</v>
      </c>
      <c r="F69" s="2">
        <f t="shared" si="10"/>
        <v>12.4352</v>
      </c>
      <c r="G69" s="2">
        <f t="shared" si="54"/>
        <v>13.529497600000003</v>
      </c>
      <c r="H69" s="2">
        <f>$F69*(0.68-(0.12*$D69))</f>
        <v>8.4559360000000012</v>
      </c>
      <c r="I69" s="2">
        <f t="shared" si="55"/>
        <v>3.9792640000000001</v>
      </c>
      <c r="J69" s="2">
        <f t="shared" si="56"/>
        <v>12.4352</v>
      </c>
      <c r="K69" s="10">
        <f t="shared" si="51"/>
        <v>-0.88235294117647078</v>
      </c>
      <c r="L69" s="10">
        <v>0</v>
      </c>
      <c r="M69" s="10">
        <v>1</v>
      </c>
      <c r="N69" s="2">
        <f t="shared" si="49"/>
        <v>27.058995200000005</v>
      </c>
      <c r="O69" s="2">
        <f t="shared" si="52"/>
        <v>105.69920000000002</v>
      </c>
      <c r="P69" s="2">
        <f t="shared" si="53"/>
        <v>176.16533333333336</v>
      </c>
      <c r="Q69" s="2">
        <f>(AVERAGE(VLOOKUP(E69,weapon_components!$A$8:$M$178,9,0),VLOOKUP(E69,weapon_components!$A$8:$M$178,10,0))+VLOOKUP(E69,weapon_components!$A$8:$M$178,11,0))/10</f>
        <v>3.75</v>
      </c>
      <c r="R69" s="2">
        <f>VLOOKUP(E69,weapon_components!$A$8:$M$178,13,0)</f>
        <v>0.72</v>
      </c>
      <c r="S69" s="25">
        <f t="shared" si="57"/>
        <v>66.599999999999994</v>
      </c>
      <c r="T69" s="2">
        <v>0</v>
      </c>
      <c r="U69" s="14">
        <f>-INDEX('Ship Design Balancing'!$K$2:$K$6,'Weapon Formulas'!C69)*(INDEX('Weapon Formulas'!$R$1:$R$3,'Weapon Formulas'!D69+2)*(1+'Weapon Formulas'!B69))</f>
        <v>-106.66666666666666</v>
      </c>
    </row>
    <row r="70" spans="1:21" x14ac:dyDescent="0.25">
      <c r="A70" s="21">
        <f t="shared" si="9"/>
        <v>-0.10476000000000001</v>
      </c>
      <c r="C70" s="2">
        <v>5</v>
      </c>
      <c r="D70" s="2">
        <v>1</v>
      </c>
      <c r="E70" s="16" t="s">
        <v>83</v>
      </c>
      <c r="F70" s="2">
        <f t="shared" si="10"/>
        <v>12.395239999999999</v>
      </c>
      <c r="G70" s="2">
        <f t="shared" si="54"/>
        <v>11.106135040000002</v>
      </c>
      <c r="H70" s="2">
        <f t="shared" si="58"/>
        <v>6.9413344000000006</v>
      </c>
      <c r="I70" s="2">
        <f t="shared" si="55"/>
        <v>5.4539055999999997</v>
      </c>
      <c r="J70" s="2">
        <f t="shared" si="56"/>
        <v>12.395239999999999</v>
      </c>
      <c r="K70" s="10">
        <f t="shared" si="51"/>
        <v>-0.35714285714285743</v>
      </c>
      <c r="L70" s="10">
        <v>0</v>
      </c>
      <c r="M70" s="10">
        <v>1</v>
      </c>
      <c r="N70" s="2">
        <f t="shared" si="49"/>
        <v>44.424540160000006</v>
      </c>
      <c r="O70" s="2">
        <f t="shared" si="52"/>
        <v>186.48361074626865</v>
      </c>
      <c r="P70" s="2">
        <f t="shared" si="53"/>
        <v>310.80601791044779</v>
      </c>
      <c r="Q70" s="2">
        <f>(AVERAGE(VLOOKUP(E70,weapon_components!$A$8:$M$178,9,0),VLOOKUP(E70,weapon_components!$A$8:$M$178,10,0))+VLOOKUP(E70,weapon_components!$A$8:$M$178,11,0))/10</f>
        <v>3.75</v>
      </c>
      <c r="R70" s="2">
        <f>VLOOKUP(E70,weapon_components!$A$8:$M$178,13,0)</f>
        <v>0.67</v>
      </c>
      <c r="S70" s="25">
        <f>($S$55)*(1+(D70*$F$8))*(1+((C70-1)*$J$3))</f>
        <v>79.92</v>
      </c>
      <c r="T70" s="2">
        <v>0</v>
      </c>
      <c r="U70" s="14">
        <f>-INDEX('Ship Design Balancing'!$K$2:$K$6,'Weapon Formulas'!C70)*(INDEX('Weapon Formulas'!$R$1:$R$3,'Weapon Formulas'!D70+2)*(1+'Weapon Formulas'!B70))</f>
        <v>-213.33333333333331</v>
      </c>
    </row>
    <row r="71" spans="1:21" x14ac:dyDescent="0.25">
      <c r="A71" s="21">
        <f t="shared" si="9"/>
        <v>-4.4999999999999998E-2</v>
      </c>
      <c r="E71" s="3" t="s">
        <v>84</v>
      </c>
      <c r="F71" s="2" t="s">
        <v>140</v>
      </c>
      <c r="G71" s="2">
        <v>0</v>
      </c>
      <c r="H71" s="2"/>
      <c r="I71" s="2"/>
      <c r="J71" s="2">
        <v>1</v>
      </c>
      <c r="K71" s="10"/>
      <c r="L71" s="10"/>
      <c r="M71" s="10"/>
      <c r="N71" s="2"/>
      <c r="O71" s="2"/>
      <c r="P71" s="2"/>
      <c r="Q71" s="2"/>
      <c r="R71" s="13" t="s">
        <v>247</v>
      </c>
      <c r="S71" s="2">
        <v>60</v>
      </c>
      <c r="T71" s="2">
        <v>0</v>
      </c>
      <c r="U71" s="14"/>
    </row>
    <row r="72" spans="1:21" x14ac:dyDescent="0.25">
      <c r="A72" s="21">
        <f t="shared" si="9"/>
        <v>-0.15875999999999996</v>
      </c>
      <c r="B72" s="2">
        <v>1</v>
      </c>
      <c r="C72">
        <v>4</v>
      </c>
      <c r="D72">
        <v>1</v>
      </c>
      <c r="E72" s="5" t="s">
        <v>85</v>
      </c>
      <c r="F72" s="2">
        <f t="shared" ref="F72:F75" si="59">($F$2+(C72*$F$1))*(B72+1)</f>
        <v>20</v>
      </c>
      <c r="G72" s="2">
        <f>IF(G$71=1,H72,H72/(1-INDEX($O$2:$O$6,C72)))</f>
        <v>14.285714285714286</v>
      </c>
      <c r="H72" s="2">
        <f>F72*0.5</f>
        <v>10</v>
      </c>
      <c r="I72" s="2">
        <f>F72*0.5</f>
        <v>10</v>
      </c>
      <c r="J72" s="2">
        <f t="shared" si="50"/>
        <v>1.9999999999999998</v>
      </c>
      <c r="K72" s="10">
        <f>1-((1-(I72/G72))/INDEX($P$2:$P$6,C72))</f>
        <v>0</v>
      </c>
      <c r="L72" s="10">
        <v>1</v>
      </c>
      <c r="M72" s="10">
        <v>1</v>
      </c>
      <c r="N72" s="2">
        <f>(AVERAGE(O72,P72)*R72)/Q72</f>
        <v>57.142857142857146</v>
      </c>
      <c r="O72" s="2">
        <f>0.75*(((G72*INDEX($R$1:$R$3,$D72+2))*Q72)/R72)</f>
        <v>489.79591836734699</v>
      </c>
      <c r="P72" s="2">
        <f>1.25*(((G72*INDEX($R$1:$R$3,$D72+2))*Q72)/R72)</f>
        <v>816.32653061224505</v>
      </c>
      <c r="Q72" s="2">
        <f>(AVERAGE(VLOOKUP(E72,weapon_components!$A$8:$M$178,9,0),VLOOKUP(E72,weapon_components!$A$8:$M$178,10,0))+VLOOKUP(E72,weapon_components!$A$8:$M$178,11,0))/10</f>
        <v>8</v>
      </c>
      <c r="R72" s="2">
        <f>VLOOKUP(E72,weapon_components!$A$8:$M$178,13,0)</f>
        <v>0.7</v>
      </c>
      <c r="S72" s="25">
        <f>($S$71)*(1+(D72*$F$8))*(1+((C72-1)*$J$3))</f>
        <v>97.919999999999987</v>
      </c>
      <c r="T72" s="2">
        <v>0</v>
      </c>
      <c r="U72" s="14">
        <f>-INDEX('Ship Design Balancing'!$K$2:$K$6,'Weapon Formulas'!C72)*(INDEX('Weapon Formulas'!$R$1:$R$3,'Weapon Formulas'!D72+2)*(1+'Weapon Formulas'!B72))</f>
        <v>-213.33333333333331</v>
      </c>
    </row>
    <row r="73" spans="1:21" x14ac:dyDescent="0.25">
      <c r="A73" s="21">
        <f t="shared" si="9"/>
        <v>-0.18468000000000001</v>
      </c>
      <c r="B73" s="2">
        <v>1</v>
      </c>
      <c r="C73">
        <v>5</v>
      </c>
      <c r="D73">
        <v>1</v>
      </c>
      <c r="E73" s="5" t="s">
        <v>86</v>
      </c>
      <c r="F73" s="2">
        <f>($F$2+(C73*$F$1))*(B73+1)</f>
        <v>25</v>
      </c>
      <c r="G73" s="2">
        <f>IF(G$71=1,H73,H73/(1-INDEX($O$2:$O$6,C73)))</f>
        <v>20</v>
      </c>
      <c r="H73" s="2">
        <f>F73*0.5</f>
        <v>12.5</v>
      </c>
      <c r="I73" s="2">
        <f>F73*0.5</f>
        <v>12.5</v>
      </c>
      <c r="J73" s="2">
        <f t="shared" si="50"/>
        <v>1.9999999999999998</v>
      </c>
      <c r="K73" s="10">
        <f>1-((1-(I73/G73))/INDEX($P$2:$P$6,C73))</f>
        <v>0</v>
      </c>
      <c r="L73" s="10">
        <v>0</v>
      </c>
      <c r="M73" s="10">
        <v>1</v>
      </c>
      <c r="N73" s="2">
        <f t="shared" si="49"/>
        <v>80</v>
      </c>
      <c r="O73" s="2">
        <f>0.75*(((G73*INDEX($R$1:$R$3,$D73+2))*Q73)/R73)</f>
        <v>685.71428571428578</v>
      </c>
      <c r="P73" s="2">
        <f>1.25*(((G73*INDEX($R$1:$R$3,$D73+2))*Q73)/R73)</f>
        <v>1142.8571428571429</v>
      </c>
      <c r="Q73" s="2">
        <f>(AVERAGE(VLOOKUP(E73,weapon_components!$A$8:$M$178,9,0),VLOOKUP(E73,weapon_components!$A$8:$M$178,10,0))+VLOOKUP(E73,weapon_components!$A$8:$M$178,11,0))/10</f>
        <v>8</v>
      </c>
      <c r="R73" s="2">
        <f>VLOOKUP(E73,weapon_components!$A$8:$M$178,13,0)</f>
        <v>0.7</v>
      </c>
      <c r="S73" s="25">
        <f>($S$71)*(1+(D73*$F$8))*(1+((C73-1)*$J$3))</f>
        <v>106.56</v>
      </c>
      <c r="T73" s="2">
        <v>0</v>
      </c>
      <c r="U73" s="14">
        <f>-INDEX('Ship Design Balancing'!$K$2:$K$6,'Weapon Formulas'!C73)*(INDEX('Weapon Formulas'!$R$1:$R$3,'Weapon Formulas'!D73+2)*(1+'Weapon Formulas'!B73))</f>
        <v>-426.66666666666663</v>
      </c>
    </row>
    <row r="74" spans="1:21" x14ac:dyDescent="0.25">
      <c r="A74" s="21">
        <f t="shared" si="9"/>
        <v>0</v>
      </c>
      <c r="E74" s="3" t="s">
        <v>87</v>
      </c>
      <c r="F74" s="2" t="s">
        <v>140</v>
      </c>
      <c r="G74" s="2">
        <v>0</v>
      </c>
      <c r="H74" s="13" t="s">
        <v>248</v>
      </c>
      <c r="I74" s="14"/>
      <c r="J74" s="14"/>
      <c r="K74" s="10"/>
      <c r="L74" s="10"/>
      <c r="M74" s="10"/>
      <c r="N74" s="2"/>
      <c r="O74" s="2"/>
      <c r="P74" s="2"/>
      <c r="Q74" s="2"/>
      <c r="R74" s="13" t="s">
        <v>247</v>
      </c>
      <c r="S74" s="2">
        <v>45</v>
      </c>
      <c r="T74" s="2">
        <v>0</v>
      </c>
      <c r="U74" s="14"/>
    </row>
    <row r="75" spans="1:21" x14ac:dyDescent="0.25">
      <c r="A75" s="21">
        <f t="shared" si="9"/>
        <v>1.0799999999999983E-3</v>
      </c>
      <c r="C75" s="2">
        <v>3</v>
      </c>
      <c r="D75" s="2">
        <v>-1</v>
      </c>
      <c r="E75" s="16" t="s">
        <v>88</v>
      </c>
      <c r="F75" s="2">
        <f t="shared" si="59"/>
        <v>7.5</v>
      </c>
      <c r="G75" s="2">
        <f>IF(G$74=1,H75,H75/(1-INDEX($O$2:$O$6,C75)))</f>
        <v>4.258064516129032</v>
      </c>
      <c r="H75" s="2">
        <f>$F75*(0.32-(0.12*$D75))</f>
        <v>3.3</v>
      </c>
      <c r="I75" s="2">
        <f>$F75*(0.68+(0.12*D75))</f>
        <v>4.2</v>
      </c>
      <c r="J75" s="2">
        <f t="shared" si="50"/>
        <v>1.2</v>
      </c>
      <c r="K75" s="10">
        <f t="shared" si="24"/>
        <v>0.93939393939393978</v>
      </c>
      <c r="L75" s="10">
        <v>0</v>
      </c>
      <c r="M75" s="10">
        <v>1</v>
      </c>
      <c r="N75" s="2">
        <f t="shared" si="49"/>
        <v>4.258064516129032</v>
      </c>
      <c r="O75" s="2">
        <f t="shared" ref="O75:O83" si="60">0.75*(((G75*INDEX($R$1:$R$3,$D75+2))*Q75)/R75)</f>
        <v>12.267899291896143</v>
      </c>
      <c r="P75" s="2">
        <f t="shared" ref="P75:P83" si="61">1.25*(((G75*INDEX($R$1:$R$3,$D75+2))*Q75)/R75)</f>
        <v>20.446498819826907</v>
      </c>
      <c r="Q75" s="2">
        <f>(AVERAGE(VLOOKUP(E75,weapon_components!$A$8:$M$178,9,0),VLOOKUP(E75,weapon_components!$A$8:$M$178,10,0))+VLOOKUP(E75,weapon_components!$A$8:$M$178,11,0))/10</f>
        <v>3.15</v>
      </c>
      <c r="R75" s="2">
        <f>VLOOKUP(E75,weapon_components!$A$8:$M$178,13,0)</f>
        <v>0.82</v>
      </c>
      <c r="S75" s="25">
        <f>($S$74)*(1+(D75*$F$8))*(1+((C75-1)*$J$3))</f>
        <v>44.64</v>
      </c>
      <c r="T75" s="2">
        <v>0</v>
      </c>
      <c r="U75" s="14">
        <f>-INDEX('Ship Design Balancing'!$K$2:$K$6,'Weapon Formulas'!C75)*(INDEX('Weapon Formulas'!$R$1:$R$3,'Weapon Formulas'!D75+2)*(1+'Weapon Formulas'!B75))</f>
        <v>-13.333333333333332</v>
      </c>
    </row>
    <row r="76" spans="1:21" x14ac:dyDescent="0.25">
      <c r="A76" s="21">
        <f t="shared" ref="A76:A119" si="62">(S76-$I$2)*$J$2</f>
        <v>-3.2399999999999991E-2</v>
      </c>
      <c r="C76" s="2">
        <v>3</v>
      </c>
      <c r="D76" s="2">
        <v>0</v>
      </c>
      <c r="E76" s="16" t="s">
        <v>89</v>
      </c>
      <c r="F76" s="2">
        <f t="shared" ref="F76:F115" si="63">($F$2+(C76*$F$1))*(B76+1)</f>
        <v>7.5</v>
      </c>
      <c r="G76" s="2">
        <f t="shared" ref="G76:G83" si="64">IF(G$74=1,H76,H76/(1-INDEX($O$2:$O$6,C76)))</f>
        <v>3.096774193548387</v>
      </c>
      <c r="H76" s="2">
        <f t="shared" ref="H76:H83" si="65">$F76*(0.32-(0.12*$D76))</f>
        <v>2.4</v>
      </c>
      <c r="I76" s="2">
        <f t="shared" ref="I76:I83" si="66">$F76*(0.68+(0.12*D76))</f>
        <v>5.1000000000000005</v>
      </c>
      <c r="J76" s="2">
        <f t="shared" ref="H76:J86" si="67">$F76*(INDEX($F$3:$F$5,J$9)+(($C76+($D76*$F$7))*INDEX($G$3:$G$5,J$9)))</f>
        <v>1.05</v>
      </c>
      <c r="K76" s="10">
        <f t="shared" si="24"/>
        <v>3.8750000000000018</v>
      </c>
      <c r="L76" s="10">
        <v>0</v>
      </c>
      <c r="M76" s="10">
        <v>1</v>
      </c>
      <c r="N76" s="2">
        <f t="shared" si="49"/>
        <v>6.193548387096774</v>
      </c>
      <c r="O76" s="2">
        <f t="shared" si="60"/>
        <v>18.29032258064516</v>
      </c>
      <c r="P76" s="2">
        <f t="shared" si="61"/>
        <v>30.483870967741929</v>
      </c>
      <c r="Q76" s="2">
        <f>(AVERAGE(VLOOKUP(E76,weapon_components!$A$8:$M$178,9,0),VLOOKUP(E76,weapon_components!$A$8:$M$178,10,0))+VLOOKUP(E76,weapon_components!$A$8:$M$178,11,0))/10</f>
        <v>3.15</v>
      </c>
      <c r="R76" s="2">
        <f>VLOOKUP(E76,weapon_components!$A$8:$M$178,13,0)</f>
        <v>0.8</v>
      </c>
      <c r="S76" s="25">
        <f t="shared" ref="S76:S83" si="68">($S$74)*(1+(D76*$F$8))*(1+((C76-1)*$J$3))</f>
        <v>55.8</v>
      </c>
      <c r="T76" s="2">
        <v>0</v>
      </c>
      <c r="U76" s="14">
        <f>-INDEX('Ship Design Balancing'!$K$2:$K$6,'Weapon Formulas'!C76)*(INDEX('Weapon Formulas'!$R$1:$R$3,'Weapon Formulas'!D76+2)*(1+'Weapon Formulas'!B76))</f>
        <v>-26.666666666666664</v>
      </c>
    </row>
    <row r="77" spans="1:21" x14ac:dyDescent="0.25">
      <c r="A77" s="21">
        <f t="shared" si="62"/>
        <v>-6.587999999999998E-2</v>
      </c>
      <c r="C77" s="2">
        <v>3</v>
      </c>
      <c r="D77" s="2">
        <v>1</v>
      </c>
      <c r="E77" s="16" t="s">
        <v>90</v>
      </c>
      <c r="F77" s="2">
        <f t="shared" si="63"/>
        <v>7.5</v>
      </c>
      <c r="G77" s="2">
        <f t="shared" si="64"/>
        <v>1.9354838709677418</v>
      </c>
      <c r="H77" s="2">
        <f t="shared" si="65"/>
        <v>1.5</v>
      </c>
      <c r="I77" s="2">
        <f t="shared" si="66"/>
        <v>6</v>
      </c>
      <c r="J77" s="2">
        <f t="shared" si="67"/>
        <v>0.89999999999999991</v>
      </c>
      <c r="K77" s="10">
        <f t="shared" si="24"/>
        <v>10.333333333333334</v>
      </c>
      <c r="L77" s="10">
        <v>0</v>
      </c>
      <c r="M77" s="10">
        <v>1</v>
      </c>
      <c r="N77" s="2">
        <f t="shared" si="49"/>
        <v>7.7419354838709671</v>
      </c>
      <c r="O77" s="2">
        <f t="shared" si="60"/>
        <v>24.387096774193544</v>
      </c>
      <c r="P77" s="2">
        <f t="shared" si="61"/>
        <v>40.645161290322569</v>
      </c>
      <c r="Q77" s="2">
        <f>(AVERAGE(VLOOKUP(E77,weapon_components!$A$8:$M$178,9,0),VLOOKUP(E77,weapon_components!$A$8:$M$178,10,0))+VLOOKUP(E77,weapon_components!$A$8:$M$178,11,0))/10</f>
        <v>3.15</v>
      </c>
      <c r="R77" s="2">
        <f>VLOOKUP(E77,weapon_components!$A$8:$M$178,13,0)</f>
        <v>0.75</v>
      </c>
      <c r="S77" s="25">
        <f t="shared" si="68"/>
        <v>66.959999999999994</v>
      </c>
      <c r="T77" s="2">
        <v>0</v>
      </c>
      <c r="U77" s="14">
        <f>-INDEX('Ship Design Balancing'!$K$2:$K$6,'Weapon Formulas'!C77)*(INDEX('Weapon Formulas'!$R$1:$R$3,'Weapon Formulas'!D77+2)*(1+'Weapon Formulas'!B77))</f>
        <v>-53.333333333333329</v>
      </c>
    </row>
    <row r="78" spans="1:21" x14ac:dyDescent="0.25">
      <c r="A78" s="21">
        <f t="shared" si="62"/>
        <v>-1.1879999999999981E-2</v>
      </c>
      <c r="C78" s="2">
        <v>4</v>
      </c>
      <c r="D78" s="2">
        <v>-1</v>
      </c>
      <c r="E78" s="16" t="s">
        <v>91</v>
      </c>
      <c r="F78" s="2">
        <f t="shared" si="63"/>
        <v>10</v>
      </c>
      <c r="G78" s="2">
        <f t="shared" si="64"/>
        <v>6.2857142857142865</v>
      </c>
      <c r="H78" s="2">
        <f t="shared" si="65"/>
        <v>4.4000000000000004</v>
      </c>
      <c r="I78" s="2">
        <f t="shared" si="66"/>
        <v>5.6000000000000005</v>
      </c>
      <c r="J78" s="2">
        <f t="shared" si="67"/>
        <v>1.4000000000000001</v>
      </c>
      <c r="K78" s="10">
        <f t="shared" si="24"/>
        <v>0.63636363636363624</v>
      </c>
      <c r="L78" s="10">
        <v>0</v>
      </c>
      <c r="M78" s="10">
        <v>1</v>
      </c>
      <c r="N78" s="2">
        <f t="shared" si="49"/>
        <v>6.2857142857142865</v>
      </c>
      <c r="O78" s="2">
        <f t="shared" si="60"/>
        <v>18.109756097560975</v>
      </c>
      <c r="P78" s="2">
        <f t="shared" si="61"/>
        <v>30.182926829268297</v>
      </c>
      <c r="Q78" s="2">
        <f>(AVERAGE(VLOOKUP(E78,weapon_components!$A$8:$M$178,9,0),VLOOKUP(E78,weapon_components!$A$8:$M$178,10,0))+VLOOKUP(E78,weapon_components!$A$8:$M$178,11,0))/10</f>
        <v>3.15</v>
      </c>
      <c r="R78" s="2">
        <f>VLOOKUP(E78,weapon_components!$A$8:$M$178,13,0)</f>
        <v>0.82</v>
      </c>
      <c r="S78" s="25">
        <f t="shared" si="68"/>
        <v>48.959999999999994</v>
      </c>
      <c r="T78" s="2">
        <v>0</v>
      </c>
      <c r="U78" s="14">
        <f>-INDEX('Ship Design Balancing'!$K$2:$K$6,'Weapon Formulas'!C78)*(INDEX('Weapon Formulas'!$R$1:$R$3,'Weapon Formulas'!D78+2)*(1+'Weapon Formulas'!B78))</f>
        <v>-26.666666666666664</v>
      </c>
    </row>
    <row r="79" spans="1:21" x14ac:dyDescent="0.25">
      <c r="A79" s="21">
        <f t="shared" si="62"/>
        <v>-4.859999999999999E-2</v>
      </c>
      <c r="C79" s="2">
        <v>4</v>
      </c>
      <c r="D79" s="2">
        <v>0</v>
      </c>
      <c r="E79" s="16" t="s">
        <v>92</v>
      </c>
      <c r="F79" s="2">
        <f t="shared" si="63"/>
        <v>10</v>
      </c>
      <c r="G79" s="2">
        <f t="shared" si="64"/>
        <v>4.5714285714285721</v>
      </c>
      <c r="H79" s="2">
        <f t="shared" si="65"/>
        <v>3.2</v>
      </c>
      <c r="I79" s="2">
        <f t="shared" si="66"/>
        <v>6.8000000000000007</v>
      </c>
      <c r="J79" s="2">
        <f t="shared" si="67"/>
        <v>1.2</v>
      </c>
      <c r="K79" s="10">
        <f t="shared" si="24"/>
        <v>2.625</v>
      </c>
      <c r="L79" s="10">
        <v>0</v>
      </c>
      <c r="M79" s="10">
        <v>1</v>
      </c>
      <c r="N79" s="2">
        <f t="shared" si="49"/>
        <v>9.1428571428571441</v>
      </c>
      <c r="O79" s="2">
        <f t="shared" si="60"/>
        <v>27</v>
      </c>
      <c r="P79" s="2">
        <f t="shared" si="61"/>
        <v>45</v>
      </c>
      <c r="Q79" s="2">
        <f>(AVERAGE(VLOOKUP(E79,weapon_components!$A$8:$M$178,9,0),VLOOKUP(E79,weapon_components!$A$8:$M$178,10,0))+VLOOKUP(E79,weapon_components!$A$8:$M$178,11,0))/10</f>
        <v>3.15</v>
      </c>
      <c r="R79" s="2">
        <f>VLOOKUP(E79,weapon_components!$A$8:$M$178,13,0)</f>
        <v>0.8</v>
      </c>
      <c r="S79" s="25">
        <f t="shared" si="68"/>
        <v>61.199999999999996</v>
      </c>
      <c r="T79" s="2">
        <v>0</v>
      </c>
      <c r="U79" s="14">
        <f>-INDEX('Ship Design Balancing'!$K$2:$K$6,'Weapon Formulas'!C79)*(INDEX('Weapon Formulas'!$R$1:$R$3,'Weapon Formulas'!D79+2)*(1+'Weapon Formulas'!B79))</f>
        <v>-53.333333333333329</v>
      </c>
    </row>
    <row r="80" spans="1:21" x14ac:dyDescent="0.25">
      <c r="A80" s="21">
        <f t="shared" si="62"/>
        <v>-8.5319999999999993E-2</v>
      </c>
      <c r="C80" s="2">
        <v>4</v>
      </c>
      <c r="D80" s="2">
        <v>1</v>
      </c>
      <c r="E80" s="16" t="s">
        <v>93</v>
      </c>
      <c r="F80" s="2">
        <f t="shared" si="63"/>
        <v>10</v>
      </c>
      <c r="G80" s="2">
        <f t="shared" si="64"/>
        <v>2.8571428571428572</v>
      </c>
      <c r="H80" s="2">
        <f t="shared" si="65"/>
        <v>2</v>
      </c>
      <c r="I80" s="2">
        <f t="shared" si="66"/>
        <v>8</v>
      </c>
      <c r="J80" s="2">
        <f t="shared" si="67"/>
        <v>0.99999999999999989</v>
      </c>
      <c r="K80" s="10">
        <f t="shared" si="24"/>
        <v>7</v>
      </c>
      <c r="L80" s="10">
        <v>0</v>
      </c>
      <c r="M80" s="10">
        <v>1</v>
      </c>
      <c r="N80" s="2">
        <f t="shared" si="49"/>
        <v>11.428571428571429</v>
      </c>
      <c r="O80" s="2">
        <f t="shared" si="60"/>
        <v>36</v>
      </c>
      <c r="P80" s="2">
        <f t="shared" si="61"/>
        <v>60</v>
      </c>
      <c r="Q80" s="2">
        <f>(AVERAGE(VLOOKUP(E80,weapon_components!$A$8:$M$178,9,0),VLOOKUP(E80,weapon_components!$A$8:$M$178,10,0))+VLOOKUP(E80,weapon_components!$A$8:$M$178,11,0))/10</f>
        <v>3.15</v>
      </c>
      <c r="R80" s="2">
        <f>VLOOKUP(E80,weapon_components!$A$8:$M$178,13,0)</f>
        <v>0.75</v>
      </c>
      <c r="S80" s="25">
        <f t="shared" si="68"/>
        <v>73.44</v>
      </c>
      <c r="T80" s="2">
        <v>0</v>
      </c>
      <c r="U80" s="14">
        <f>-INDEX('Ship Design Balancing'!$K$2:$K$6,'Weapon Formulas'!C80)*(INDEX('Weapon Formulas'!$R$1:$R$3,'Weapon Formulas'!D80+2)*(1+'Weapon Formulas'!B80))</f>
        <v>-106.66666666666666</v>
      </c>
    </row>
    <row r="81" spans="1:21" x14ac:dyDescent="0.25">
      <c r="A81" s="21">
        <f t="shared" si="62"/>
        <v>-2.4840000000000004E-2</v>
      </c>
      <c r="C81" s="2">
        <v>5</v>
      </c>
      <c r="D81" s="2">
        <v>-1</v>
      </c>
      <c r="E81" s="16" t="s">
        <v>94</v>
      </c>
      <c r="F81" s="2">
        <f t="shared" si="63"/>
        <v>12.5</v>
      </c>
      <c r="G81" s="2">
        <f t="shared" si="64"/>
        <v>8.8000000000000007</v>
      </c>
      <c r="H81" s="2">
        <f t="shared" si="65"/>
        <v>5.5</v>
      </c>
      <c r="I81" s="2">
        <f t="shared" si="66"/>
        <v>7.0000000000000009</v>
      </c>
      <c r="J81" s="2">
        <f t="shared" si="67"/>
        <v>1.5</v>
      </c>
      <c r="K81" s="10">
        <f t="shared" si="24"/>
        <v>0.4545454545454547</v>
      </c>
      <c r="L81" s="10">
        <v>0</v>
      </c>
      <c r="M81" s="10">
        <v>1</v>
      </c>
      <c r="N81" s="2">
        <f t="shared" si="49"/>
        <v>8.8000000000000007</v>
      </c>
      <c r="O81" s="2">
        <f t="shared" si="60"/>
        <v>25.353658536585371</v>
      </c>
      <c r="P81" s="2">
        <f t="shared" si="61"/>
        <v>42.256097560975618</v>
      </c>
      <c r="Q81" s="2">
        <f>(AVERAGE(VLOOKUP(E81,weapon_components!$A$8:$M$178,9,0),VLOOKUP(E81,weapon_components!$A$8:$M$178,10,0))+VLOOKUP(E81,weapon_components!$A$8:$M$178,11,0))/10</f>
        <v>3.15</v>
      </c>
      <c r="R81" s="2">
        <f>VLOOKUP(E81,weapon_components!$A$8:$M$178,13,0)</f>
        <v>0.82</v>
      </c>
      <c r="S81" s="25">
        <f t="shared" si="68"/>
        <v>53.28</v>
      </c>
      <c r="T81" s="2">
        <v>0</v>
      </c>
      <c r="U81" s="14">
        <f>-INDEX('Ship Design Balancing'!$K$2:$K$6,'Weapon Formulas'!C81)*(INDEX('Weapon Formulas'!$R$1:$R$3,'Weapon Formulas'!D81+2)*(1+'Weapon Formulas'!B81))</f>
        <v>-53.333333333333329</v>
      </c>
    </row>
    <row r="82" spans="1:21" x14ac:dyDescent="0.25">
      <c r="A82" s="21">
        <f t="shared" si="62"/>
        <v>-6.4799999999999983E-2</v>
      </c>
      <c r="C82" s="2">
        <v>5</v>
      </c>
      <c r="D82" s="2">
        <v>0</v>
      </c>
      <c r="E82" s="16" t="s">
        <v>95</v>
      </c>
      <c r="F82" s="2">
        <f t="shared" si="63"/>
        <v>12.5</v>
      </c>
      <c r="G82" s="2">
        <f t="shared" si="64"/>
        <v>6.4</v>
      </c>
      <c r="H82" s="2">
        <f t="shared" si="65"/>
        <v>4</v>
      </c>
      <c r="I82" s="2">
        <f t="shared" si="66"/>
        <v>8.5</v>
      </c>
      <c r="J82" s="2">
        <f t="shared" si="67"/>
        <v>1.25</v>
      </c>
      <c r="K82" s="10">
        <f t="shared" si="24"/>
        <v>1.875</v>
      </c>
      <c r="L82" s="10">
        <v>0</v>
      </c>
      <c r="M82" s="10">
        <v>1</v>
      </c>
      <c r="N82" s="2">
        <f t="shared" si="49"/>
        <v>12.8</v>
      </c>
      <c r="O82" s="2">
        <f t="shared" si="60"/>
        <v>37.799999999999997</v>
      </c>
      <c r="P82" s="2">
        <f t="shared" si="61"/>
        <v>63</v>
      </c>
      <c r="Q82" s="2">
        <f>(AVERAGE(VLOOKUP(E82,weapon_components!$A$8:$M$178,9,0),VLOOKUP(E82,weapon_components!$A$8:$M$178,10,0))+VLOOKUP(E82,weapon_components!$A$8:$M$178,11,0))/10</f>
        <v>3.15</v>
      </c>
      <c r="R82" s="2">
        <f>VLOOKUP(E82,weapon_components!$A$8:$M$178,13,0)</f>
        <v>0.8</v>
      </c>
      <c r="S82" s="25">
        <f t="shared" si="68"/>
        <v>66.599999999999994</v>
      </c>
      <c r="T82" s="2">
        <v>0</v>
      </c>
      <c r="U82" s="14">
        <f>-INDEX('Ship Design Balancing'!$K$2:$K$6,'Weapon Formulas'!C82)*(INDEX('Weapon Formulas'!$R$1:$R$3,'Weapon Formulas'!D82+2)*(1+'Weapon Formulas'!B82))</f>
        <v>-106.66666666666666</v>
      </c>
    </row>
    <row r="83" spans="1:21" x14ac:dyDescent="0.25">
      <c r="A83" s="21">
        <f t="shared" si="62"/>
        <v>-0.10476000000000001</v>
      </c>
      <c r="C83" s="2">
        <v>5</v>
      </c>
      <c r="D83" s="2">
        <v>1</v>
      </c>
      <c r="E83" s="16" t="s">
        <v>96</v>
      </c>
      <c r="F83" s="2">
        <f t="shared" si="63"/>
        <v>12.5</v>
      </c>
      <c r="G83" s="2">
        <f t="shared" si="64"/>
        <v>4</v>
      </c>
      <c r="H83" s="2">
        <f t="shared" si="65"/>
        <v>2.5</v>
      </c>
      <c r="I83" s="2">
        <f t="shared" si="66"/>
        <v>10</v>
      </c>
      <c r="J83" s="2">
        <f t="shared" si="67"/>
        <v>0.99999999999999989</v>
      </c>
      <c r="K83" s="10">
        <f t="shared" si="24"/>
        <v>5</v>
      </c>
      <c r="L83" s="10">
        <v>0</v>
      </c>
      <c r="M83" s="10">
        <v>1</v>
      </c>
      <c r="N83" s="2">
        <f t="shared" si="49"/>
        <v>16.000000000000004</v>
      </c>
      <c r="O83" s="2">
        <f t="shared" si="60"/>
        <v>50.400000000000006</v>
      </c>
      <c r="P83" s="2">
        <f t="shared" si="61"/>
        <v>84</v>
      </c>
      <c r="Q83" s="2">
        <f>(AVERAGE(VLOOKUP(E83,weapon_components!$A$8:$M$178,9,0),VLOOKUP(E83,weapon_components!$A$8:$M$178,10,0))+VLOOKUP(E83,weapon_components!$A$8:$M$178,11,0))/10</f>
        <v>3.15</v>
      </c>
      <c r="R83" s="2">
        <f>VLOOKUP(E83,weapon_components!$A$8:$M$178,13,0)</f>
        <v>0.75</v>
      </c>
      <c r="S83" s="25">
        <f t="shared" si="68"/>
        <v>79.92</v>
      </c>
      <c r="T83" s="2">
        <v>0</v>
      </c>
      <c r="U83" s="14">
        <f>-INDEX('Ship Design Balancing'!$K$2:$K$6,'Weapon Formulas'!C83)*(INDEX('Weapon Formulas'!$R$1:$R$3,'Weapon Formulas'!D83+2)*(1+'Weapon Formulas'!B83))</f>
        <v>-213.33333333333331</v>
      </c>
    </row>
    <row r="84" spans="1:21" x14ac:dyDescent="0.25">
      <c r="A84" s="21">
        <f t="shared" si="62"/>
        <v>0.13500000000000001</v>
      </c>
      <c r="E84" s="3" t="s">
        <v>97</v>
      </c>
      <c r="F84" s="2" t="s">
        <v>140</v>
      </c>
      <c r="G84" s="2">
        <v>0</v>
      </c>
      <c r="H84" s="13" t="s">
        <v>248</v>
      </c>
      <c r="I84" s="2"/>
      <c r="J84" s="2"/>
      <c r="K84" s="10"/>
      <c r="L84" s="10"/>
      <c r="M84" s="10"/>
      <c r="N84" s="2"/>
      <c r="O84" s="2"/>
      <c r="P84" s="2"/>
      <c r="Q84" s="2"/>
      <c r="R84" s="13" t="s">
        <v>247</v>
      </c>
      <c r="S84" s="2"/>
      <c r="T84" s="2">
        <v>0</v>
      </c>
      <c r="U84" s="14"/>
    </row>
    <row r="85" spans="1:21" x14ac:dyDescent="0.25">
      <c r="A85" s="21">
        <f t="shared" si="62"/>
        <v>0.09</v>
      </c>
      <c r="C85">
        <v>4</v>
      </c>
      <c r="D85">
        <v>1</v>
      </c>
      <c r="E85" s="5" t="s">
        <v>98</v>
      </c>
      <c r="F85" s="2">
        <f t="shared" si="63"/>
        <v>10</v>
      </c>
      <c r="G85" s="2">
        <f>IF(G$84=1,H85,H85/(1-INDEX($O$2:$O$6,C85)))</f>
        <v>21.428571428571431</v>
      </c>
      <c r="H85" s="2">
        <f t="shared" si="67"/>
        <v>15</v>
      </c>
      <c r="I85" s="2">
        <f t="shared" si="67"/>
        <v>3.9999999999999996</v>
      </c>
      <c r="J85" s="2">
        <f t="shared" si="67"/>
        <v>0.99999999999999989</v>
      </c>
      <c r="K85" s="10">
        <v>-1</v>
      </c>
      <c r="L85" s="10">
        <f t="shared" ref="L85" si="69">J85/F85</f>
        <v>9.9999999999999992E-2</v>
      </c>
      <c r="M85" s="10">
        <v>0</v>
      </c>
      <c r="N85" s="2">
        <f t="shared" si="49"/>
        <v>2.56</v>
      </c>
      <c r="O85" s="2">
        <v>3</v>
      </c>
      <c r="P85" s="2">
        <v>5</v>
      </c>
      <c r="Q85" s="2">
        <f>(AVERAGE(VLOOKUP(E85,weapon_components!$A$8:$M$178,9,0),VLOOKUP(E85,weapon_components!$A$8:$M$178,10,0))+VLOOKUP(E85,weapon_components!$A$8:$M$178,11,0))/10</f>
        <v>1.25</v>
      </c>
      <c r="R85" s="2">
        <v>0.8</v>
      </c>
      <c r="S85" s="2">
        <v>15</v>
      </c>
      <c r="T85" s="2">
        <v>0</v>
      </c>
      <c r="U85" s="14">
        <f>-INDEX('Ship Design Balancing'!$K$2:$K$6,'Weapon Formulas'!C85)*(INDEX('Weapon Formulas'!$R$1:$R$3,'Weapon Formulas'!D85+2)*(1+'Weapon Formulas'!B85))</f>
        <v>-106.66666666666666</v>
      </c>
    </row>
    <row r="86" spans="1:21" x14ac:dyDescent="0.25">
      <c r="A86" s="21">
        <f t="shared" si="62"/>
        <v>7.4999999999999997E-2</v>
      </c>
      <c r="C86">
        <v>5</v>
      </c>
      <c r="D86">
        <v>1</v>
      </c>
      <c r="E86" s="5" t="s">
        <v>99</v>
      </c>
      <c r="F86" s="2">
        <f t="shared" si="63"/>
        <v>12.5</v>
      </c>
      <c r="G86" s="2">
        <f>IF(G$84=1,H86,H86/(1-INDEX($O$2:$O$6,C86)))</f>
        <v>32</v>
      </c>
      <c r="H86" s="2">
        <f t="shared" si="67"/>
        <v>20</v>
      </c>
      <c r="I86" s="2">
        <f t="shared" si="67"/>
        <v>3.9999999999999996</v>
      </c>
      <c r="J86" s="2">
        <f t="shared" si="67"/>
        <v>0.99999999999999989</v>
      </c>
      <c r="K86" s="10">
        <v>-1</v>
      </c>
      <c r="L86" s="10">
        <v>0.1</v>
      </c>
      <c r="M86" s="10">
        <v>0</v>
      </c>
      <c r="N86" s="2">
        <f>(AVERAGE(O86,P86)*R86)/Q86</f>
        <v>2.1333333333333333</v>
      </c>
      <c r="O86" s="2">
        <v>3</v>
      </c>
      <c r="P86" s="2">
        <v>5</v>
      </c>
      <c r="Q86" s="2">
        <f>(AVERAGE(VLOOKUP(E86,weapon_components!$A$8:$M$178,9,0),VLOOKUP(E86,weapon_components!$A$8:$M$178,10,0))+VLOOKUP(E86,weapon_components!$A$8:$M$178,11,0))/10</f>
        <v>1.5</v>
      </c>
      <c r="R86" s="2">
        <v>0.8</v>
      </c>
      <c r="S86" s="9">
        <v>20</v>
      </c>
      <c r="T86" s="2">
        <v>0</v>
      </c>
      <c r="U86" s="14">
        <f>-INDEX('Ship Design Balancing'!$K$2:$K$6,'Weapon Formulas'!C86)*(INDEX('Weapon Formulas'!$R$1:$R$3,'Weapon Formulas'!D86+2)*(1+'Weapon Formulas'!B86))</f>
        <v>-213.33333333333331</v>
      </c>
    </row>
    <row r="87" spans="1:21" s="14" customFormat="1" x14ac:dyDescent="0.25">
      <c r="A87" s="21">
        <f t="shared" si="62"/>
        <v>-4.4999999999999998E-2</v>
      </c>
      <c r="B87" s="13"/>
      <c r="C87" s="13"/>
      <c r="D87" s="13"/>
      <c r="E87" s="17" t="s">
        <v>100</v>
      </c>
      <c r="F87" s="13" t="s">
        <v>140</v>
      </c>
      <c r="G87" s="13">
        <v>1</v>
      </c>
      <c r="H87" s="13">
        <v>1</v>
      </c>
      <c r="I87" s="13">
        <v>2</v>
      </c>
      <c r="J87" s="13">
        <v>1</v>
      </c>
      <c r="K87" s="18"/>
      <c r="L87" s="18"/>
      <c r="M87" s="18"/>
      <c r="N87" s="13"/>
      <c r="O87" s="13"/>
      <c r="P87" s="13"/>
      <c r="R87" s="13" t="s">
        <v>247</v>
      </c>
      <c r="S87" s="2">
        <v>60</v>
      </c>
      <c r="T87" s="2">
        <v>0</v>
      </c>
    </row>
    <row r="88" spans="1:21" x14ac:dyDescent="0.25">
      <c r="A88" s="21">
        <f t="shared" si="62"/>
        <v>-9.0000000000000011E-3</v>
      </c>
      <c r="C88" s="2">
        <v>1</v>
      </c>
      <c r="D88" s="2">
        <v>-1</v>
      </c>
      <c r="E88" s="5" t="s">
        <v>101</v>
      </c>
      <c r="F88" s="2">
        <f t="shared" si="63"/>
        <v>2.5</v>
      </c>
      <c r="G88" s="2">
        <f>IF(G$87=1,H88,H88/(1-INDEX($O$2:$O$6,C88)))</f>
        <v>2.5</v>
      </c>
      <c r="H88" s="2">
        <f>$F88*(INDEX($F$3:$F$5,H$87)+(($C88+($D88*$F$7))*INDEX($G$3:$G$5,H$9)))</f>
        <v>2.5</v>
      </c>
      <c r="I88" s="2">
        <f t="shared" ref="H88:J102" si="70">$F88*(INDEX($F$3:$F$5,I$87)+(($C88+($D88*$F$7))*INDEX($G$3:$G$5,I$9)))</f>
        <v>2</v>
      </c>
      <c r="J88" s="2">
        <f>$F88*(INDEX($F$3:$F$5,J$87)+(($C88+($D88*$F$7))*INDEX($G$3:$G$5,J$9)))</f>
        <v>2.5</v>
      </c>
      <c r="K88" s="10">
        <f t="shared" si="24"/>
        <v>-1.6666666666666661</v>
      </c>
      <c r="L88" s="10">
        <v>0</v>
      </c>
      <c r="M88" s="10">
        <v>1</v>
      </c>
      <c r="N88" s="2">
        <f t="shared" si="49"/>
        <v>2.5</v>
      </c>
      <c r="O88" s="2">
        <f>0.75*(((G88*INDEX($R$1:$R$3,$D88+2))*Q88)/R88)</f>
        <v>10.3125</v>
      </c>
      <c r="P88" s="2">
        <f>1.25*(((G88*INDEX($R$1:$R$3,$D88+2))*Q88)/R88)</f>
        <v>17.1875</v>
      </c>
      <c r="Q88" s="2">
        <f>(AVERAGE(VLOOKUP(E88,weapon_components!$A$8:$M$178,9,0),VLOOKUP(E88,weapon_components!$A$8:$M$178,10,0))+VLOOKUP(E88,weapon_components!$A$8:$M$178,11,0))/10</f>
        <v>5.5</v>
      </c>
      <c r="R88" s="2">
        <f>VLOOKUP(E88,weapon_components!$A$8:$M$178,13,0)</f>
        <v>1</v>
      </c>
      <c r="S88" s="25">
        <f>($S$87)*(1+(D88*$F$8))*(1+((C88-1)*$J$3))</f>
        <v>48</v>
      </c>
      <c r="T88" s="2">
        <f>INDEX($T$2:$T$6,C88)</f>
        <v>2.5</v>
      </c>
      <c r="U88" s="14">
        <f>-INDEX('Ship Design Balancing'!$K$2:$K$6,'Weapon Formulas'!C88)*(INDEX('Weapon Formulas'!$R$1:$R$3,'Weapon Formulas'!D88+2)*(1+'Weapon Formulas'!B88))</f>
        <v>-3.333333333333333</v>
      </c>
    </row>
    <row r="89" spans="1:21" x14ac:dyDescent="0.25">
      <c r="A89" s="21">
        <f t="shared" si="62"/>
        <v>-4.4999999999999998E-2</v>
      </c>
      <c r="C89" s="2">
        <v>1</v>
      </c>
      <c r="D89" s="2">
        <v>0</v>
      </c>
      <c r="E89" s="5" t="s">
        <v>102</v>
      </c>
      <c r="F89" s="2">
        <f t="shared" si="63"/>
        <v>2.5</v>
      </c>
      <c r="G89" s="2">
        <f t="shared" ref="G89:G102" si="71">IF(G$87=1,H89,H89/(1-INDEX($O$2:$O$6,C89)))</f>
        <v>2.75</v>
      </c>
      <c r="H89" s="2">
        <f t="shared" si="70"/>
        <v>2.75</v>
      </c>
      <c r="I89" s="2">
        <f t="shared" si="70"/>
        <v>1.7999999999999998</v>
      </c>
      <c r="J89" s="2">
        <f t="shared" si="70"/>
        <v>2.4500000000000002</v>
      </c>
      <c r="K89" s="10">
        <f t="shared" si="24"/>
        <v>-3.6060606060606082</v>
      </c>
      <c r="L89" s="10">
        <v>0</v>
      </c>
      <c r="M89" s="10">
        <v>1</v>
      </c>
      <c r="N89" s="2">
        <f t="shared" si="49"/>
        <v>5.5</v>
      </c>
      <c r="O89" s="2">
        <f>0.75*(((G89*INDEX($R$1:$R$3,$D89+2))*Q89)/R89)</f>
        <v>22.6875</v>
      </c>
      <c r="P89" s="2">
        <f>1.25*(((G89*INDEX($R$1:$R$3,$D89+2))*Q89)/R89)</f>
        <v>37.8125</v>
      </c>
      <c r="Q89" s="2">
        <f>(AVERAGE(VLOOKUP(E89,weapon_components!$A$8:$M$178,9,0),VLOOKUP(E89,weapon_components!$A$8:$M$178,10,0))+VLOOKUP(E89,weapon_components!$A$8:$M$178,11,0))/10</f>
        <v>5.5</v>
      </c>
      <c r="R89" s="2">
        <f>VLOOKUP(E89,weapon_components!$A$8:$M$178,13,0)</f>
        <v>1</v>
      </c>
      <c r="S89" s="25">
        <f t="shared" ref="S89:S104" si="72">($S$87)*(1+(D89*$F$8))*(1+((C89-1)*$J$3))</f>
        <v>60</v>
      </c>
      <c r="T89" s="2">
        <f t="shared" ref="T89:T115" si="73">INDEX($T$2:$T$6,C89)</f>
        <v>2.5</v>
      </c>
      <c r="U89" s="14">
        <f>-INDEX('Ship Design Balancing'!$K$2:$K$6,'Weapon Formulas'!C89)*(INDEX('Weapon Formulas'!$R$1:$R$3,'Weapon Formulas'!D89+2)*(1+'Weapon Formulas'!B89))</f>
        <v>-6.6666666666666661</v>
      </c>
    </row>
    <row r="90" spans="1:21" x14ac:dyDescent="0.25">
      <c r="A90" s="21">
        <f t="shared" si="62"/>
        <v>-8.1000000000000003E-2</v>
      </c>
      <c r="C90" s="2">
        <v>1</v>
      </c>
      <c r="D90" s="2">
        <v>1</v>
      </c>
      <c r="E90" s="5" t="s">
        <v>103</v>
      </c>
      <c r="F90" s="2">
        <f>($F$2+(C90*$F$1))*(B90+1)</f>
        <v>2.5</v>
      </c>
      <c r="G90" s="2">
        <f t="shared" si="71"/>
        <v>3</v>
      </c>
      <c r="H90" s="2">
        <f t="shared" si="70"/>
        <v>3</v>
      </c>
      <c r="I90" s="2">
        <f t="shared" si="70"/>
        <v>1.6</v>
      </c>
      <c r="J90" s="2">
        <f t="shared" si="70"/>
        <v>2.4</v>
      </c>
      <c r="K90" s="10">
        <f t="shared" ref="K90:K102" si="74">1-((1-(I90/G90))/INDEX($P$2:$P$6,C90))</f>
        <v>-5.2222222222222223</v>
      </c>
      <c r="L90" s="10">
        <v>0</v>
      </c>
      <c r="M90" s="10">
        <v>1</v>
      </c>
      <c r="N90" s="2">
        <f t="shared" ref="N90:N115" si="75">(AVERAGE(O90,P90)*R90)/Q90</f>
        <v>12</v>
      </c>
      <c r="O90" s="2">
        <f t="shared" ref="O90:O115" si="76">0.75*(((G90*INDEX($R$1:$R$3,$D90+2))*Q90)/R90)</f>
        <v>49.5</v>
      </c>
      <c r="P90" s="2">
        <f t="shared" ref="P90:P115" si="77">1.25*(((G90*INDEX($R$1:$R$3,$D90+2))*Q90)/R90)</f>
        <v>82.5</v>
      </c>
      <c r="Q90" s="2">
        <f>(AVERAGE(VLOOKUP(E90,weapon_components!$A$8:$M$178,9,0),VLOOKUP(E90,weapon_components!$A$8:$M$178,10,0))+VLOOKUP(E90,weapon_components!$A$8:$M$178,11,0))/10</f>
        <v>5.5</v>
      </c>
      <c r="R90" s="2">
        <f>VLOOKUP(E90,weapon_components!$A$8:$M$178,13,0)</f>
        <v>1</v>
      </c>
      <c r="S90" s="25">
        <f t="shared" si="72"/>
        <v>72</v>
      </c>
      <c r="T90" s="2">
        <f t="shared" si="73"/>
        <v>2.5</v>
      </c>
      <c r="U90" s="14">
        <f>-INDEX('Ship Design Balancing'!$K$2:$K$6,'Weapon Formulas'!C90)*(INDEX('Weapon Formulas'!$R$1:$R$3,'Weapon Formulas'!D90+2)*(1+'Weapon Formulas'!B90))</f>
        <v>-13.333333333333332</v>
      </c>
    </row>
    <row r="91" spans="1:21" x14ac:dyDescent="0.25">
      <c r="A91" s="21">
        <f t="shared" si="62"/>
        <v>-2.6280000000000015E-2</v>
      </c>
      <c r="C91" s="2">
        <v>2</v>
      </c>
      <c r="D91" s="2">
        <v>-1</v>
      </c>
      <c r="E91" s="5" t="s">
        <v>104</v>
      </c>
      <c r="F91" s="2">
        <f t="shared" si="63"/>
        <v>5</v>
      </c>
      <c r="G91" s="2">
        <f t="shared" si="71"/>
        <v>5.5</v>
      </c>
      <c r="H91" s="2">
        <f t="shared" si="70"/>
        <v>5.5</v>
      </c>
      <c r="I91" s="2">
        <f t="shared" si="70"/>
        <v>3.5999999999999996</v>
      </c>
      <c r="J91" s="2">
        <f t="shared" si="70"/>
        <v>4.9000000000000004</v>
      </c>
      <c r="K91" s="10">
        <f t="shared" si="74"/>
        <v>-1.3030303030303041</v>
      </c>
      <c r="L91" s="10">
        <v>0</v>
      </c>
      <c r="M91" s="10">
        <v>1</v>
      </c>
      <c r="N91" s="2">
        <f t="shared" si="75"/>
        <v>5.5</v>
      </c>
      <c r="O91" s="2">
        <f t="shared" si="76"/>
        <v>22.6875</v>
      </c>
      <c r="P91" s="2">
        <f t="shared" si="77"/>
        <v>37.8125</v>
      </c>
      <c r="Q91" s="2">
        <f>(AVERAGE(VLOOKUP(E91,weapon_components!$A$8:$M$178,9,0),VLOOKUP(E91,weapon_components!$A$8:$M$178,10,0))+VLOOKUP(E91,weapon_components!$A$8:$M$178,11,0))/10</f>
        <v>5.5</v>
      </c>
      <c r="R91" s="2">
        <f>VLOOKUP(E91,weapon_components!$A$8:$M$178,13,0)</f>
        <v>1</v>
      </c>
      <c r="S91" s="25">
        <f t="shared" si="72"/>
        <v>53.760000000000005</v>
      </c>
      <c r="T91" s="2">
        <f t="shared" si="73"/>
        <v>3.75</v>
      </c>
      <c r="U91" s="14">
        <f>-INDEX('Ship Design Balancing'!$K$2:$K$6,'Weapon Formulas'!C91)*(INDEX('Weapon Formulas'!$R$1:$R$3,'Weapon Formulas'!D91+2)*(1+'Weapon Formulas'!B91))</f>
        <v>-6.6666666666666661</v>
      </c>
    </row>
    <row r="92" spans="1:21" x14ac:dyDescent="0.25">
      <c r="A92" s="21">
        <f t="shared" si="62"/>
        <v>-6.6600000000000006E-2</v>
      </c>
      <c r="C92" s="2">
        <v>2</v>
      </c>
      <c r="D92" s="2">
        <v>0</v>
      </c>
      <c r="E92" s="5" t="s">
        <v>105</v>
      </c>
      <c r="F92" s="2">
        <f t="shared" si="63"/>
        <v>5</v>
      </c>
      <c r="G92" s="2">
        <f t="shared" si="71"/>
        <v>6</v>
      </c>
      <c r="H92" s="2">
        <f t="shared" si="70"/>
        <v>6</v>
      </c>
      <c r="I92" s="2">
        <f t="shared" si="70"/>
        <v>3.2</v>
      </c>
      <c r="J92" s="2">
        <f t="shared" si="70"/>
        <v>4.8</v>
      </c>
      <c r="K92" s="10">
        <f t="shared" si="74"/>
        <v>-2.1111111111111112</v>
      </c>
      <c r="L92" s="10">
        <v>0</v>
      </c>
      <c r="M92" s="10">
        <v>1</v>
      </c>
      <c r="N92" s="2">
        <f t="shared" si="75"/>
        <v>12</v>
      </c>
      <c r="O92" s="2">
        <f t="shared" si="76"/>
        <v>49.5</v>
      </c>
      <c r="P92" s="2">
        <f t="shared" si="77"/>
        <v>82.5</v>
      </c>
      <c r="Q92" s="2">
        <f>(AVERAGE(VLOOKUP(E92,weapon_components!$A$8:$M$178,9,0),VLOOKUP(E92,weapon_components!$A$8:$M$178,10,0))+VLOOKUP(E92,weapon_components!$A$8:$M$178,11,0))/10</f>
        <v>5.5</v>
      </c>
      <c r="R92" s="2">
        <f>VLOOKUP(E92,weapon_components!$A$8:$M$178,13,0)</f>
        <v>1</v>
      </c>
      <c r="S92" s="25">
        <f t="shared" si="72"/>
        <v>67.2</v>
      </c>
      <c r="T92" s="2">
        <f t="shared" si="73"/>
        <v>3.75</v>
      </c>
      <c r="U92" s="14">
        <f>-INDEX('Ship Design Balancing'!$K$2:$K$6,'Weapon Formulas'!C92)*(INDEX('Weapon Formulas'!$R$1:$R$3,'Weapon Formulas'!D92+2)*(1+'Weapon Formulas'!B92))</f>
        <v>-13.333333333333332</v>
      </c>
    </row>
    <row r="93" spans="1:21" x14ac:dyDescent="0.25">
      <c r="A93" s="21">
        <f t="shared" si="62"/>
        <v>-0.10692000000000004</v>
      </c>
      <c r="C93" s="2">
        <v>2</v>
      </c>
      <c r="D93" s="2">
        <v>1</v>
      </c>
      <c r="E93" s="5" t="s">
        <v>106</v>
      </c>
      <c r="F93" s="2">
        <f t="shared" si="63"/>
        <v>5</v>
      </c>
      <c r="G93" s="2">
        <f t="shared" si="71"/>
        <v>6.5</v>
      </c>
      <c r="H93" s="2">
        <f t="shared" si="70"/>
        <v>6.5</v>
      </c>
      <c r="I93" s="2">
        <f t="shared" si="70"/>
        <v>2.8000000000000003</v>
      </c>
      <c r="J93" s="2">
        <f t="shared" si="70"/>
        <v>4.6999999999999993</v>
      </c>
      <c r="K93" s="10">
        <f t="shared" si="74"/>
        <v>-2.7948717948717947</v>
      </c>
      <c r="L93" s="10">
        <v>0</v>
      </c>
      <c r="M93" s="10">
        <v>1</v>
      </c>
      <c r="N93" s="2">
        <f t="shared" si="75"/>
        <v>26</v>
      </c>
      <c r="O93" s="2">
        <f t="shared" si="76"/>
        <v>107.25</v>
      </c>
      <c r="P93" s="2">
        <f t="shared" si="77"/>
        <v>178.75</v>
      </c>
      <c r="Q93" s="2">
        <f>(AVERAGE(VLOOKUP(E93,weapon_components!$A$8:$M$178,9,0),VLOOKUP(E93,weapon_components!$A$8:$M$178,10,0))+VLOOKUP(E93,weapon_components!$A$8:$M$178,11,0))/10</f>
        <v>5.5</v>
      </c>
      <c r="R93" s="2">
        <f>VLOOKUP(E93,weapon_components!$A$8:$M$178,13,0)</f>
        <v>1</v>
      </c>
      <c r="S93" s="25">
        <f t="shared" si="72"/>
        <v>80.640000000000015</v>
      </c>
      <c r="T93" s="2">
        <f t="shared" si="73"/>
        <v>3.75</v>
      </c>
      <c r="U93" s="14">
        <f>-INDEX('Ship Design Balancing'!$K$2:$K$6,'Weapon Formulas'!C93)*(INDEX('Weapon Formulas'!$R$1:$R$3,'Weapon Formulas'!D93+2)*(1+'Weapon Formulas'!B93))</f>
        <v>-26.666666666666664</v>
      </c>
    </row>
    <row r="94" spans="1:21" x14ac:dyDescent="0.25">
      <c r="A94" s="21">
        <f t="shared" si="62"/>
        <v>-4.3559999999999988E-2</v>
      </c>
      <c r="C94" s="2">
        <v>3</v>
      </c>
      <c r="D94" s="2">
        <v>-1</v>
      </c>
      <c r="E94" s="5" t="s">
        <v>107</v>
      </c>
      <c r="F94" s="2">
        <f t="shared" si="63"/>
        <v>7.5</v>
      </c>
      <c r="G94" s="2">
        <f t="shared" si="71"/>
        <v>9</v>
      </c>
      <c r="H94" s="2">
        <f t="shared" si="70"/>
        <v>9</v>
      </c>
      <c r="I94" s="2">
        <f t="shared" si="70"/>
        <v>4.8</v>
      </c>
      <c r="J94" s="2">
        <f t="shared" si="70"/>
        <v>7.1999999999999993</v>
      </c>
      <c r="K94" s="10">
        <f t="shared" si="74"/>
        <v>-1.0740740740740744</v>
      </c>
      <c r="L94" s="10">
        <v>0</v>
      </c>
      <c r="M94" s="10">
        <v>1</v>
      </c>
      <c r="N94" s="2">
        <f t="shared" si="75"/>
        <v>9</v>
      </c>
      <c r="O94" s="2">
        <f t="shared" si="76"/>
        <v>37.125</v>
      </c>
      <c r="P94" s="2">
        <f t="shared" si="77"/>
        <v>61.875</v>
      </c>
      <c r="Q94" s="2">
        <f>(AVERAGE(VLOOKUP(E94,weapon_components!$A$8:$M$178,9,0),VLOOKUP(E94,weapon_components!$A$8:$M$178,10,0))+VLOOKUP(E94,weapon_components!$A$8:$M$178,11,0))/10</f>
        <v>5.5</v>
      </c>
      <c r="R94" s="2">
        <f>VLOOKUP(E94,weapon_components!$A$8:$M$178,13,0)</f>
        <v>1</v>
      </c>
      <c r="S94" s="25">
        <f t="shared" si="72"/>
        <v>59.519999999999996</v>
      </c>
      <c r="T94" s="2">
        <f t="shared" si="73"/>
        <v>5</v>
      </c>
      <c r="U94" s="14">
        <f>-INDEX('Ship Design Balancing'!$K$2:$K$6,'Weapon Formulas'!C94)*(INDEX('Weapon Formulas'!$R$1:$R$3,'Weapon Formulas'!D94+2)*(1+'Weapon Formulas'!B94))</f>
        <v>-13.333333333333332</v>
      </c>
    </row>
    <row r="95" spans="1:21" x14ac:dyDescent="0.25">
      <c r="A95" s="21">
        <f t="shared" si="62"/>
        <v>-8.8200000000000014E-2</v>
      </c>
      <c r="C95" s="2">
        <v>3</v>
      </c>
      <c r="D95" s="2">
        <v>0</v>
      </c>
      <c r="E95" s="5" t="s">
        <v>108</v>
      </c>
      <c r="F95" s="2">
        <f t="shared" si="63"/>
        <v>7.5</v>
      </c>
      <c r="G95" s="2">
        <f t="shared" si="71"/>
        <v>9.75</v>
      </c>
      <c r="H95" s="2">
        <f t="shared" si="70"/>
        <v>9.75</v>
      </c>
      <c r="I95" s="2">
        <f t="shared" si="70"/>
        <v>4.2</v>
      </c>
      <c r="J95" s="2">
        <f t="shared" si="70"/>
        <v>7.05</v>
      </c>
      <c r="K95" s="10">
        <f t="shared" si="74"/>
        <v>-1.5299145299145303</v>
      </c>
      <c r="L95" s="10">
        <v>0</v>
      </c>
      <c r="M95" s="10">
        <v>1</v>
      </c>
      <c r="N95" s="2">
        <f t="shared" si="75"/>
        <v>19.5</v>
      </c>
      <c r="O95" s="2">
        <f t="shared" si="76"/>
        <v>80.4375</v>
      </c>
      <c r="P95" s="2">
        <f t="shared" si="77"/>
        <v>134.0625</v>
      </c>
      <c r="Q95" s="2">
        <f>(AVERAGE(VLOOKUP(E95,weapon_components!$A$8:$M$178,9,0),VLOOKUP(E95,weapon_components!$A$8:$M$178,10,0))+VLOOKUP(E95,weapon_components!$A$8:$M$178,11,0))/10</f>
        <v>5.5</v>
      </c>
      <c r="R95" s="2">
        <f>VLOOKUP(E95,weapon_components!$A$8:$M$178,13,0)</f>
        <v>1</v>
      </c>
      <c r="S95" s="25">
        <f t="shared" si="72"/>
        <v>74.400000000000006</v>
      </c>
      <c r="T95" s="2">
        <f t="shared" si="73"/>
        <v>5</v>
      </c>
      <c r="U95" s="14">
        <f>-INDEX('Ship Design Balancing'!$K$2:$K$6,'Weapon Formulas'!C95)*(INDEX('Weapon Formulas'!$R$1:$R$3,'Weapon Formulas'!D95+2)*(1+'Weapon Formulas'!B95))</f>
        <v>-26.666666666666664</v>
      </c>
    </row>
    <row r="96" spans="1:21" x14ac:dyDescent="0.25">
      <c r="A96" s="21">
        <f t="shared" si="62"/>
        <v>-0.13284000000000001</v>
      </c>
      <c r="C96" s="2">
        <v>3</v>
      </c>
      <c r="D96" s="2">
        <v>1</v>
      </c>
      <c r="E96" s="5" t="s">
        <v>109</v>
      </c>
      <c r="F96" s="2">
        <f t="shared" si="63"/>
        <v>7.5</v>
      </c>
      <c r="G96" s="2">
        <f t="shared" si="71"/>
        <v>10.5</v>
      </c>
      <c r="H96" s="2">
        <f t="shared" si="70"/>
        <v>10.5</v>
      </c>
      <c r="I96" s="2">
        <f t="shared" si="70"/>
        <v>3.5999999999999996</v>
      </c>
      <c r="J96" s="2">
        <f t="shared" si="70"/>
        <v>6.8999999999999995</v>
      </c>
      <c r="K96" s="10">
        <f t="shared" si="74"/>
        <v>-1.9206349206349214</v>
      </c>
      <c r="L96" s="10">
        <v>0</v>
      </c>
      <c r="M96" s="10">
        <v>1</v>
      </c>
      <c r="N96" s="2">
        <f t="shared" si="75"/>
        <v>42</v>
      </c>
      <c r="O96" s="2">
        <f t="shared" si="76"/>
        <v>173.25</v>
      </c>
      <c r="P96" s="2">
        <f t="shared" si="77"/>
        <v>288.75</v>
      </c>
      <c r="Q96" s="2">
        <f>(AVERAGE(VLOOKUP(E96,weapon_components!$A$8:$M$178,9,0),VLOOKUP(E96,weapon_components!$A$8:$M$178,10,0))+VLOOKUP(E96,weapon_components!$A$8:$M$178,11,0))/10</f>
        <v>5.5</v>
      </c>
      <c r="R96" s="2">
        <f>VLOOKUP(E96,weapon_components!$A$8:$M$178,13,0)</f>
        <v>1</v>
      </c>
      <c r="S96" s="25">
        <f t="shared" si="72"/>
        <v>89.28</v>
      </c>
      <c r="T96" s="2">
        <f t="shared" si="73"/>
        <v>5</v>
      </c>
      <c r="U96" s="14">
        <f>-INDEX('Ship Design Balancing'!$K$2:$K$6,'Weapon Formulas'!C96)*(INDEX('Weapon Formulas'!$R$1:$R$3,'Weapon Formulas'!D96+2)*(1+'Weapon Formulas'!B96))</f>
        <v>-53.333333333333329</v>
      </c>
    </row>
    <row r="97" spans="1:21" x14ac:dyDescent="0.25">
      <c r="A97" s="21">
        <f t="shared" si="62"/>
        <v>-6.0840000000000005E-2</v>
      </c>
      <c r="C97" s="2">
        <v>4</v>
      </c>
      <c r="D97" s="2">
        <v>-1</v>
      </c>
      <c r="E97" s="5" t="s">
        <v>110</v>
      </c>
      <c r="F97" s="2">
        <f t="shared" si="63"/>
        <v>10</v>
      </c>
      <c r="G97" s="2">
        <f t="shared" si="71"/>
        <v>13</v>
      </c>
      <c r="H97" s="2">
        <f t="shared" si="70"/>
        <v>13</v>
      </c>
      <c r="I97" s="2">
        <f t="shared" si="70"/>
        <v>5.6000000000000005</v>
      </c>
      <c r="J97" s="2">
        <f t="shared" si="70"/>
        <v>9.3999999999999986</v>
      </c>
      <c r="K97" s="10">
        <f t="shared" si="74"/>
        <v>-0.89743589743589736</v>
      </c>
      <c r="L97" s="10">
        <v>0</v>
      </c>
      <c r="M97" s="10">
        <v>1</v>
      </c>
      <c r="N97" s="2">
        <f t="shared" si="75"/>
        <v>13</v>
      </c>
      <c r="O97" s="2">
        <f t="shared" si="76"/>
        <v>53.625</v>
      </c>
      <c r="P97" s="2">
        <f t="shared" si="77"/>
        <v>89.375</v>
      </c>
      <c r="Q97" s="2">
        <f>(AVERAGE(VLOOKUP(E97,weapon_components!$A$8:$M$178,9,0),VLOOKUP(E97,weapon_components!$A$8:$M$178,10,0))+VLOOKUP(E97,weapon_components!$A$8:$M$178,11,0))/10</f>
        <v>5.5</v>
      </c>
      <c r="R97" s="2">
        <f>VLOOKUP(E97,weapon_components!$A$8:$M$178,13,0)</f>
        <v>1</v>
      </c>
      <c r="S97" s="25">
        <f t="shared" si="72"/>
        <v>65.28</v>
      </c>
      <c r="T97" s="2">
        <f t="shared" si="73"/>
        <v>7.5</v>
      </c>
      <c r="U97" s="14">
        <f>-INDEX('Ship Design Balancing'!$K$2:$K$6,'Weapon Formulas'!C97)*(INDEX('Weapon Formulas'!$R$1:$R$3,'Weapon Formulas'!D97+2)*(1+'Weapon Formulas'!B97))</f>
        <v>-26.666666666666664</v>
      </c>
    </row>
    <row r="98" spans="1:21" x14ac:dyDescent="0.25">
      <c r="A98" s="21">
        <f t="shared" si="62"/>
        <v>-0.10979999999999998</v>
      </c>
      <c r="C98" s="2">
        <v>4</v>
      </c>
      <c r="D98" s="2">
        <v>0</v>
      </c>
      <c r="E98" s="5" t="s">
        <v>111</v>
      </c>
      <c r="F98" s="2">
        <f t="shared" si="63"/>
        <v>10</v>
      </c>
      <c r="G98" s="2">
        <f t="shared" si="71"/>
        <v>14</v>
      </c>
      <c r="H98" s="2">
        <f t="shared" si="70"/>
        <v>14</v>
      </c>
      <c r="I98" s="2">
        <f t="shared" si="70"/>
        <v>4.8</v>
      </c>
      <c r="J98" s="2">
        <f t="shared" si="70"/>
        <v>9.1999999999999993</v>
      </c>
      <c r="K98" s="10">
        <f t="shared" si="74"/>
        <v>-1.1904761904761907</v>
      </c>
      <c r="L98" s="10">
        <v>0</v>
      </c>
      <c r="M98" s="10">
        <v>1</v>
      </c>
      <c r="N98" s="2">
        <f t="shared" si="75"/>
        <v>28</v>
      </c>
      <c r="O98" s="2">
        <f t="shared" si="76"/>
        <v>115.5</v>
      </c>
      <c r="P98" s="2">
        <f t="shared" si="77"/>
        <v>192.5</v>
      </c>
      <c r="Q98" s="2">
        <f>(AVERAGE(VLOOKUP(E98,weapon_components!$A$8:$M$178,9,0),VLOOKUP(E98,weapon_components!$A$8:$M$178,10,0))+VLOOKUP(E98,weapon_components!$A$8:$M$178,11,0))/10</f>
        <v>5.5</v>
      </c>
      <c r="R98" s="2">
        <f>VLOOKUP(E98,weapon_components!$A$8:$M$178,13,0)</f>
        <v>1</v>
      </c>
      <c r="S98" s="25">
        <f t="shared" si="72"/>
        <v>81.599999999999994</v>
      </c>
      <c r="T98" s="2">
        <f t="shared" si="73"/>
        <v>7.5</v>
      </c>
      <c r="U98" s="14">
        <f>-INDEX('Ship Design Balancing'!$K$2:$K$6,'Weapon Formulas'!C98)*(INDEX('Weapon Formulas'!$R$1:$R$3,'Weapon Formulas'!D98+2)*(1+'Weapon Formulas'!B98))</f>
        <v>-53.333333333333329</v>
      </c>
    </row>
    <row r="99" spans="1:21" x14ac:dyDescent="0.25">
      <c r="A99" s="21">
        <f t="shared" si="62"/>
        <v>-0.15875999999999996</v>
      </c>
      <c r="C99" s="2">
        <v>4</v>
      </c>
      <c r="D99" s="2">
        <v>1</v>
      </c>
      <c r="E99" s="5" t="s">
        <v>112</v>
      </c>
      <c r="F99" s="2">
        <f t="shared" si="63"/>
        <v>10</v>
      </c>
      <c r="G99" s="2">
        <f t="shared" si="71"/>
        <v>15</v>
      </c>
      <c r="H99" s="2">
        <f t="shared" si="70"/>
        <v>15</v>
      </c>
      <c r="I99" s="2">
        <f t="shared" si="70"/>
        <v>3.9999999999999996</v>
      </c>
      <c r="J99" s="2">
        <f t="shared" si="70"/>
        <v>9</v>
      </c>
      <c r="K99" s="10">
        <f t="shared" si="74"/>
        <v>-1.4444444444444446</v>
      </c>
      <c r="L99" s="10">
        <v>0</v>
      </c>
      <c r="M99" s="10">
        <v>1</v>
      </c>
      <c r="N99" s="2">
        <f t="shared" si="75"/>
        <v>60</v>
      </c>
      <c r="O99" s="2">
        <f t="shared" si="76"/>
        <v>247.5</v>
      </c>
      <c r="P99" s="2">
        <f t="shared" si="77"/>
        <v>412.5</v>
      </c>
      <c r="Q99" s="2">
        <f>(AVERAGE(VLOOKUP(E99,weapon_components!$A$8:$M$178,9,0),VLOOKUP(E99,weapon_components!$A$8:$M$178,10,0))+VLOOKUP(E99,weapon_components!$A$8:$M$178,11,0))/10</f>
        <v>5.5</v>
      </c>
      <c r="R99" s="2">
        <f>VLOOKUP(E99,weapon_components!$A$8:$M$178,13,0)</f>
        <v>1</v>
      </c>
      <c r="S99" s="25">
        <f t="shared" si="72"/>
        <v>97.919999999999987</v>
      </c>
      <c r="T99" s="2">
        <f t="shared" si="73"/>
        <v>7.5</v>
      </c>
      <c r="U99" s="14">
        <f>-INDEX('Ship Design Balancing'!$K$2:$K$6,'Weapon Formulas'!C99)*(INDEX('Weapon Formulas'!$R$1:$R$3,'Weapon Formulas'!D99+2)*(1+'Weapon Formulas'!B99))</f>
        <v>-106.66666666666666</v>
      </c>
    </row>
    <row r="100" spans="1:21" x14ac:dyDescent="0.25">
      <c r="A100" s="21">
        <f t="shared" si="62"/>
        <v>-7.8119999999999981E-2</v>
      </c>
      <c r="C100" s="2">
        <v>5</v>
      </c>
      <c r="D100" s="2">
        <v>-1</v>
      </c>
      <c r="E100" s="5" t="s">
        <v>113</v>
      </c>
      <c r="F100" s="2">
        <f t="shared" si="63"/>
        <v>12.5</v>
      </c>
      <c r="G100" s="2">
        <f t="shared" si="71"/>
        <v>17.5</v>
      </c>
      <c r="H100" s="2">
        <f t="shared" si="70"/>
        <v>17.5</v>
      </c>
      <c r="I100" s="2">
        <f t="shared" si="70"/>
        <v>6</v>
      </c>
      <c r="J100" s="2">
        <f t="shared" si="70"/>
        <v>11.5</v>
      </c>
      <c r="K100" s="10">
        <f t="shared" si="74"/>
        <v>-0.75238095238095237</v>
      </c>
      <c r="L100" s="10">
        <v>0</v>
      </c>
      <c r="M100" s="10">
        <v>1</v>
      </c>
      <c r="N100" s="2">
        <f t="shared" si="75"/>
        <v>17.5</v>
      </c>
      <c r="O100" s="2">
        <f t="shared" si="76"/>
        <v>72.1875</v>
      </c>
      <c r="P100" s="2">
        <f t="shared" si="77"/>
        <v>120.3125</v>
      </c>
      <c r="Q100" s="2">
        <f>(AVERAGE(VLOOKUP(E100,weapon_components!$A$8:$M$178,9,0),VLOOKUP(E100,weapon_components!$A$8:$M$178,10,0))+VLOOKUP(E100,weapon_components!$A$8:$M$178,11,0))/10</f>
        <v>5.5</v>
      </c>
      <c r="R100" s="2">
        <f>VLOOKUP(E100,weapon_components!$A$8:$M$178,13,0)</f>
        <v>1</v>
      </c>
      <c r="S100" s="25">
        <f t="shared" si="72"/>
        <v>71.039999999999992</v>
      </c>
      <c r="T100" s="2">
        <f t="shared" si="73"/>
        <v>10</v>
      </c>
      <c r="U100" s="14">
        <f>-INDEX('Ship Design Balancing'!$K$2:$K$6,'Weapon Formulas'!C100)*(INDEX('Weapon Formulas'!$R$1:$R$3,'Weapon Formulas'!D100+2)*(1+'Weapon Formulas'!B100))</f>
        <v>-53.333333333333329</v>
      </c>
    </row>
    <row r="101" spans="1:21" x14ac:dyDescent="0.25">
      <c r="A101" s="21">
        <f t="shared" si="62"/>
        <v>-0.13139999999999999</v>
      </c>
      <c r="C101" s="2">
        <v>5</v>
      </c>
      <c r="D101" s="2">
        <v>0</v>
      </c>
      <c r="E101" s="5" t="s">
        <v>114</v>
      </c>
      <c r="F101" s="2">
        <f t="shared" si="63"/>
        <v>12.5</v>
      </c>
      <c r="G101" s="2">
        <f t="shared" si="71"/>
        <v>18.75</v>
      </c>
      <c r="H101" s="2">
        <f t="shared" si="70"/>
        <v>18.75</v>
      </c>
      <c r="I101" s="2">
        <f t="shared" si="70"/>
        <v>5</v>
      </c>
      <c r="J101" s="2">
        <f t="shared" si="70"/>
        <v>11.25</v>
      </c>
      <c r="K101" s="10">
        <f t="shared" si="74"/>
        <v>-0.95555555555555571</v>
      </c>
      <c r="L101" s="10">
        <v>0</v>
      </c>
      <c r="M101" s="10">
        <v>1</v>
      </c>
      <c r="N101" s="2">
        <f t="shared" si="75"/>
        <v>37.5</v>
      </c>
      <c r="O101" s="2">
        <f t="shared" si="76"/>
        <v>154.6875</v>
      </c>
      <c r="P101" s="2">
        <f t="shared" si="77"/>
        <v>257.8125</v>
      </c>
      <c r="Q101" s="2">
        <f>(AVERAGE(VLOOKUP(E101,weapon_components!$A$8:$M$178,9,0),VLOOKUP(E101,weapon_components!$A$8:$M$178,10,0))+VLOOKUP(E101,weapon_components!$A$8:$M$178,11,0))/10</f>
        <v>5.5</v>
      </c>
      <c r="R101" s="2">
        <f>VLOOKUP(E101,weapon_components!$A$8:$M$178,13,0)</f>
        <v>1</v>
      </c>
      <c r="S101" s="25">
        <f t="shared" si="72"/>
        <v>88.8</v>
      </c>
      <c r="T101" s="2">
        <f t="shared" si="73"/>
        <v>10</v>
      </c>
      <c r="U101" s="14">
        <f>-INDEX('Ship Design Balancing'!$K$2:$K$6,'Weapon Formulas'!C101)*(INDEX('Weapon Formulas'!$R$1:$R$3,'Weapon Formulas'!D101+2)*(1+'Weapon Formulas'!B101))</f>
        <v>-106.66666666666666</v>
      </c>
    </row>
    <row r="102" spans="1:21" x14ac:dyDescent="0.25">
      <c r="A102" s="21">
        <f t="shared" si="62"/>
        <v>-0.18468000000000001</v>
      </c>
      <c r="C102" s="2">
        <v>5</v>
      </c>
      <c r="D102" s="2">
        <v>1</v>
      </c>
      <c r="E102" s="5" t="s">
        <v>115</v>
      </c>
      <c r="F102" s="2">
        <f t="shared" si="63"/>
        <v>12.5</v>
      </c>
      <c r="G102" s="2">
        <f t="shared" si="71"/>
        <v>20</v>
      </c>
      <c r="H102" s="2">
        <f t="shared" si="70"/>
        <v>20</v>
      </c>
      <c r="I102" s="2">
        <f t="shared" si="70"/>
        <v>3.9999999999999996</v>
      </c>
      <c r="J102" s="2">
        <f t="shared" si="70"/>
        <v>11</v>
      </c>
      <c r="K102" s="10">
        <f t="shared" si="74"/>
        <v>-1.1333333333333333</v>
      </c>
      <c r="L102" s="10">
        <v>0</v>
      </c>
      <c r="M102" s="10">
        <v>1</v>
      </c>
      <c r="N102" s="2">
        <f t="shared" si="75"/>
        <v>80</v>
      </c>
      <c r="O102" s="2">
        <f t="shared" si="76"/>
        <v>330</v>
      </c>
      <c r="P102" s="2">
        <f t="shared" si="77"/>
        <v>550</v>
      </c>
      <c r="Q102" s="2">
        <f>(AVERAGE(VLOOKUP(E102,weapon_components!$A$8:$M$178,9,0),VLOOKUP(E102,weapon_components!$A$8:$M$178,10,0))+VLOOKUP(E102,weapon_components!$A$8:$M$178,11,0))/10</f>
        <v>5.5</v>
      </c>
      <c r="R102" s="2">
        <f>VLOOKUP(E102,weapon_components!$A$8:$M$178,13,0)</f>
        <v>1</v>
      </c>
      <c r="S102" s="25">
        <f t="shared" si="72"/>
        <v>106.56</v>
      </c>
      <c r="T102" s="2">
        <f t="shared" si="73"/>
        <v>10</v>
      </c>
      <c r="U102" s="14">
        <f>-INDEX('Ship Design Balancing'!$K$2:$K$6,'Weapon Formulas'!C102)*(INDEX('Weapon Formulas'!$R$1:$R$3,'Weapon Formulas'!D102+2)*(1+'Weapon Formulas'!B102))</f>
        <v>-213.33333333333331</v>
      </c>
    </row>
    <row r="103" spans="1:21" x14ac:dyDescent="0.25">
      <c r="A103" s="21">
        <f t="shared" si="62"/>
        <v>-4.4999999999999998E-2</v>
      </c>
      <c r="E103" s="3" t="s">
        <v>116</v>
      </c>
      <c r="F103" s="2" t="s">
        <v>140</v>
      </c>
      <c r="G103" s="2">
        <v>1</v>
      </c>
      <c r="H103" s="13">
        <v>1</v>
      </c>
      <c r="I103" s="13">
        <v>1</v>
      </c>
      <c r="J103" s="13">
        <v>2</v>
      </c>
      <c r="K103" s="10"/>
      <c r="L103" s="10"/>
      <c r="M103" s="10"/>
      <c r="N103" s="2"/>
      <c r="O103" s="2"/>
      <c r="P103" s="2"/>
      <c r="Q103" s="2"/>
      <c r="R103" s="13" t="s">
        <v>247</v>
      </c>
      <c r="S103" s="2">
        <v>60</v>
      </c>
      <c r="T103" s="2">
        <v>0</v>
      </c>
      <c r="U103" s="14"/>
    </row>
    <row r="104" spans="1:21" x14ac:dyDescent="0.25">
      <c r="A104" s="21">
        <f t="shared" si="62"/>
        <v>-4.3559999999999988E-2</v>
      </c>
      <c r="C104">
        <v>3</v>
      </c>
      <c r="D104" s="2">
        <v>-1</v>
      </c>
      <c r="E104" s="5" t="s">
        <v>117</v>
      </c>
      <c r="F104" s="2">
        <f t="shared" si="63"/>
        <v>7.5</v>
      </c>
      <c r="G104" s="2">
        <f>H104</f>
        <v>9</v>
      </c>
      <c r="H104" s="2">
        <f>$F104*(INDEX($F$3:$F$5,H$87)+(($C104+($D104*$F$7))*INDEX($G$3:$G$5,H$9)))</f>
        <v>9</v>
      </c>
      <c r="I104" s="2">
        <f>$F104*(INDEX($F$3:$F$5,I$103)+(($C104+($D104*$F$7))*INDEX($G$3:$G$5,I$9)))</f>
        <v>6.3</v>
      </c>
      <c r="J104" s="2">
        <f>$F104*(INDEX($F$3:$F$5,J$103)+(($C104+($D104*$F$7))*INDEX($G$3:$G$5,J$9)))</f>
        <v>5.7</v>
      </c>
      <c r="K104" s="10">
        <f t="shared" ref="K104:K112" si="78">1-((1-(I104/G104))/INDEX($P$2:$P$6,C104))</f>
        <v>-0.3333333333333337</v>
      </c>
      <c r="L104" s="10">
        <v>0</v>
      </c>
      <c r="M104" s="10">
        <v>1</v>
      </c>
      <c r="N104" s="2">
        <f t="shared" si="75"/>
        <v>9</v>
      </c>
      <c r="O104" s="2">
        <f t="shared" si="76"/>
        <v>56.362499999999997</v>
      </c>
      <c r="P104" s="2">
        <f t="shared" si="77"/>
        <v>93.937499999999986</v>
      </c>
      <c r="Q104" s="2">
        <f>(AVERAGE(VLOOKUP(E104,weapon_components!$A$8:$M$178,9,0),VLOOKUP(E104,weapon_components!$A$8:$M$178,10,0))+VLOOKUP(E104,weapon_components!$A$8:$M$178,11,0))/10</f>
        <v>8.35</v>
      </c>
      <c r="R104" s="2">
        <f>VLOOKUP(E104,weapon_components!$A$8:$M$178,13,0)</f>
        <v>1</v>
      </c>
      <c r="S104" s="25">
        <f>($S$103)*(1+(D104*$F$8))*(1+((C104-1)*$J$3))</f>
        <v>59.519999999999996</v>
      </c>
      <c r="T104" s="2">
        <f t="shared" si="73"/>
        <v>5</v>
      </c>
      <c r="U104" s="14">
        <f>-INDEX('Ship Design Balancing'!$K$2:$K$6,'Weapon Formulas'!C104)*(INDEX('Weapon Formulas'!$R$1:$R$3,'Weapon Formulas'!D104+2)*(1+'Weapon Formulas'!B104))</f>
        <v>-13.333333333333332</v>
      </c>
    </row>
    <row r="105" spans="1:21" x14ac:dyDescent="0.25">
      <c r="A105" s="21">
        <f t="shared" si="62"/>
        <v>-8.8200000000000014E-2</v>
      </c>
      <c r="C105">
        <v>3</v>
      </c>
      <c r="D105" s="2">
        <v>0</v>
      </c>
      <c r="E105" s="5" t="s">
        <v>118</v>
      </c>
      <c r="F105" s="2">
        <f t="shared" si="63"/>
        <v>7.5</v>
      </c>
      <c r="G105" s="2">
        <f t="shared" ref="G105:G112" si="79">H105</f>
        <v>9.75</v>
      </c>
      <c r="H105" s="2">
        <f t="shared" ref="H105:H112" si="80">$F105*(INDEX($F$3:$F$5,H$103)+(($C105+($D105*$F$7))*INDEX($G$3:$G$5,H$9)))</f>
        <v>9.75</v>
      </c>
      <c r="I105" s="2">
        <f t="shared" ref="I105:J112" si="81">$F105*(INDEX($F$3:$F$5,I$103)+(($C105+($D105*$F$7))*INDEX($G$3:$G$5,I$9)))</f>
        <v>5.7</v>
      </c>
      <c r="J105" s="2">
        <f t="shared" si="81"/>
        <v>5.55</v>
      </c>
      <c r="K105" s="10">
        <f t="shared" si="78"/>
        <v>-0.84615384615384626</v>
      </c>
      <c r="L105" s="10">
        <v>0</v>
      </c>
      <c r="M105" s="10">
        <v>1</v>
      </c>
      <c r="N105" s="2">
        <f t="shared" si="75"/>
        <v>19.5</v>
      </c>
      <c r="O105" s="2">
        <f t="shared" si="76"/>
        <v>122.11874999999999</v>
      </c>
      <c r="P105" s="2">
        <f t="shared" si="77"/>
        <v>203.53125</v>
      </c>
      <c r="Q105" s="2">
        <f>(AVERAGE(VLOOKUP(E105,weapon_components!$A$8:$M$178,9,0),VLOOKUP(E105,weapon_components!$A$8:$M$178,10,0))+VLOOKUP(E105,weapon_components!$A$8:$M$178,11,0))/10</f>
        <v>8.35</v>
      </c>
      <c r="R105" s="2">
        <f>VLOOKUP(E105,weapon_components!$A$8:$M$178,13,0)</f>
        <v>1</v>
      </c>
      <c r="S105" s="25">
        <f t="shared" ref="S105:S114" si="82">($S$103)*(1+(D105*$F$8))*(1+((C105-1)*$J$3))</f>
        <v>74.400000000000006</v>
      </c>
      <c r="T105" s="2">
        <f t="shared" si="73"/>
        <v>5</v>
      </c>
      <c r="U105" s="14">
        <f>-INDEX('Ship Design Balancing'!$K$2:$K$6,'Weapon Formulas'!C105)*(INDEX('Weapon Formulas'!$R$1:$R$3,'Weapon Formulas'!D105+2)*(1+'Weapon Formulas'!B105))</f>
        <v>-26.666666666666664</v>
      </c>
    </row>
    <row r="106" spans="1:21" x14ac:dyDescent="0.25">
      <c r="A106" s="21">
        <f t="shared" si="62"/>
        <v>-0.13284000000000001</v>
      </c>
      <c r="C106">
        <v>3</v>
      </c>
      <c r="D106" s="2">
        <v>1</v>
      </c>
      <c r="E106" s="5" t="s">
        <v>119</v>
      </c>
      <c r="F106" s="2">
        <f t="shared" si="63"/>
        <v>7.5</v>
      </c>
      <c r="G106" s="2">
        <f t="shared" si="79"/>
        <v>10.5</v>
      </c>
      <c r="H106" s="2">
        <f t="shared" si="80"/>
        <v>10.5</v>
      </c>
      <c r="I106" s="2">
        <f t="shared" si="81"/>
        <v>5.0999999999999996</v>
      </c>
      <c r="J106" s="2">
        <f t="shared" si="81"/>
        <v>5.3999999999999995</v>
      </c>
      <c r="K106" s="10">
        <f t="shared" si="78"/>
        <v>-1.285714285714286</v>
      </c>
      <c r="L106" s="10">
        <v>0</v>
      </c>
      <c r="M106" s="10">
        <v>1</v>
      </c>
      <c r="N106" s="2">
        <f t="shared" si="75"/>
        <v>42</v>
      </c>
      <c r="O106" s="2">
        <f t="shared" si="76"/>
        <v>263.02499999999998</v>
      </c>
      <c r="P106" s="2">
        <f t="shared" si="77"/>
        <v>438.375</v>
      </c>
      <c r="Q106" s="2">
        <f>(AVERAGE(VLOOKUP(E106,weapon_components!$A$8:$M$178,9,0),VLOOKUP(E106,weapon_components!$A$8:$M$178,10,0))+VLOOKUP(E106,weapon_components!$A$8:$M$178,11,0))/10</f>
        <v>8.35</v>
      </c>
      <c r="R106" s="2">
        <f>VLOOKUP(E106,weapon_components!$A$8:$M$178,13,0)</f>
        <v>1</v>
      </c>
      <c r="S106" s="25">
        <f t="shared" si="82"/>
        <v>89.28</v>
      </c>
      <c r="T106" s="2">
        <f t="shared" si="73"/>
        <v>5</v>
      </c>
      <c r="U106" s="14">
        <f>-INDEX('Ship Design Balancing'!$K$2:$K$6,'Weapon Formulas'!C106)*(INDEX('Weapon Formulas'!$R$1:$R$3,'Weapon Formulas'!D106+2)*(1+'Weapon Formulas'!B106))</f>
        <v>-53.333333333333329</v>
      </c>
    </row>
    <row r="107" spans="1:21" x14ac:dyDescent="0.25">
      <c r="A107" s="21">
        <f t="shared" si="62"/>
        <v>-6.0840000000000005E-2</v>
      </c>
      <c r="C107">
        <v>4</v>
      </c>
      <c r="D107" s="2">
        <v>-1</v>
      </c>
      <c r="E107" s="5" t="s">
        <v>120</v>
      </c>
      <c r="F107" s="2">
        <f t="shared" si="63"/>
        <v>10</v>
      </c>
      <c r="G107" s="2">
        <f t="shared" si="79"/>
        <v>13</v>
      </c>
      <c r="H107" s="2">
        <f t="shared" si="80"/>
        <v>13</v>
      </c>
      <c r="I107" s="2">
        <f t="shared" si="81"/>
        <v>7.6</v>
      </c>
      <c r="J107" s="2">
        <f t="shared" si="81"/>
        <v>7.4</v>
      </c>
      <c r="K107" s="10">
        <f t="shared" si="78"/>
        <v>-0.38461538461538503</v>
      </c>
      <c r="L107" s="10">
        <v>0</v>
      </c>
      <c r="M107" s="10">
        <v>1</v>
      </c>
      <c r="N107" s="2">
        <f t="shared" si="75"/>
        <v>13</v>
      </c>
      <c r="O107" s="2">
        <f t="shared" si="76"/>
        <v>81.412499999999994</v>
      </c>
      <c r="P107" s="2">
        <f t="shared" si="77"/>
        <v>135.6875</v>
      </c>
      <c r="Q107" s="2">
        <f>(AVERAGE(VLOOKUP(E107,weapon_components!$A$8:$M$178,9,0),VLOOKUP(E107,weapon_components!$A$8:$M$178,10,0))+VLOOKUP(E107,weapon_components!$A$8:$M$178,11,0))/10</f>
        <v>8.35</v>
      </c>
      <c r="R107" s="2">
        <f>VLOOKUP(E107,weapon_components!$A$8:$M$178,13,0)</f>
        <v>1</v>
      </c>
      <c r="S107" s="25">
        <f t="shared" si="82"/>
        <v>65.28</v>
      </c>
      <c r="T107" s="2">
        <f t="shared" si="73"/>
        <v>7.5</v>
      </c>
      <c r="U107" s="14">
        <f>-INDEX('Ship Design Balancing'!$K$2:$K$6,'Weapon Formulas'!C107)*(INDEX('Weapon Formulas'!$R$1:$R$3,'Weapon Formulas'!D107+2)*(1+'Weapon Formulas'!B107))</f>
        <v>-26.666666666666664</v>
      </c>
    </row>
    <row r="108" spans="1:21" x14ac:dyDescent="0.25">
      <c r="A108" s="21">
        <f t="shared" si="62"/>
        <v>-0.10979999999999998</v>
      </c>
      <c r="C108">
        <v>4</v>
      </c>
      <c r="D108" s="2">
        <v>0</v>
      </c>
      <c r="E108" s="5" t="s">
        <v>121</v>
      </c>
      <c r="F108" s="2">
        <f t="shared" si="63"/>
        <v>10</v>
      </c>
      <c r="G108" s="2">
        <f t="shared" si="79"/>
        <v>14</v>
      </c>
      <c r="H108" s="2">
        <f t="shared" si="80"/>
        <v>14</v>
      </c>
      <c r="I108" s="2">
        <f t="shared" si="81"/>
        <v>6.7999999999999989</v>
      </c>
      <c r="J108" s="2">
        <f t="shared" si="81"/>
        <v>7.1999999999999993</v>
      </c>
      <c r="K108" s="10">
        <f t="shared" si="78"/>
        <v>-0.71428571428571463</v>
      </c>
      <c r="L108" s="10">
        <v>0</v>
      </c>
      <c r="M108" s="10">
        <v>1</v>
      </c>
      <c r="N108" s="2">
        <f t="shared" si="75"/>
        <v>28.000000000000004</v>
      </c>
      <c r="O108" s="2">
        <f t="shared" si="76"/>
        <v>175.35</v>
      </c>
      <c r="P108" s="2">
        <f t="shared" si="77"/>
        <v>292.25</v>
      </c>
      <c r="Q108" s="2">
        <f>(AVERAGE(VLOOKUP(E108,weapon_components!$A$8:$M$178,9,0),VLOOKUP(E108,weapon_components!$A$8:$M$178,10,0))+VLOOKUP(E108,weapon_components!$A$8:$M$178,11,0))/10</f>
        <v>8.35</v>
      </c>
      <c r="R108" s="2">
        <f>VLOOKUP(E108,weapon_components!$A$8:$M$178,13,0)</f>
        <v>1</v>
      </c>
      <c r="S108" s="25">
        <f t="shared" si="82"/>
        <v>81.599999999999994</v>
      </c>
      <c r="T108" s="2">
        <f t="shared" si="73"/>
        <v>7.5</v>
      </c>
      <c r="U108" s="14">
        <f>-INDEX('Ship Design Balancing'!$K$2:$K$6,'Weapon Formulas'!C108)*(INDEX('Weapon Formulas'!$R$1:$R$3,'Weapon Formulas'!D108+2)*(1+'Weapon Formulas'!B108))</f>
        <v>-53.333333333333329</v>
      </c>
    </row>
    <row r="109" spans="1:21" x14ac:dyDescent="0.25">
      <c r="A109" s="21">
        <f t="shared" si="62"/>
        <v>-0.15875999999999996</v>
      </c>
      <c r="C109">
        <v>4</v>
      </c>
      <c r="D109" s="2">
        <v>1</v>
      </c>
      <c r="E109" s="5" t="s">
        <v>122</v>
      </c>
      <c r="F109" s="2">
        <f t="shared" si="63"/>
        <v>10</v>
      </c>
      <c r="G109" s="2">
        <f t="shared" si="79"/>
        <v>15</v>
      </c>
      <c r="H109" s="2">
        <f t="shared" si="80"/>
        <v>15</v>
      </c>
      <c r="I109" s="2">
        <f t="shared" si="81"/>
        <v>5.9999999999999982</v>
      </c>
      <c r="J109" s="2">
        <f t="shared" si="81"/>
        <v>7.0000000000000009</v>
      </c>
      <c r="K109" s="10">
        <f t="shared" si="78"/>
        <v>-1.0000000000000004</v>
      </c>
      <c r="L109" s="10">
        <v>0</v>
      </c>
      <c r="M109" s="10">
        <v>1</v>
      </c>
      <c r="N109" s="2">
        <f t="shared" si="75"/>
        <v>60</v>
      </c>
      <c r="O109" s="2">
        <f t="shared" si="76"/>
        <v>375.75</v>
      </c>
      <c r="P109" s="2">
        <f t="shared" si="77"/>
        <v>626.25</v>
      </c>
      <c r="Q109" s="2">
        <f>(AVERAGE(VLOOKUP(E109,weapon_components!$A$8:$M$178,9,0),VLOOKUP(E109,weapon_components!$A$8:$M$178,10,0))+VLOOKUP(E109,weapon_components!$A$8:$M$178,11,0))/10</f>
        <v>8.35</v>
      </c>
      <c r="R109" s="2">
        <f>VLOOKUP(E109,weapon_components!$A$8:$M$178,13,0)</f>
        <v>1</v>
      </c>
      <c r="S109" s="25">
        <f t="shared" si="82"/>
        <v>97.919999999999987</v>
      </c>
      <c r="T109" s="2">
        <f t="shared" si="73"/>
        <v>7.5</v>
      </c>
      <c r="U109" s="14">
        <f>-INDEX('Ship Design Balancing'!$K$2:$K$6,'Weapon Formulas'!C109)*(INDEX('Weapon Formulas'!$R$1:$R$3,'Weapon Formulas'!D109+2)*(1+'Weapon Formulas'!B109))</f>
        <v>-106.66666666666666</v>
      </c>
    </row>
    <row r="110" spans="1:21" x14ac:dyDescent="0.25">
      <c r="A110" s="21">
        <f t="shared" si="62"/>
        <v>-7.8119999999999981E-2</v>
      </c>
      <c r="C110">
        <v>5</v>
      </c>
      <c r="D110" s="2">
        <v>-1</v>
      </c>
      <c r="E110" s="5" t="s">
        <v>123</v>
      </c>
      <c r="F110" s="2">
        <f t="shared" si="63"/>
        <v>12.5</v>
      </c>
      <c r="G110" s="2">
        <f t="shared" si="79"/>
        <v>17.5</v>
      </c>
      <c r="H110" s="2">
        <f t="shared" si="80"/>
        <v>17.5</v>
      </c>
      <c r="I110" s="2">
        <f t="shared" si="81"/>
        <v>8.5</v>
      </c>
      <c r="J110" s="2">
        <f t="shared" si="81"/>
        <v>9</v>
      </c>
      <c r="K110" s="10">
        <f t="shared" si="78"/>
        <v>-0.37142857142857122</v>
      </c>
      <c r="L110" s="10">
        <v>0</v>
      </c>
      <c r="M110" s="10">
        <v>1</v>
      </c>
      <c r="N110" s="2">
        <f t="shared" si="75"/>
        <v>17.5</v>
      </c>
      <c r="O110" s="2">
        <f t="shared" si="76"/>
        <v>109.59375</v>
      </c>
      <c r="P110" s="2">
        <f t="shared" si="77"/>
        <v>182.65625</v>
      </c>
      <c r="Q110" s="2">
        <f>(AVERAGE(VLOOKUP(E110,weapon_components!$A$8:$M$178,9,0),VLOOKUP(E110,weapon_components!$A$8:$M$178,10,0))+VLOOKUP(E110,weapon_components!$A$8:$M$178,11,0))/10</f>
        <v>8.35</v>
      </c>
      <c r="R110" s="2">
        <f>VLOOKUP(E110,weapon_components!$A$8:$M$178,13,0)</f>
        <v>1</v>
      </c>
      <c r="S110" s="25">
        <f t="shared" si="82"/>
        <v>71.039999999999992</v>
      </c>
      <c r="T110" s="2">
        <f t="shared" si="73"/>
        <v>10</v>
      </c>
      <c r="U110" s="14">
        <f>-INDEX('Ship Design Balancing'!$K$2:$K$6,'Weapon Formulas'!C110)*(INDEX('Weapon Formulas'!$R$1:$R$3,'Weapon Formulas'!D110+2)*(1+'Weapon Formulas'!B110))</f>
        <v>-53.333333333333329</v>
      </c>
    </row>
    <row r="111" spans="1:21" x14ac:dyDescent="0.25">
      <c r="A111" s="21">
        <f t="shared" si="62"/>
        <v>-0.13139999999999999</v>
      </c>
      <c r="C111">
        <v>5</v>
      </c>
      <c r="D111" s="2">
        <v>0</v>
      </c>
      <c r="E111" s="5" t="s">
        <v>124</v>
      </c>
      <c r="F111" s="2">
        <f t="shared" si="63"/>
        <v>12.5</v>
      </c>
      <c r="G111" s="2">
        <f t="shared" si="79"/>
        <v>18.75</v>
      </c>
      <c r="H111" s="2">
        <f t="shared" si="80"/>
        <v>18.75</v>
      </c>
      <c r="I111" s="2">
        <f t="shared" si="81"/>
        <v>7.4999999999999982</v>
      </c>
      <c r="J111" s="2">
        <f t="shared" si="81"/>
        <v>8.75</v>
      </c>
      <c r="K111" s="10">
        <f t="shared" si="78"/>
        <v>-0.60000000000000031</v>
      </c>
      <c r="L111" s="10">
        <v>0</v>
      </c>
      <c r="M111" s="10">
        <v>1</v>
      </c>
      <c r="N111" s="2">
        <f t="shared" si="75"/>
        <v>37.5</v>
      </c>
      <c r="O111" s="2">
        <f t="shared" si="76"/>
        <v>234.84375</v>
      </c>
      <c r="P111" s="2">
        <f>1.25*(((G111*INDEX($R$1:$R$3,$D111+2))*Q111)/R111)</f>
        <v>391.40625</v>
      </c>
      <c r="Q111" s="2">
        <f>(AVERAGE(VLOOKUP(E111,weapon_components!$A$8:$M$178,9,0),VLOOKUP(E111,weapon_components!$A$8:$M$178,10,0))+VLOOKUP(E111,weapon_components!$A$8:$M$178,11,0))/10</f>
        <v>8.35</v>
      </c>
      <c r="R111" s="2">
        <f>VLOOKUP(E111,weapon_components!$A$8:$M$178,13,0)</f>
        <v>1</v>
      </c>
      <c r="S111" s="25">
        <f t="shared" si="82"/>
        <v>88.8</v>
      </c>
      <c r="T111" s="2">
        <f t="shared" si="73"/>
        <v>10</v>
      </c>
      <c r="U111" s="14">
        <f>-INDEX('Ship Design Balancing'!$K$2:$K$6,'Weapon Formulas'!C111)*(INDEX('Weapon Formulas'!$R$1:$R$3,'Weapon Formulas'!D111+2)*(1+'Weapon Formulas'!B111))</f>
        <v>-106.66666666666666</v>
      </c>
    </row>
    <row r="112" spans="1:21" x14ac:dyDescent="0.25">
      <c r="A112" s="21">
        <f t="shared" si="62"/>
        <v>-0.18468000000000001</v>
      </c>
      <c r="C112">
        <v>5</v>
      </c>
      <c r="D112" s="2">
        <v>1</v>
      </c>
      <c r="E112" s="5" t="s">
        <v>125</v>
      </c>
      <c r="F112" s="2">
        <f t="shared" si="63"/>
        <v>12.5</v>
      </c>
      <c r="G112" s="2">
        <f t="shared" si="79"/>
        <v>20</v>
      </c>
      <c r="H112" s="2">
        <f t="shared" si="80"/>
        <v>20</v>
      </c>
      <c r="I112" s="2">
        <f t="shared" si="81"/>
        <v>6.4999999999999991</v>
      </c>
      <c r="J112" s="2">
        <f t="shared" si="81"/>
        <v>8.5</v>
      </c>
      <c r="K112" s="10">
        <f t="shared" si="78"/>
        <v>-0.8</v>
      </c>
      <c r="L112" s="10">
        <v>0</v>
      </c>
      <c r="M112" s="10">
        <v>1</v>
      </c>
      <c r="N112" s="2">
        <f t="shared" si="75"/>
        <v>80</v>
      </c>
      <c r="O112" s="2">
        <f t="shared" si="76"/>
        <v>501</v>
      </c>
      <c r="P112" s="2">
        <f t="shared" si="77"/>
        <v>835</v>
      </c>
      <c r="Q112" s="2">
        <f>(AVERAGE(VLOOKUP(E112,weapon_components!$A$8:$M$178,9,0),VLOOKUP(E112,weapon_components!$A$8:$M$178,10,0))+VLOOKUP(E112,weapon_components!$A$8:$M$178,11,0))/10</f>
        <v>8.35</v>
      </c>
      <c r="R112" s="2">
        <f>VLOOKUP(E112,weapon_components!$A$8:$M$178,13,0)</f>
        <v>1</v>
      </c>
      <c r="S112" s="25">
        <f t="shared" si="82"/>
        <v>106.56</v>
      </c>
      <c r="T112" s="2">
        <f t="shared" si="73"/>
        <v>10</v>
      </c>
      <c r="U112" s="14">
        <f>-INDEX('Ship Design Balancing'!$K$2:$K$6,'Weapon Formulas'!C112)*(INDEX('Weapon Formulas'!$R$1:$R$3,'Weapon Formulas'!D112+2)*(1+'Weapon Formulas'!B112))</f>
        <v>-213.33333333333331</v>
      </c>
    </row>
    <row r="113" spans="1:21" x14ac:dyDescent="0.25">
      <c r="A113" s="21">
        <f t="shared" si="62"/>
        <v>-4.4999999999999998E-2</v>
      </c>
      <c r="D113" s="2"/>
      <c r="E113" s="3" t="s">
        <v>126</v>
      </c>
      <c r="F113" s="2" t="s">
        <v>140</v>
      </c>
      <c r="G113" s="2">
        <v>1</v>
      </c>
      <c r="H113" s="13">
        <v>1</v>
      </c>
      <c r="I113" s="13">
        <v>2</v>
      </c>
      <c r="J113" s="13">
        <v>1</v>
      </c>
      <c r="K113" s="10"/>
      <c r="L113" s="10"/>
      <c r="M113" s="10"/>
      <c r="N113" s="2"/>
      <c r="O113" s="2"/>
      <c r="P113" s="2"/>
      <c r="Q113" s="2"/>
      <c r="R113" s="13" t="s">
        <v>247</v>
      </c>
      <c r="S113" s="2">
        <v>60</v>
      </c>
      <c r="T113" s="2"/>
      <c r="U113" s="14"/>
    </row>
    <row r="114" spans="1:21" x14ac:dyDescent="0.25">
      <c r="A114" s="21">
        <f t="shared" si="62"/>
        <v>-0.10979999999999998</v>
      </c>
      <c r="B114" s="2">
        <v>1</v>
      </c>
      <c r="C114">
        <v>4</v>
      </c>
      <c r="D114" s="2">
        <v>0</v>
      </c>
      <c r="E114" s="5" t="s">
        <v>127</v>
      </c>
      <c r="F114" s="2">
        <f t="shared" si="63"/>
        <v>20</v>
      </c>
      <c r="G114" s="2">
        <f>IF(G$113=1,H114,H114/(1-INDEX($O$2:$O$6,C114)))</f>
        <v>28</v>
      </c>
      <c r="H114" s="2">
        <f>$F114*(INDEX($F$3:$F$5,H$113)+(($C114+($D114*$F$7))*INDEX($G$3:$G$5,H$113)))</f>
        <v>28</v>
      </c>
      <c r="I114" s="2">
        <f t="shared" ref="I114:J115" si="83">$F114*(INDEX($F$3:$F$5,I$113)+(($C114+($D114*$F$7))*INDEX($G$3:$G$5,I$113)))</f>
        <v>9.6</v>
      </c>
      <c r="J114" s="2">
        <f t="shared" si="83"/>
        <v>28</v>
      </c>
      <c r="K114" s="10">
        <f>1-((1-(I114/G114))/INDEX($P$2:$P$6,C114))</f>
        <v>-1.1904761904761907</v>
      </c>
      <c r="L114" s="10">
        <v>0</v>
      </c>
      <c r="M114" s="10">
        <v>1</v>
      </c>
      <c r="N114" s="2">
        <f t="shared" si="75"/>
        <v>56</v>
      </c>
      <c r="O114" s="2">
        <f t="shared" si="76"/>
        <v>105</v>
      </c>
      <c r="P114" s="2">
        <f t="shared" si="77"/>
        <v>175</v>
      </c>
      <c r="Q114" s="2">
        <f>(AVERAGE(VLOOKUP(E114,weapon_components!$A$8:$M$178,9,0),VLOOKUP(E114,weapon_components!$A$8:$M$178,10,0))+VLOOKUP(E114,weapon_components!$A$8:$M$178,11,0))/10</f>
        <v>2.5</v>
      </c>
      <c r="R114" s="2">
        <f>VLOOKUP(E114,weapon_components!$A$8:$M$178,13,0)</f>
        <v>1</v>
      </c>
      <c r="S114" s="25">
        <f>($S$113)*(1+(D114*$F$8))*(1+((C114-1)*$J$3))</f>
        <v>81.599999999999994</v>
      </c>
      <c r="T114" s="2">
        <f t="shared" si="73"/>
        <v>7.5</v>
      </c>
      <c r="U114" s="14">
        <f>-INDEX('Ship Design Balancing'!$K$2:$K$6,'Weapon Formulas'!C114)*(INDEX('Weapon Formulas'!$R$1:$R$3,'Weapon Formulas'!D114+2)*(1+'Weapon Formulas'!B114))</f>
        <v>-106.66666666666666</v>
      </c>
    </row>
    <row r="115" spans="1:21" x14ac:dyDescent="0.25">
      <c r="A115" s="21">
        <f t="shared" si="62"/>
        <v>-0.13139999999999999</v>
      </c>
      <c r="B115" s="2">
        <v>1</v>
      </c>
      <c r="C115">
        <v>5</v>
      </c>
      <c r="D115" s="2">
        <v>0</v>
      </c>
      <c r="E115" s="5" t="s">
        <v>128</v>
      </c>
      <c r="F115" s="2">
        <f t="shared" si="63"/>
        <v>25</v>
      </c>
      <c r="G115" s="2">
        <f>IF(G$113=1,H115,H115/(1-INDEX($O$2:$O$6,C115)))</f>
        <v>37.5</v>
      </c>
      <c r="H115" s="2">
        <f>$F115*(INDEX($F$3:$F$5,H$113)+(($C115+($D115*$F$7))*INDEX($G$3:$G$5,H$113)))</f>
        <v>37.5</v>
      </c>
      <c r="I115" s="2">
        <f t="shared" si="83"/>
        <v>10</v>
      </c>
      <c r="J115" s="2">
        <f t="shared" si="83"/>
        <v>37.5</v>
      </c>
      <c r="K115" s="10">
        <f>1-((1-(I115/G115))/INDEX($P$2:$P$6,C115))</f>
        <v>-0.95555555555555571</v>
      </c>
      <c r="L115" s="10">
        <v>0</v>
      </c>
      <c r="M115" s="10">
        <v>1</v>
      </c>
      <c r="N115" s="2">
        <f t="shared" si="75"/>
        <v>75</v>
      </c>
      <c r="O115" s="2">
        <f t="shared" si="76"/>
        <v>140.625</v>
      </c>
      <c r="P115" s="2">
        <f t="shared" si="77"/>
        <v>234.375</v>
      </c>
      <c r="Q115" s="2">
        <f>(AVERAGE(VLOOKUP(E115,weapon_components!$A$8:$M$178,9,0),VLOOKUP(E115,weapon_components!$A$8:$M$178,10,0))+VLOOKUP(E115,weapon_components!$A$8:$M$178,11,0))/10</f>
        <v>2.5</v>
      </c>
      <c r="R115" s="2">
        <f>VLOOKUP(E115,weapon_components!$A$8:$M$178,13,0)</f>
        <v>1</v>
      </c>
      <c r="S115" s="25">
        <f>($S$113)*(1+(D115*$F$8))*(1+((C115-1)*$J$3))</f>
        <v>88.8</v>
      </c>
      <c r="T115" s="2">
        <f t="shared" si="73"/>
        <v>10</v>
      </c>
      <c r="U115" s="14">
        <f>-INDEX('Ship Design Balancing'!$K$2:$K$6,'Weapon Formulas'!C115)*(INDEX('Weapon Formulas'!$R$1:$R$3,'Weapon Formulas'!D115+2)*(1+'Weapon Formulas'!B115))</f>
        <v>-213.33333333333331</v>
      </c>
    </row>
    <row r="116" spans="1:21" x14ac:dyDescent="0.25">
      <c r="A116" s="21">
        <f t="shared" si="62"/>
        <v>-4.4999999999999998E-2</v>
      </c>
      <c r="D116" s="2"/>
      <c r="E116" s="13" t="s">
        <v>219</v>
      </c>
      <c r="F116" s="2" t="s">
        <v>140</v>
      </c>
      <c r="G116">
        <v>0</v>
      </c>
      <c r="H116">
        <v>2</v>
      </c>
      <c r="I116">
        <v>1</v>
      </c>
      <c r="J116">
        <v>1</v>
      </c>
      <c r="K116" s="13" t="s">
        <v>232</v>
      </c>
      <c r="N116" s="2"/>
      <c r="O116" s="2"/>
      <c r="P116" s="2"/>
      <c r="Q116" s="2"/>
      <c r="R116" s="13" t="s">
        <v>247</v>
      </c>
      <c r="S116" s="2">
        <v>60</v>
      </c>
      <c r="T116" s="2"/>
      <c r="U116" s="14"/>
    </row>
    <row r="117" spans="1:21" x14ac:dyDescent="0.25">
      <c r="A117" s="21">
        <f t="shared" si="62"/>
        <v>0.129</v>
      </c>
      <c r="B117" s="2">
        <v>1</v>
      </c>
      <c r="C117">
        <v>3</v>
      </c>
      <c r="D117" s="2">
        <v>1</v>
      </c>
      <c r="E117" s="14" t="s">
        <v>234</v>
      </c>
      <c r="F117" s="2">
        <f t="shared" ref="F117:F119" si="84">($F$2+(C117*$F$1))*(B117+1)</f>
        <v>15</v>
      </c>
      <c r="G117" s="2">
        <f t="shared" ref="G117:G119" si="85">IF(G$116=1,H117,H117/(1-INDEX($O$2:$O$6,C117)))</f>
        <v>9.2903225806451601</v>
      </c>
      <c r="H117" s="2">
        <f t="shared" ref="H117:H119" si="86">$F117*(INDEX($F$3:$F$5,H$116)+(($C117+($D117*$F$7))*INDEX($G$3:$G$5,H$116)))</f>
        <v>7.1999999999999993</v>
      </c>
      <c r="I117" s="2">
        <f t="shared" ref="I117:J119" si="87">$F117*(INDEX($F$3:$F$5,I$116)+(($C117+($D117*$F$7))*INDEX($G$3:$G$5,I$116)))</f>
        <v>21</v>
      </c>
      <c r="J117" s="2">
        <f t="shared" si="87"/>
        <v>21</v>
      </c>
      <c r="K117" s="10">
        <f t="shared" ref="K117:K119" si="88">1-((1-(I117/G117))/INDEX($P$2:$P$6,C117))</f>
        <v>6.6018518518518539</v>
      </c>
      <c r="L117" s="10">
        <v>0</v>
      </c>
      <c r="M117" s="10">
        <v>1</v>
      </c>
      <c r="N117" s="2">
        <f t="shared" ref="N117:N119" si="89">(AVERAGE(O117,P117)*R117)/Q117</f>
        <v>9.2903225806451584</v>
      </c>
      <c r="O117" s="2">
        <f t="shared" ref="O117:O118" si="90">0.75*(((G117*INDEX($R$1:$R$3,$D117+2))*Q117)/R117)/4</f>
        <v>92.903225806451601</v>
      </c>
      <c r="P117" s="2">
        <f t="shared" ref="P117:P118" si="91">1.25*(((G117*INDEX($R$1:$R$3,$D117+2))*Q117)/R117)/4</f>
        <v>154.83870967741933</v>
      </c>
      <c r="Q117" s="2">
        <v>10</v>
      </c>
      <c r="R117" s="2">
        <v>0.75</v>
      </c>
      <c r="S117" s="2">
        <v>2</v>
      </c>
      <c r="T117" s="2">
        <v>0</v>
      </c>
      <c r="U117" s="14">
        <f>-INDEX('Ship Design Balancing'!$K$2:$K$6,'Weapon Formulas'!C117)*(INDEX('Weapon Formulas'!$R$1:$R$3,'Weapon Formulas'!D117+2)*(1+'Weapon Formulas'!B117))</f>
        <v>-106.66666666666666</v>
      </c>
    </row>
    <row r="118" spans="1:21" x14ac:dyDescent="0.25">
      <c r="A118" s="21">
        <f t="shared" si="62"/>
        <v>0.129</v>
      </c>
      <c r="B118" s="2">
        <v>1</v>
      </c>
      <c r="C118">
        <v>4</v>
      </c>
      <c r="D118" s="2">
        <v>1</v>
      </c>
      <c r="E118" s="14" t="s">
        <v>235</v>
      </c>
      <c r="F118" s="2">
        <f t="shared" si="84"/>
        <v>20</v>
      </c>
      <c r="G118" s="2">
        <f t="shared" si="85"/>
        <v>11.428571428571429</v>
      </c>
      <c r="H118" s="2">
        <f t="shared" si="86"/>
        <v>7.9999999999999991</v>
      </c>
      <c r="I118" s="2">
        <f t="shared" si="87"/>
        <v>30</v>
      </c>
      <c r="J118" s="2">
        <f t="shared" si="87"/>
        <v>30</v>
      </c>
      <c r="K118" s="10">
        <f t="shared" si="88"/>
        <v>6.416666666666667</v>
      </c>
      <c r="L118" s="10">
        <v>0</v>
      </c>
      <c r="M118" s="10">
        <v>1</v>
      </c>
      <c r="N118" s="2">
        <f t="shared" si="89"/>
        <v>11.428571428571427</v>
      </c>
      <c r="O118" s="2">
        <f t="shared" si="90"/>
        <v>114.28571428571428</v>
      </c>
      <c r="P118" s="2">
        <f t="shared" si="91"/>
        <v>190.47619047619048</v>
      </c>
      <c r="Q118" s="2">
        <v>10</v>
      </c>
      <c r="R118" s="2">
        <v>0.75</v>
      </c>
      <c r="S118" s="2">
        <v>2</v>
      </c>
      <c r="T118" s="2">
        <v>0</v>
      </c>
      <c r="U118" s="14">
        <f>-INDEX('Ship Design Balancing'!$K$2:$K$6,'Weapon Formulas'!C118)*(INDEX('Weapon Formulas'!$R$1:$R$3,'Weapon Formulas'!D118+2)*(1+'Weapon Formulas'!B118))</f>
        <v>-213.33333333333331</v>
      </c>
    </row>
    <row r="119" spans="1:21" x14ac:dyDescent="0.25">
      <c r="A119" s="21">
        <f t="shared" si="62"/>
        <v>0.129</v>
      </c>
      <c r="B119" s="2">
        <v>1</v>
      </c>
      <c r="C119">
        <v>5</v>
      </c>
      <c r="D119" s="2">
        <v>1</v>
      </c>
      <c r="E119" s="14" t="s">
        <v>236</v>
      </c>
      <c r="F119" s="2">
        <f t="shared" si="84"/>
        <v>25</v>
      </c>
      <c r="G119" s="2">
        <f t="shared" si="85"/>
        <v>12.799999999999999</v>
      </c>
      <c r="H119" s="2">
        <f t="shared" si="86"/>
        <v>7.9999999999999991</v>
      </c>
      <c r="I119" s="2">
        <f t="shared" si="87"/>
        <v>40</v>
      </c>
      <c r="J119" s="2">
        <f t="shared" si="87"/>
        <v>40</v>
      </c>
      <c r="K119" s="10">
        <f t="shared" si="88"/>
        <v>6.6666666666666679</v>
      </c>
      <c r="L119" s="10">
        <v>0</v>
      </c>
      <c r="M119" s="10">
        <v>1</v>
      </c>
      <c r="N119" s="2">
        <f t="shared" si="89"/>
        <v>12.8</v>
      </c>
      <c r="O119" s="2">
        <f>0.75*(((G119*INDEX($R$1:$R$3,$D119+2))*Q119)/R119)/4</f>
        <v>128</v>
      </c>
      <c r="P119" s="2">
        <f>1.25*(((G119*INDEX($R$1:$R$3,$D119+2))*Q119)/R119)/4</f>
        <v>213.33333333333331</v>
      </c>
      <c r="Q119" s="2">
        <v>10</v>
      </c>
      <c r="R119" s="2">
        <v>0.75</v>
      </c>
      <c r="S119" s="2">
        <v>2</v>
      </c>
      <c r="T119" s="2">
        <v>0</v>
      </c>
      <c r="U119" s="14">
        <f>-INDEX('Ship Design Balancing'!$K$2:$K$6,'Weapon Formulas'!C119)*(INDEX('Weapon Formulas'!$R$1:$R$3,'Weapon Formulas'!D119+2)*(1+'Weapon Formulas'!B119))</f>
        <v>-426.66666666666663</v>
      </c>
    </row>
    <row r="120" spans="1:21" x14ac:dyDescent="0.25">
      <c r="K120" s="13" t="s">
        <v>142</v>
      </c>
      <c r="L120" s="13" t="s">
        <v>143</v>
      </c>
      <c r="M120" s="13" t="s">
        <v>145</v>
      </c>
      <c r="N120" s="13" t="s">
        <v>237</v>
      </c>
      <c r="O120" s="13" t="s">
        <v>215</v>
      </c>
      <c r="P120" s="13" t="s">
        <v>216</v>
      </c>
      <c r="Q120" s="13" t="s">
        <v>217</v>
      </c>
      <c r="R120" s="13" t="s">
        <v>21</v>
      </c>
      <c r="S120" s="13" t="s">
        <v>238</v>
      </c>
    </row>
    <row r="121" spans="1:21" x14ac:dyDescent="0.25">
      <c r="L121" s="13"/>
      <c r="M121"/>
    </row>
  </sheetData>
  <mergeCells count="1">
    <mergeCell ref="H8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opLeftCell="D1" workbookViewId="0">
      <selection activeCell="N6" sqref="N6"/>
    </sheetView>
  </sheetViews>
  <sheetFormatPr defaultRowHeight="15" x14ac:dyDescent="0.25"/>
  <cols>
    <col min="1" max="1" width="20.42578125" customWidth="1"/>
    <col min="2" max="2" width="12.140625" customWidth="1"/>
    <col min="3" max="3" width="10.140625" customWidth="1"/>
    <col min="4" max="4" width="11.140625" customWidth="1"/>
  </cols>
  <sheetData>
    <row r="1" spans="1:19" x14ac:dyDescent="0.25">
      <c r="B1" s="14" t="s">
        <v>250</v>
      </c>
      <c r="C1" t="s">
        <v>251</v>
      </c>
      <c r="D1" t="s">
        <v>252</v>
      </c>
      <c r="E1" t="s">
        <v>253</v>
      </c>
      <c r="I1" s="14" t="s">
        <v>130</v>
      </c>
      <c r="J1" s="14" t="s">
        <v>258</v>
      </c>
      <c r="K1" s="14" t="s">
        <v>259</v>
      </c>
      <c r="N1" t="s">
        <v>262</v>
      </c>
    </row>
    <row r="2" spans="1:19" x14ac:dyDescent="0.25">
      <c r="A2" s="14" t="s">
        <v>255</v>
      </c>
      <c r="B2">
        <v>3</v>
      </c>
      <c r="C2">
        <v>6</v>
      </c>
      <c r="D2">
        <v>12</v>
      </c>
      <c r="E2">
        <v>20</v>
      </c>
      <c r="F2" s="13" t="s">
        <v>254</v>
      </c>
      <c r="I2" s="14">
        <v>1</v>
      </c>
      <c r="J2">
        <v>5</v>
      </c>
      <c r="K2">
        <f>2/3*J2</f>
        <v>3.333333333333333</v>
      </c>
      <c r="N2" t="s">
        <v>23</v>
      </c>
      <c r="O2" t="s">
        <v>263</v>
      </c>
      <c r="P2" t="s">
        <v>144</v>
      </c>
    </row>
    <row r="3" spans="1:19" x14ac:dyDescent="0.25">
      <c r="A3" s="14" t="s">
        <v>256</v>
      </c>
      <c r="B3">
        <v>8</v>
      </c>
      <c r="C3">
        <v>16</v>
      </c>
      <c r="D3">
        <v>32</v>
      </c>
      <c r="E3">
        <v>64</v>
      </c>
      <c r="I3">
        <v>2</v>
      </c>
      <c r="J3">
        <f>J2*2</f>
        <v>10</v>
      </c>
      <c r="K3" s="22">
        <f t="shared" ref="K3:K6" si="0">2/3*J3</f>
        <v>6.6666666666666661</v>
      </c>
      <c r="N3">
        <v>0.14000000000000001</v>
      </c>
      <c r="O3" s="23">
        <v>0.14000000000000001</v>
      </c>
      <c r="P3" s="23">
        <v>0.14000000000000001</v>
      </c>
      <c r="S3">
        <f>80/5</f>
        <v>16</v>
      </c>
    </row>
    <row r="4" spans="1:19" x14ac:dyDescent="0.25">
      <c r="A4" s="14" t="s">
        <v>257</v>
      </c>
      <c r="B4">
        <f>B3/4</f>
        <v>2</v>
      </c>
      <c r="C4" s="22">
        <f t="shared" ref="C4:E4" si="1">C3/4</f>
        <v>4</v>
      </c>
      <c r="D4" s="22">
        <f t="shared" si="1"/>
        <v>8</v>
      </c>
      <c r="E4" s="22">
        <f t="shared" si="1"/>
        <v>16</v>
      </c>
      <c r="I4">
        <v>3</v>
      </c>
      <c r="J4" s="22">
        <f t="shared" ref="J4:J6" si="2">J3*2</f>
        <v>20</v>
      </c>
      <c r="K4" s="22">
        <f t="shared" si="0"/>
        <v>13.333333333333332</v>
      </c>
      <c r="M4" t="s">
        <v>266</v>
      </c>
      <c r="N4" s="23" t="s">
        <v>23</v>
      </c>
      <c r="O4" s="23" t="s">
        <v>263</v>
      </c>
      <c r="P4" s="23" t="s">
        <v>144</v>
      </c>
    </row>
    <row r="5" spans="1:19" x14ac:dyDescent="0.25">
      <c r="A5" s="14" t="s">
        <v>261</v>
      </c>
      <c r="B5">
        <f>B3-B4</f>
        <v>6</v>
      </c>
      <c r="C5" s="23">
        <f t="shared" ref="C5:E5" si="3">C3-C4</f>
        <v>12</v>
      </c>
      <c r="D5" s="23">
        <f t="shared" si="3"/>
        <v>24</v>
      </c>
      <c r="E5" s="23">
        <f t="shared" si="3"/>
        <v>48</v>
      </c>
      <c r="I5">
        <v>4</v>
      </c>
      <c r="J5" s="22">
        <f t="shared" si="2"/>
        <v>40</v>
      </c>
      <c r="K5" s="22">
        <f t="shared" si="0"/>
        <v>26.666666666666664</v>
      </c>
      <c r="N5" s="24">
        <f>N3/$B5</f>
        <v>2.3333333333333334E-2</v>
      </c>
      <c r="O5" s="12">
        <v>40</v>
      </c>
      <c r="P5" s="12">
        <v>2.25</v>
      </c>
    </row>
    <row r="6" spans="1:19" x14ac:dyDescent="0.25">
      <c r="A6" s="14" t="s">
        <v>274</v>
      </c>
      <c r="B6">
        <v>300</v>
      </c>
      <c r="C6">
        <f>B6*2</f>
        <v>600</v>
      </c>
      <c r="D6" s="23">
        <f t="shared" ref="D6:E6" si="4">C6*2</f>
        <v>1200</v>
      </c>
      <c r="E6" s="23">
        <f t="shared" si="4"/>
        <v>2400</v>
      </c>
      <c r="I6">
        <v>5</v>
      </c>
      <c r="J6" s="22">
        <f t="shared" si="2"/>
        <v>80</v>
      </c>
      <c r="K6" s="22">
        <f t="shared" si="0"/>
        <v>53.333333333333329</v>
      </c>
    </row>
    <row r="7" spans="1:19" s="23" customFormat="1" x14ac:dyDescent="0.25">
      <c r="A7" s="14" t="s">
        <v>264</v>
      </c>
      <c r="B7" s="23">
        <v>1</v>
      </c>
      <c r="C7" s="23">
        <f>(C11/C8)-1</f>
        <v>-0.625</v>
      </c>
      <c r="D7" s="23">
        <f t="shared" ref="D7:E7" si="5">(D11/D8)-1</f>
        <v>-0.875</v>
      </c>
      <c r="E7" s="23">
        <f t="shared" si="5"/>
        <v>-0.96875</v>
      </c>
    </row>
    <row r="8" spans="1:19" s="23" customFormat="1" x14ac:dyDescent="0.25">
      <c r="A8" s="14" t="s">
        <v>269</v>
      </c>
      <c r="B8" s="23">
        <f>B3*$N$5</f>
        <v>0.18666666666666668</v>
      </c>
      <c r="C8" s="23">
        <f>C3*$N$5</f>
        <v>0.37333333333333335</v>
      </c>
      <c r="D8" s="23">
        <f>D3*$N$5</f>
        <v>0.7466666666666667</v>
      </c>
      <c r="E8" s="23">
        <f>E3*$N$5</f>
        <v>1.4933333333333334</v>
      </c>
      <c r="O8" s="23">
        <f>O5/5</f>
        <v>8</v>
      </c>
    </row>
    <row r="9" spans="1:19" x14ac:dyDescent="0.25">
      <c r="A9" s="14" t="s">
        <v>265</v>
      </c>
      <c r="B9" s="23">
        <f t="shared" ref="B9:D9" si="6">(B13-B14)</f>
        <v>0.11963190184049211</v>
      </c>
      <c r="C9" s="23">
        <f t="shared" si="6"/>
        <v>8.2380952380952337</v>
      </c>
      <c r="D9" s="23">
        <f t="shared" si="6"/>
        <v>20.831460674157285</v>
      </c>
      <c r="E9" s="23">
        <f>(E13-E14)</f>
        <v>62.769230769230745</v>
      </c>
      <c r="P9">
        <f>P5/5</f>
        <v>0.45</v>
      </c>
    </row>
    <row r="10" spans="1:19" x14ac:dyDescent="0.25">
      <c r="A10" s="14"/>
      <c r="B10" s="24"/>
      <c r="C10" s="24"/>
      <c r="D10" s="24"/>
      <c r="E10" s="24"/>
      <c r="I10" t="s">
        <v>144</v>
      </c>
    </row>
    <row r="11" spans="1:19" x14ac:dyDescent="0.25">
      <c r="A11" s="14" t="s">
        <v>267</v>
      </c>
      <c r="B11" s="24">
        <f>B3*$N$5*B7</f>
        <v>0.18666666666666668</v>
      </c>
      <c r="C11" s="24">
        <f>B11*(3/4)</f>
        <v>0.14000000000000001</v>
      </c>
      <c r="D11" s="24">
        <f>B11*(2/4)</f>
        <v>9.3333333333333338E-2</v>
      </c>
      <c r="E11" s="24">
        <f>B11/4</f>
        <v>4.6666666666666669E-2</v>
      </c>
      <c r="I11" t="s">
        <v>130</v>
      </c>
      <c r="J11">
        <f>B3</f>
        <v>8</v>
      </c>
      <c r="K11">
        <v>12</v>
      </c>
      <c r="L11">
        <v>24</v>
      </c>
      <c r="M11">
        <v>48</v>
      </c>
    </row>
    <row r="12" spans="1:19" x14ac:dyDescent="0.25">
      <c r="A12" s="14" t="s">
        <v>268</v>
      </c>
      <c r="B12" s="10">
        <v>0.185</v>
      </c>
      <c r="C12" s="10">
        <f>B12*2</f>
        <v>0.37</v>
      </c>
      <c r="D12" s="10">
        <f>B12*3</f>
        <v>0.55499999999999994</v>
      </c>
      <c r="E12" s="10">
        <f>B12*4</f>
        <v>0.74</v>
      </c>
      <c r="I12">
        <v>1</v>
      </c>
      <c r="J12" s="10">
        <f>(($P$5*$I12)*J$11)/((($P$5*$I12)*J$11)+60)</f>
        <v>0.23076923076923078</v>
      </c>
      <c r="K12" s="10">
        <f t="shared" ref="K12:M16" si="7">(($P$5*$I12)*K$11)/((($P$5*$I12)*K$11)+60)</f>
        <v>0.31034482758620691</v>
      </c>
      <c r="L12" s="10">
        <f t="shared" si="7"/>
        <v>0.47368421052631576</v>
      </c>
      <c r="M12" s="10">
        <f t="shared" si="7"/>
        <v>0.6428571428571429</v>
      </c>
    </row>
    <row r="13" spans="1:19" x14ac:dyDescent="0.25">
      <c r="A13" s="14" t="s">
        <v>270</v>
      </c>
      <c r="B13" s="23">
        <f>-((60*B12)/(B12-1))</f>
        <v>13.619631901840492</v>
      </c>
      <c r="C13" s="23">
        <f t="shared" ref="C13:D13" si="8">-((60*C12)/(C12-1))</f>
        <v>35.238095238095234</v>
      </c>
      <c r="D13" s="23">
        <f t="shared" si="8"/>
        <v>74.831460674157285</v>
      </c>
      <c r="E13" s="23">
        <f>-((60*E12)/(E12-1))</f>
        <v>170.76923076923075</v>
      </c>
      <c r="F13" s="23"/>
      <c r="I13">
        <v>2</v>
      </c>
      <c r="J13" s="10">
        <f t="shared" ref="J13:J16" si="9">(($P$5*$I13)*J$11)/((($P$5*$I13)*J$11)+60)</f>
        <v>0.375</v>
      </c>
      <c r="K13" s="10">
        <f t="shared" si="7"/>
        <v>0.47368421052631576</v>
      </c>
      <c r="L13" s="10">
        <f t="shared" si="7"/>
        <v>0.6428571428571429</v>
      </c>
      <c r="M13" s="10">
        <f t="shared" si="7"/>
        <v>0.78260869565217395</v>
      </c>
    </row>
    <row r="14" spans="1:19" x14ac:dyDescent="0.25">
      <c r="A14" s="14" t="s">
        <v>271</v>
      </c>
      <c r="B14" s="23">
        <f>$P$5*B5</f>
        <v>13.5</v>
      </c>
      <c r="C14" s="23">
        <f>$P$5*C5</f>
        <v>27</v>
      </c>
      <c r="D14" s="23">
        <f>$P$5*D5</f>
        <v>54</v>
      </c>
      <c r="E14" s="23">
        <f>$P$5*E5</f>
        <v>108</v>
      </c>
      <c r="I14">
        <v>3</v>
      </c>
      <c r="J14" s="10">
        <f t="shared" si="9"/>
        <v>0.47368421052631576</v>
      </c>
      <c r="K14" s="10">
        <f t="shared" si="7"/>
        <v>0.57446808510638303</v>
      </c>
      <c r="L14" s="10">
        <f t="shared" si="7"/>
        <v>0.72972972972972971</v>
      </c>
      <c r="M14" s="10">
        <f t="shared" si="7"/>
        <v>0.84375</v>
      </c>
    </row>
    <row r="15" spans="1:19" x14ac:dyDescent="0.25">
      <c r="A15" s="14" t="s">
        <v>272</v>
      </c>
      <c r="B15" s="10">
        <f>((B3*$P$5)+B9)/((B3*$P$5)+60+B9)</f>
        <v>0.23194722582165156</v>
      </c>
      <c r="C15" s="10">
        <f>((C3*$P$5)+C9)/((C3*$P$5)+60+C9)</f>
        <v>0.42439470077661029</v>
      </c>
      <c r="D15" s="10">
        <f>((D3*$P$5)+D9)/((D3*$P$5)+60+D9)</f>
        <v>0.60741067490074985</v>
      </c>
      <c r="E15" s="10">
        <f>((E3*$P$5)+E9)/((E3*$P$5)+60+E9)</f>
        <v>0.77508650519031153</v>
      </c>
      <c r="I15">
        <v>4</v>
      </c>
      <c r="J15" s="10">
        <f t="shared" si="9"/>
        <v>0.54545454545454541</v>
      </c>
      <c r="K15" s="10">
        <f t="shared" si="7"/>
        <v>0.6428571428571429</v>
      </c>
      <c r="L15" s="10">
        <f t="shared" si="7"/>
        <v>0.78260869565217395</v>
      </c>
      <c r="M15" s="10">
        <f t="shared" si="7"/>
        <v>0.87804878048780488</v>
      </c>
    </row>
    <row r="16" spans="1:19" x14ac:dyDescent="0.25">
      <c r="A16" s="14" t="s">
        <v>273</v>
      </c>
      <c r="B16">
        <f>(B5*$O$5)/B6</f>
        <v>0.8</v>
      </c>
      <c r="C16" s="23">
        <f t="shared" ref="C16:E16" si="10">(C5*$O$5)/C6</f>
        <v>0.8</v>
      </c>
      <c r="D16" s="23">
        <f t="shared" si="10"/>
        <v>0.8</v>
      </c>
      <c r="E16" s="23">
        <f t="shared" si="10"/>
        <v>0.8</v>
      </c>
      <c r="F16" s="23"/>
      <c r="I16">
        <v>5</v>
      </c>
      <c r="J16" s="10">
        <f t="shared" si="9"/>
        <v>0.6</v>
      </c>
      <c r="K16" s="10">
        <f t="shared" si="7"/>
        <v>0.69230769230769229</v>
      </c>
      <c r="L16" s="10">
        <f t="shared" si="7"/>
        <v>0.81818181818181823</v>
      </c>
      <c r="M16" s="10">
        <f t="shared" si="7"/>
        <v>0.9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9"/>
  <sheetViews>
    <sheetView tabSelected="1" topLeftCell="A138" workbookViewId="0">
      <selection activeCell="W139" sqref="W139"/>
    </sheetView>
  </sheetViews>
  <sheetFormatPr defaultRowHeight="15" x14ac:dyDescent="0.25"/>
  <cols>
    <col min="1" max="1" width="20.85546875" customWidth="1"/>
    <col min="8" max="8" width="18" customWidth="1"/>
  </cols>
  <sheetData>
    <row r="1" spans="1:17" x14ac:dyDescent="0.25">
      <c r="A1" s="15" t="s">
        <v>0</v>
      </c>
      <c r="B1" s="2"/>
      <c r="C1" s="2"/>
      <c r="D1" s="2"/>
      <c r="E1" s="2"/>
      <c r="F1" s="5"/>
      <c r="G1" s="5"/>
      <c r="H1" s="5"/>
      <c r="I1" s="5"/>
      <c r="J1" s="5"/>
      <c r="K1" s="2"/>
      <c r="L1" s="2"/>
      <c r="M1" s="2"/>
      <c r="N1" s="2"/>
      <c r="O1" s="2"/>
      <c r="P1" s="1"/>
      <c r="Q1" s="2"/>
    </row>
    <row r="2" spans="1:17" x14ac:dyDescent="0.25">
      <c r="A2" s="15" t="s">
        <v>1</v>
      </c>
      <c r="B2" s="2"/>
      <c r="C2" s="2"/>
      <c r="D2" s="2"/>
      <c r="E2" s="2"/>
      <c r="F2" s="5"/>
      <c r="G2" s="5"/>
      <c r="H2" s="5"/>
      <c r="I2" s="5"/>
      <c r="J2" s="5"/>
      <c r="K2" s="2"/>
      <c r="L2" s="2"/>
      <c r="M2" s="2"/>
      <c r="N2" s="2"/>
      <c r="O2" s="2"/>
      <c r="P2" s="1"/>
      <c r="Q2" s="2"/>
    </row>
    <row r="3" spans="1:17" x14ac:dyDescent="0.25">
      <c r="A3" s="15" t="s">
        <v>2</v>
      </c>
      <c r="B3" s="2"/>
      <c r="C3" s="2"/>
      <c r="D3" s="2"/>
      <c r="E3" s="2"/>
      <c r="F3" s="5"/>
      <c r="G3" s="5"/>
      <c r="H3" s="5" t="s">
        <v>3</v>
      </c>
      <c r="I3" s="5"/>
      <c r="J3" s="5"/>
      <c r="K3" s="2"/>
      <c r="L3" s="2"/>
      <c r="M3" s="2"/>
      <c r="N3" s="2"/>
      <c r="O3" s="2"/>
      <c r="P3" s="1"/>
      <c r="Q3" s="2"/>
    </row>
    <row r="4" spans="1:17" x14ac:dyDescent="0.25">
      <c r="A4" s="15" t="s">
        <v>2</v>
      </c>
      <c r="B4" s="2"/>
      <c r="C4" s="2"/>
      <c r="D4" s="2"/>
      <c r="E4" s="2"/>
      <c r="F4" s="5"/>
      <c r="G4" s="5" t="s">
        <v>4</v>
      </c>
      <c r="H4" s="5" t="s">
        <v>5</v>
      </c>
      <c r="I4" s="5"/>
      <c r="J4" s="5">
        <v>100</v>
      </c>
      <c r="K4" s="5">
        <v>50</v>
      </c>
      <c r="L4" s="2"/>
      <c r="M4" s="2"/>
      <c r="N4" s="2" t="s">
        <v>146</v>
      </c>
      <c r="O4" s="2"/>
      <c r="P4" s="27"/>
      <c r="Q4" s="2"/>
    </row>
    <row r="5" spans="1:17" x14ac:dyDescent="0.25">
      <c r="A5" s="15" t="s">
        <v>2</v>
      </c>
      <c r="B5" s="2"/>
      <c r="C5" s="2"/>
      <c r="D5" s="2"/>
      <c r="E5" s="2"/>
      <c r="F5" s="5" t="s">
        <v>6</v>
      </c>
      <c r="G5" s="5" t="s">
        <v>7</v>
      </c>
      <c r="H5" s="5" t="s">
        <v>8</v>
      </c>
      <c r="I5" s="5"/>
      <c r="J5" s="5"/>
      <c r="K5" s="2"/>
      <c r="L5" s="2"/>
      <c r="M5" s="2"/>
      <c r="N5" s="2" t="s">
        <v>147</v>
      </c>
      <c r="O5" s="2"/>
      <c r="P5" s="28"/>
      <c r="Q5" s="2"/>
    </row>
    <row r="6" spans="1:17" x14ac:dyDescent="0.25">
      <c r="A6" s="15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2" t="s">
        <v>20</v>
      </c>
      <c r="M6" s="2" t="s">
        <v>21</v>
      </c>
      <c r="N6" s="3" t="s">
        <v>148</v>
      </c>
      <c r="O6" s="5" t="s">
        <v>149</v>
      </c>
      <c r="P6" s="28"/>
      <c r="Q6" s="2"/>
    </row>
    <row r="7" spans="1:17" x14ac:dyDescent="0.25">
      <c r="A7" s="15" t="s">
        <v>22</v>
      </c>
      <c r="B7" s="2"/>
      <c r="C7" s="2"/>
      <c r="D7" s="2"/>
      <c r="E7" s="2"/>
      <c r="F7" s="5"/>
      <c r="G7" s="5"/>
      <c r="H7" s="5"/>
      <c r="I7" s="5"/>
      <c r="J7" s="5"/>
      <c r="K7" s="2"/>
      <c r="L7" s="8"/>
      <c r="M7" s="8"/>
      <c r="N7" s="8"/>
      <c r="O7" s="2"/>
      <c r="P7" s="28"/>
      <c r="Q7" s="4"/>
    </row>
    <row r="8" spans="1:17" x14ac:dyDescent="0.25">
      <c r="A8" s="15" t="s">
        <v>24</v>
      </c>
      <c r="B8" s="5">
        <v>2.5</v>
      </c>
      <c r="C8" s="5">
        <f>ROUND(_xlfn.IFNA(VLOOKUP(A8,'Weapon Formulas'!$E$10:$V$115,17,0),weapon_components!C8),2)</f>
        <v>-3.33</v>
      </c>
      <c r="D8" s="5">
        <f>ROUND(_xlfn.IFNA(VLOOKUP(A8,'Weapon Formulas'!$E$10:$Q$115,11,0),weapon_components!D8),2)</f>
        <v>10.45</v>
      </c>
      <c r="E8" s="5">
        <f>ROUND(_xlfn.IFNA(VLOOKUP(A8,'Weapon Formulas'!$E$10:$Q$115,12,0),weapon_components!E8),2)</f>
        <v>17.41</v>
      </c>
      <c r="F8" s="5">
        <f>ROUND(_xlfn.IFNA(VLOOKUP(A8,'Weapon Formulas'!$E$10:$L$115,8,0),weapon_components!F8),2)</f>
        <v>0.02</v>
      </c>
      <c r="G8" s="5">
        <f>ROUND(_xlfn.IFNA(VLOOKUP(A8,'Weapon Formulas'!$E$10:$P$115,9,0),weapon_components!G8),2)</f>
        <v>0</v>
      </c>
      <c r="H8" s="5">
        <f>ROUND(_xlfn.IFNA(VLOOKUP(A8,'Weapon Formulas'!$E$10:$L$115,7,0),weapon_components!H8),2)</f>
        <v>-1.67</v>
      </c>
      <c r="I8" s="5">
        <v>2</v>
      </c>
      <c r="J8" s="5">
        <v>23</v>
      </c>
      <c r="K8" s="5">
        <v>25</v>
      </c>
      <c r="L8" s="5">
        <f>ROUND(_xlfn.IFNA(VLOOKUP(A8,'Weapon Formulas'!$E$10:$Z$115,15,0),weapon_components!L8),1)</f>
        <v>24</v>
      </c>
      <c r="M8" s="2">
        <v>0.69</v>
      </c>
      <c r="N8" s="5">
        <f>ROUND(_xlfn.IFNA(VLOOKUP(A8,'Weapon Formulas'!$E$10:$W$115,16,0),weapon_components!N8),2)</f>
        <v>0</v>
      </c>
      <c r="O8" s="5"/>
      <c r="P8" s="6"/>
      <c r="Q8" s="7"/>
    </row>
    <row r="9" spans="1:17" x14ac:dyDescent="0.25">
      <c r="A9" s="15" t="s">
        <v>25</v>
      </c>
      <c r="B9" s="5">
        <v>5</v>
      </c>
      <c r="C9" s="5">
        <f>ROUND(_xlfn.IFNA(VLOOKUP(A9,'Weapon Formulas'!$E$10:$V$115,17,0),weapon_components!C9),2)</f>
        <v>-6.67</v>
      </c>
      <c r="D9" s="5">
        <f>ROUND(_xlfn.IFNA(VLOOKUP(A9,'Weapon Formulas'!$E$10:$Q$115,11,0),weapon_components!D9),2)</f>
        <v>19.68</v>
      </c>
      <c r="E9" s="5">
        <f>ROUND(_xlfn.IFNA(VLOOKUP(A9,'Weapon Formulas'!$E$10:$Q$115,12,0),weapon_components!E9),2)</f>
        <v>32.81</v>
      </c>
      <c r="F9" s="5">
        <f>ROUND(_xlfn.IFNA(VLOOKUP(A9,'Weapon Formulas'!$E$10:$L$115,8,0),weapon_components!F9),2)</f>
        <v>0.02</v>
      </c>
      <c r="G9" s="5">
        <f>ROUND(_xlfn.IFNA(VLOOKUP(A9,'Weapon Formulas'!$E$10:$P$115,9,0),weapon_components!G9),2)</f>
        <v>0</v>
      </c>
      <c r="H9" s="5">
        <f>ROUND(_xlfn.IFNA(VLOOKUP(A9,'Weapon Formulas'!$E$10:$L$115,7,0),weapon_components!H9),2)</f>
        <v>-3.61</v>
      </c>
      <c r="I9" s="5">
        <v>2</v>
      </c>
      <c r="J9" s="5">
        <v>23</v>
      </c>
      <c r="K9" s="5">
        <v>25</v>
      </c>
      <c r="L9" s="5">
        <f>ROUND(_xlfn.IFNA(VLOOKUP(A9,'Weapon Formulas'!$E$10:$Z$115,15,0),weapon_components!L9),1)</f>
        <v>30</v>
      </c>
      <c r="M9" s="2">
        <v>0.8</v>
      </c>
      <c r="N9" s="5">
        <f>ROUND(_xlfn.IFNA(VLOOKUP(A9,'Weapon Formulas'!$E$10:$W$115,16,0),weapon_components!N9),2)</f>
        <v>0</v>
      </c>
      <c r="O9" s="5"/>
      <c r="P9" s="6"/>
      <c r="Q9" s="7"/>
    </row>
    <row r="10" spans="1:17" x14ac:dyDescent="0.25">
      <c r="A10" s="15" t="s">
        <v>26</v>
      </c>
      <c r="B10" s="5">
        <v>10</v>
      </c>
      <c r="C10" s="5">
        <f>ROUND(_xlfn.IFNA(VLOOKUP(A10,'Weapon Formulas'!$E$10:$V$115,17,0),weapon_components!C10),2)</f>
        <v>-13.33</v>
      </c>
      <c r="D10" s="5">
        <f>ROUND(_xlfn.IFNA(VLOOKUP(A10,'Weapon Formulas'!$E$10:$Q$115,11,0),weapon_components!D10),2)</f>
        <v>45.49</v>
      </c>
      <c r="E10" s="5">
        <f>ROUND(_xlfn.IFNA(VLOOKUP(A10,'Weapon Formulas'!$E$10:$Q$115,12,0),weapon_components!E10),2)</f>
        <v>75.81</v>
      </c>
      <c r="F10" s="5">
        <f>ROUND(_xlfn.IFNA(VLOOKUP(A10,'Weapon Formulas'!$E$10:$L$115,8,0),weapon_components!F10),2)</f>
        <v>0.02</v>
      </c>
      <c r="G10" s="5">
        <f>ROUND(_xlfn.IFNA(VLOOKUP(A10,'Weapon Formulas'!$E$10:$P$115,9,0),weapon_components!G10),2)</f>
        <v>0</v>
      </c>
      <c r="H10" s="5">
        <f>ROUND(_xlfn.IFNA(VLOOKUP(A10,'Weapon Formulas'!$E$10:$L$115,7,0),weapon_components!H10),2)</f>
        <v>-5.22</v>
      </c>
      <c r="I10" s="5">
        <v>2</v>
      </c>
      <c r="J10" s="5">
        <v>23</v>
      </c>
      <c r="K10" s="5">
        <v>25</v>
      </c>
      <c r="L10" s="5">
        <f>ROUND(_xlfn.IFNA(VLOOKUP(A10,'Weapon Formulas'!$E$10:$Z$115,15,0),weapon_components!L10),1)</f>
        <v>36</v>
      </c>
      <c r="M10" s="2">
        <v>0.75</v>
      </c>
      <c r="N10" s="5">
        <f>ROUND(_xlfn.IFNA(VLOOKUP(A10,'Weapon Formulas'!$E$10:$W$115,16,0),weapon_components!N10),2)</f>
        <v>0</v>
      </c>
      <c r="O10" s="5"/>
      <c r="P10" s="6"/>
      <c r="Q10" s="7"/>
    </row>
    <row r="11" spans="1:17" x14ac:dyDescent="0.25">
      <c r="A11" s="15" t="s">
        <v>27</v>
      </c>
      <c r="B11" s="5">
        <v>5</v>
      </c>
      <c r="C11" s="5">
        <f>ROUND(_xlfn.IFNA(VLOOKUP(A11,'Weapon Formulas'!$E$10:$V$115,17,0),weapon_components!C11),2)</f>
        <v>-6.67</v>
      </c>
      <c r="D11" s="5">
        <f>ROUND(_xlfn.IFNA(VLOOKUP(A11,'Weapon Formulas'!$E$10:$Q$115,11,0),weapon_components!D11),2)</f>
        <v>19.07</v>
      </c>
      <c r="E11" s="5">
        <f>ROUND(_xlfn.IFNA(VLOOKUP(A11,'Weapon Formulas'!$E$10:$Q$115,12,0),weapon_components!E11),2)</f>
        <v>31.78</v>
      </c>
      <c r="F11" s="5">
        <f>ROUND(_xlfn.IFNA(VLOOKUP(A11,'Weapon Formulas'!$E$10:$L$115,8,0),weapon_components!F11),2)</f>
        <v>0.03</v>
      </c>
      <c r="G11" s="5">
        <f>ROUND(_xlfn.IFNA(VLOOKUP(A11,'Weapon Formulas'!$E$10:$P$115,9,0),weapon_components!G11),2)</f>
        <v>0</v>
      </c>
      <c r="H11" s="5">
        <f>ROUND(_xlfn.IFNA(VLOOKUP(A11,'Weapon Formulas'!$E$10:$L$115,7,0),weapon_components!H11),2)</f>
        <v>-1.3</v>
      </c>
      <c r="I11" s="5">
        <v>2</v>
      </c>
      <c r="J11" s="5">
        <v>23</v>
      </c>
      <c r="K11" s="5">
        <v>25</v>
      </c>
      <c r="L11" s="5">
        <f>ROUND(_xlfn.IFNA(VLOOKUP(A11,'Weapon Formulas'!$E$10:$Z$115,15,0),weapon_components!L11),1)</f>
        <v>26.9</v>
      </c>
      <c r="M11" s="2">
        <v>0.82</v>
      </c>
      <c r="N11" s="5">
        <f>ROUND(_xlfn.IFNA(VLOOKUP(A11,'Weapon Formulas'!$E$10:$W$115,16,0),weapon_components!N11),2)</f>
        <v>0</v>
      </c>
      <c r="O11" s="5"/>
      <c r="P11" s="6"/>
      <c r="Q11" s="7"/>
    </row>
    <row r="12" spans="1:17" x14ac:dyDescent="0.25">
      <c r="A12" s="15" t="s">
        <v>28</v>
      </c>
      <c r="B12" s="5">
        <v>10</v>
      </c>
      <c r="C12" s="5">
        <f>ROUND(_xlfn.IFNA(VLOOKUP(A12,'Weapon Formulas'!$E$10:$V$115,17,0),weapon_components!C12),2)</f>
        <v>-13.33</v>
      </c>
      <c r="D12" s="5">
        <f>ROUND(_xlfn.IFNA(VLOOKUP(A12,'Weapon Formulas'!$E$10:$Q$115,11,0),weapon_components!D12),2)</f>
        <v>42.48</v>
      </c>
      <c r="E12" s="5">
        <f>ROUND(_xlfn.IFNA(VLOOKUP(A12,'Weapon Formulas'!$E$10:$Q$115,12,0),weapon_components!E12),2)</f>
        <v>70.790000000000006</v>
      </c>
      <c r="F12" s="5">
        <f>ROUND(_xlfn.IFNA(VLOOKUP(A12,'Weapon Formulas'!$E$10:$L$115,8,0),weapon_components!F12),2)</f>
        <v>0.03</v>
      </c>
      <c r="G12" s="5">
        <f>ROUND(_xlfn.IFNA(VLOOKUP(A12,'Weapon Formulas'!$E$10:$P$115,9,0),weapon_components!G12),2)</f>
        <v>0</v>
      </c>
      <c r="H12" s="5">
        <f>ROUND(_xlfn.IFNA(VLOOKUP(A12,'Weapon Formulas'!$E$10:$L$115,7,0),weapon_components!H12),2)</f>
        <v>-2.11</v>
      </c>
      <c r="I12" s="5">
        <v>2</v>
      </c>
      <c r="J12" s="5">
        <v>23</v>
      </c>
      <c r="K12" s="5">
        <v>25</v>
      </c>
      <c r="L12" s="5">
        <f>ROUND(_xlfn.IFNA(VLOOKUP(A12,'Weapon Formulas'!$E$10:$Z$115,15,0),weapon_components!L12),1)</f>
        <v>33.6</v>
      </c>
      <c r="M12" s="2">
        <v>0.8</v>
      </c>
      <c r="N12" s="5">
        <f>ROUND(_xlfn.IFNA(VLOOKUP(A12,'Weapon Formulas'!$E$10:$W$115,16,0),weapon_components!N12),2)</f>
        <v>0</v>
      </c>
      <c r="O12" s="5"/>
      <c r="P12" s="6"/>
      <c r="Q12" s="7"/>
    </row>
    <row r="13" spans="1:17" x14ac:dyDescent="0.25">
      <c r="A13" s="15" t="s">
        <v>29</v>
      </c>
      <c r="B13" s="5">
        <v>20</v>
      </c>
      <c r="C13" s="5">
        <f>ROUND(_xlfn.IFNA(VLOOKUP(A13,'Weapon Formulas'!$E$10:$V$115,17,0),weapon_components!C13),2)</f>
        <v>-26.67</v>
      </c>
      <c r="D13" s="5">
        <f>ROUND(_xlfn.IFNA(VLOOKUP(A13,'Weapon Formulas'!$E$10:$Q$115,11,0),weapon_components!D13),2)</f>
        <v>97.77</v>
      </c>
      <c r="E13" s="5">
        <f>ROUND(_xlfn.IFNA(VLOOKUP(A13,'Weapon Formulas'!$E$10:$Q$115,12,0),weapon_components!E13),2)</f>
        <v>162.96</v>
      </c>
      <c r="F13" s="5">
        <f>ROUND(_xlfn.IFNA(VLOOKUP(A13,'Weapon Formulas'!$E$10:$L$115,8,0),weapon_components!F13),2)</f>
        <v>0.03</v>
      </c>
      <c r="G13" s="5">
        <f>ROUND(_xlfn.IFNA(VLOOKUP(A13,'Weapon Formulas'!$E$10:$P$115,9,0),weapon_components!G13),2)</f>
        <v>0</v>
      </c>
      <c r="H13" s="5">
        <f>ROUND(_xlfn.IFNA(VLOOKUP(A13,'Weapon Formulas'!$E$10:$L$115,7,0),weapon_components!H13),2)</f>
        <v>-2.79</v>
      </c>
      <c r="I13" s="5">
        <v>2</v>
      </c>
      <c r="J13" s="5">
        <v>23</v>
      </c>
      <c r="K13" s="5">
        <v>25</v>
      </c>
      <c r="L13" s="5">
        <f>ROUND(_xlfn.IFNA(VLOOKUP(A13,'Weapon Formulas'!$E$10:$Z$115,15,0),weapon_components!L13),1)</f>
        <v>40.299999999999997</v>
      </c>
      <c r="M13" s="2">
        <v>0.75</v>
      </c>
      <c r="N13" s="5">
        <f>ROUND(_xlfn.IFNA(VLOOKUP(A13,'Weapon Formulas'!$E$10:$W$115,16,0),weapon_components!N13),2)</f>
        <v>0</v>
      </c>
      <c r="O13" s="5"/>
      <c r="P13" s="6"/>
      <c r="Q13" s="7"/>
    </row>
    <row r="14" spans="1:17" x14ac:dyDescent="0.25">
      <c r="A14" s="15" t="s">
        <v>30</v>
      </c>
      <c r="B14" s="5">
        <v>7.5</v>
      </c>
      <c r="C14" s="5">
        <f>ROUND(_xlfn.IFNA(VLOOKUP(A14,'Weapon Formulas'!$E$10:$V$115,17,0),weapon_components!C14),2)</f>
        <v>-13.33</v>
      </c>
      <c r="D14" s="5">
        <f>ROUND(_xlfn.IFNA(VLOOKUP(A14,'Weapon Formulas'!$E$10:$Q$115,11,0),weapon_components!D14),2)</f>
        <v>31.06</v>
      </c>
      <c r="E14" s="5">
        <f>ROUND(_xlfn.IFNA(VLOOKUP(A14,'Weapon Formulas'!$E$10:$Q$115,12,0),weapon_components!E14),2)</f>
        <v>51.76</v>
      </c>
      <c r="F14" s="5">
        <f>ROUND(_xlfn.IFNA(VLOOKUP(A14,'Weapon Formulas'!$E$10:$L$115,8,0),weapon_components!F14),2)</f>
        <v>0.05</v>
      </c>
      <c r="G14" s="5">
        <f>ROUND(_xlfn.IFNA(VLOOKUP(A14,'Weapon Formulas'!$E$10:$P$115,9,0),weapon_components!G14),2)</f>
        <v>0</v>
      </c>
      <c r="H14" s="5">
        <f>ROUND(_xlfn.IFNA(VLOOKUP(A14,'Weapon Formulas'!$E$10:$L$115,7,0),weapon_components!H14),2)</f>
        <v>-1.07</v>
      </c>
      <c r="I14" s="5">
        <v>2</v>
      </c>
      <c r="J14" s="5">
        <v>23</v>
      </c>
      <c r="K14" s="5">
        <v>25</v>
      </c>
      <c r="L14" s="5">
        <f>ROUND(_xlfn.IFNA(VLOOKUP(A14,'Weapon Formulas'!$E$10:$Z$115,15,0),weapon_components!L14),1)</f>
        <v>29.8</v>
      </c>
      <c r="M14" s="2">
        <v>0.82</v>
      </c>
      <c r="N14" s="5">
        <f>ROUND(_xlfn.IFNA(VLOOKUP(A14,'Weapon Formulas'!$E$10:$W$115,16,0),weapon_components!N14),2)</f>
        <v>0</v>
      </c>
      <c r="O14" s="5"/>
      <c r="P14" s="6"/>
      <c r="Q14" s="7"/>
    </row>
    <row r="15" spans="1:17" x14ac:dyDescent="0.25">
      <c r="A15" s="15" t="s">
        <v>31</v>
      </c>
      <c r="B15" s="5">
        <v>15</v>
      </c>
      <c r="C15" s="5">
        <f>ROUND(_xlfn.IFNA(VLOOKUP(A15,'Weapon Formulas'!$E$10:$V$115,17,0),weapon_components!C15),2)</f>
        <v>-26.67</v>
      </c>
      <c r="D15" s="5">
        <f>ROUND(_xlfn.IFNA(VLOOKUP(A15,'Weapon Formulas'!$E$10:$Q$115,11,0),weapon_components!D15),2)</f>
        <v>68.77</v>
      </c>
      <c r="E15" s="5">
        <f>ROUND(_xlfn.IFNA(VLOOKUP(A15,'Weapon Formulas'!$E$10:$Q$115,12,0),weapon_components!E15),2)</f>
        <v>114.61</v>
      </c>
      <c r="F15" s="5">
        <f>ROUND(_xlfn.IFNA(VLOOKUP(A15,'Weapon Formulas'!$E$10:$L$115,8,0),weapon_components!F15),2)</f>
        <v>0.05</v>
      </c>
      <c r="G15" s="5">
        <f>ROUND(_xlfn.IFNA(VLOOKUP(A15,'Weapon Formulas'!$E$10:$P$115,9,0),weapon_components!G15),2)</f>
        <v>0</v>
      </c>
      <c r="H15" s="5">
        <f>ROUND(_xlfn.IFNA(VLOOKUP(A15,'Weapon Formulas'!$E$10:$L$115,7,0),weapon_components!H15),2)</f>
        <v>-1.53</v>
      </c>
      <c r="I15" s="5">
        <v>2</v>
      </c>
      <c r="J15" s="5">
        <v>23</v>
      </c>
      <c r="K15" s="5">
        <v>25</v>
      </c>
      <c r="L15" s="5">
        <f>ROUND(_xlfn.IFNA(VLOOKUP(A15,'Weapon Formulas'!$E$10:$Z$115,15,0),weapon_components!L15),1)</f>
        <v>37.200000000000003</v>
      </c>
      <c r="M15" s="2">
        <v>0.8</v>
      </c>
      <c r="N15" s="5">
        <f>ROUND(_xlfn.IFNA(VLOOKUP(A15,'Weapon Formulas'!$E$10:$W$115,16,0),weapon_components!N15),2)</f>
        <v>0</v>
      </c>
      <c r="O15" s="5"/>
      <c r="P15" s="6"/>
      <c r="Q15" s="7"/>
    </row>
    <row r="16" spans="1:17" x14ac:dyDescent="0.25">
      <c r="A16" s="15" t="s">
        <v>32</v>
      </c>
      <c r="B16" s="5">
        <v>30</v>
      </c>
      <c r="C16" s="5">
        <f>ROUND(_xlfn.IFNA(VLOOKUP(A16,'Weapon Formulas'!$E$10:$V$115,17,0),weapon_components!C16),2)</f>
        <v>-53.33</v>
      </c>
      <c r="D16" s="5">
        <f>ROUND(_xlfn.IFNA(VLOOKUP(A16,'Weapon Formulas'!$E$10:$Q$115,11,0),weapon_components!D16),2)</f>
        <v>157.52000000000001</v>
      </c>
      <c r="E16" s="5">
        <f>ROUND(_xlfn.IFNA(VLOOKUP(A16,'Weapon Formulas'!$E$10:$Q$115,12,0),weapon_components!E16),2)</f>
        <v>262.54000000000002</v>
      </c>
      <c r="F16" s="5">
        <f>ROUND(_xlfn.IFNA(VLOOKUP(A16,'Weapon Formulas'!$E$10:$L$115,8,0),weapon_components!F16),2)</f>
        <v>0.05</v>
      </c>
      <c r="G16" s="5">
        <f>ROUND(_xlfn.IFNA(VLOOKUP(A16,'Weapon Formulas'!$E$10:$P$115,9,0),weapon_components!G16),2)</f>
        <v>0</v>
      </c>
      <c r="H16" s="5">
        <f>ROUND(_xlfn.IFNA(VLOOKUP(A16,'Weapon Formulas'!$E$10:$L$115,7,0),weapon_components!H16),2)</f>
        <v>-1.92</v>
      </c>
      <c r="I16" s="5">
        <v>2</v>
      </c>
      <c r="J16" s="5">
        <v>23</v>
      </c>
      <c r="K16" s="5">
        <v>25</v>
      </c>
      <c r="L16" s="5">
        <f>ROUND(_xlfn.IFNA(VLOOKUP(A16,'Weapon Formulas'!$E$10:$Z$115,15,0),weapon_components!L16),1)</f>
        <v>44.6</v>
      </c>
      <c r="M16" s="2">
        <v>0.75</v>
      </c>
      <c r="N16" s="5">
        <f>ROUND(_xlfn.IFNA(VLOOKUP(A16,'Weapon Formulas'!$E$10:$W$115,16,0),weapon_components!N16),2)</f>
        <v>0</v>
      </c>
      <c r="O16" s="5"/>
      <c r="P16" s="6"/>
      <c r="Q16" s="7"/>
    </row>
    <row r="17" spans="1:17" x14ac:dyDescent="0.25">
      <c r="A17" s="15" t="s">
        <v>33</v>
      </c>
      <c r="B17" s="5">
        <v>10</v>
      </c>
      <c r="C17" s="5">
        <f>ROUND(_xlfn.IFNA(VLOOKUP(A17,'Weapon Formulas'!$E$10:$V$115,17,0),weapon_components!C17),2)</f>
        <v>-26.67</v>
      </c>
      <c r="D17" s="5">
        <f>ROUND(_xlfn.IFNA(VLOOKUP(A17,'Weapon Formulas'!$E$10:$Q$115,11,0),weapon_components!D17),2)</f>
        <v>44.75</v>
      </c>
      <c r="E17" s="5">
        <f>ROUND(_xlfn.IFNA(VLOOKUP(A17,'Weapon Formulas'!$E$10:$Q$115,12,0),weapon_components!E17),2)</f>
        <v>74.59</v>
      </c>
      <c r="F17" s="5">
        <f>ROUND(_xlfn.IFNA(VLOOKUP(A17,'Weapon Formulas'!$E$10:$L$115,8,0),weapon_components!F17),2)</f>
        <v>7.0000000000000007E-2</v>
      </c>
      <c r="G17" s="5">
        <f>ROUND(_xlfn.IFNA(VLOOKUP(A17,'Weapon Formulas'!$E$10:$P$115,9,0),weapon_components!G17),2)</f>
        <v>0</v>
      </c>
      <c r="H17" s="5">
        <f>ROUND(_xlfn.IFNA(VLOOKUP(A17,'Weapon Formulas'!$E$10:$L$115,7,0),weapon_components!H17),2)</f>
        <v>-0.9</v>
      </c>
      <c r="I17" s="5">
        <v>2</v>
      </c>
      <c r="J17" s="5">
        <v>23</v>
      </c>
      <c r="K17" s="5">
        <v>25</v>
      </c>
      <c r="L17" s="5">
        <f>ROUND(_xlfn.IFNA(VLOOKUP(A17,'Weapon Formulas'!$E$10:$Z$115,15,0),weapon_components!L17),1)</f>
        <v>32.6</v>
      </c>
      <c r="M17" s="2">
        <v>0.82</v>
      </c>
      <c r="N17" s="5">
        <f>ROUND(_xlfn.IFNA(VLOOKUP(A17,'Weapon Formulas'!$E$10:$W$115,16,0),weapon_components!N17),2)</f>
        <v>0</v>
      </c>
      <c r="O17" s="5"/>
      <c r="P17" s="6"/>
      <c r="Q17" s="7"/>
    </row>
    <row r="18" spans="1:17" x14ac:dyDescent="0.25">
      <c r="A18" s="15" t="s">
        <v>34</v>
      </c>
      <c r="B18" s="5">
        <v>20</v>
      </c>
      <c r="C18" s="5">
        <f>ROUND(_xlfn.IFNA(VLOOKUP(A18,'Weapon Formulas'!$E$10:$V$115,17,0),weapon_components!C18),2)</f>
        <v>-53.33</v>
      </c>
      <c r="D18" s="5">
        <f>ROUND(_xlfn.IFNA(VLOOKUP(A18,'Weapon Formulas'!$E$10:$Q$115,11,0),weapon_components!D18),2)</f>
        <v>98.56</v>
      </c>
      <c r="E18" s="5">
        <f>ROUND(_xlfn.IFNA(VLOOKUP(A18,'Weapon Formulas'!$E$10:$Q$115,12,0),weapon_components!E18),2)</f>
        <v>164.27</v>
      </c>
      <c r="F18" s="5">
        <f>ROUND(_xlfn.IFNA(VLOOKUP(A18,'Weapon Formulas'!$E$10:$L$115,8,0),weapon_components!F18),2)</f>
        <v>7.0000000000000007E-2</v>
      </c>
      <c r="G18" s="5">
        <f>ROUND(_xlfn.IFNA(VLOOKUP(A18,'Weapon Formulas'!$E$10:$P$115,9,0),weapon_components!G18),2)</f>
        <v>0</v>
      </c>
      <c r="H18" s="5">
        <f>ROUND(_xlfn.IFNA(VLOOKUP(A18,'Weapon Formulas'!$E$10:$L$115,7,0),weapon_components!H18),2)</f>
        <v>-1.19</v>
      </c>
      <c r="I18" s="5">
        <v>2</v>
      </c>
      <c r="J18" s="5">
        <v>23</v>
      </c>
      <c r="K18" s="5">
        <v>25</v>
      </c>
      <c r="L18" s="5">
        <f>ROUND(_xlfn.IFNA(VLOOKUP(A18,'Weapon Formulas'!$E$10:$Z$115,15,0),weapon_components!L18),1)</f>
        <v>40.799999999999997</v>
      </c>
      <c r="M18" s="2">
        <v>0.8</v>
      </c>
      <c r="N18" s="5">
        <f>ROUND(_xlfn.IFNA(VLOOKUP(A18,'Weapon Formulas'!$E$10:$W$115,16,0),weapon_components!N18),2)</f>
        <v>0</v>
      </c>
      <c r="O18" s="5"/>
      <c r="P18" s="6"/>
      <c r="Q18" s="7"/>
    </row>
    <row r="19" spans="1:17" x14ac:dyDescent="0.25">
      <c r="A19" s="15" t="s">
        <v>35</v>
      </c>
      <c r="B19" s="5">
        <v>40</v>
      </c>
      <c r="C19" s="5">
        <f>ROUND(_xlfn.IFNA(VLOOKUP(A19,'Weapon Formulas'!$E$10:$V$115,17,0),weapon_components!C19),2)</f>
        <v>-106.67</v>
      </c>
      <c r="D19" s="5">
        <f>ROUND(_xlfn.IFNA(VLOOKUP(A19,'Weapon Formulas'!$E$10:$Q$115,11,0),weapon_components!D19),2)</f>
        <v>224.73</v>
      </c>
      <c r="E19" s="5">
        <f>ROUND(_xlfn.IFNA(VLOOKUP(A19,'Weapon Formulas'!$E$10:$Q$115,12,0),weapon_components!E19),2)</f>
        <v>374.55</v>
      </c>
      <c r="F19" s="5">
        <f>ROUND(_xlfn.IFNA(VLOOKUP(A19,'Weapon Formulas'!$E$10:$L$115,8,0),weapon_components!F19),2)</f>
        <v>7.0000000000000007E-2</v>
      </c>
      <c r="G19" s="5">
        <f>ROUND(_xlfn.IFNA(VLOOKUP(A19,'Weapon Formulas'!$E$10:$P$115,9,0),weapon_components!G19),2)</f>
        <v>0</v>
      </c>
      <c r="H19" s="5">
        <f>ROUND(_xlfn.IFNA(VLOOKUP(A19,'Weapon Formulas'!$E$10:$L$115,7,0),weapon_components!H19),2)</f>
        <v>-1.44</v>
      </c>
      <c r="I19" s="5">
        <v>2</v>
      </c>
      <c r="J19" s="5">
        <v>23</v>
      </c>
      <c r="K19" s="5">
        <v>25</v>
      </c>
      <c r="L19" s="5">
        <f>ROUND(_xlfn.IFNA(VLOOKUP(A19,'Weapon Formulas'!$E$10:$Z$115,15,0),weapon_components!L19),1)</f>
        <v>49</v>
      </c>
      <c r="M19" s="2">
        <v>0.75</v>
      </c>
      <c r="N19" s="5">
        <f>ROUND(_xlfn.IFNA(VLOOKUP(A19,'Weapon Formulas'!$E$10:$W$115,16,0),weapon_components!N19),2)</f>
        <v>0</v>
      </c>
      <c r="O19" s="5"/>
      <c r="P19" s="6"/>
      <c r="Q19" s="7"/>
    </row>
    <row r="20" spans="1:17" x14ac:dyDescent="0.25">
      <c r="A20" s="15" t="s">
        <v>36</v>
      </c>
      <c r="B20" s="5">
        <v>12.5</v>
      </c>
      <c r="C20" s="5">
        <f>ROUND(_xlfn.IFNA(VLOOKUP(A20,'Weapon Formulas'!$E$10:$V$115,17,0),weapon_components!C20),2)</f>
        <v>-53.33</v>
      </c>
      <c r="D20" s="5">
        <f>ROUND(_xlfn.IFNA(VLOOKUP(A20,'Weapon Formulas'!$E$10:$Q$115,11,0),weapon_components!D20),2)</f>
        <v>60.16</v>
      </c>
      <c r="E20" s="5">
        <f>ROUND(_xlfn.IFNA(VLOOKUP(A20,'Weapon Formulas'!$E$10:$Q$115,12,0),weapon_components!E20),2)</f>
        <v>100.27</v>
      </c>
      <c r="F20" s="5">
        <f>ROUND(_xlfn.IFNA(VLOOKUP(A20,'Weapon Formulas'!$E$10:$L$115,8,0),weapon_components!F20),2)</f>
        <v>0.08</v>
      </c>
      <c r="G20" s="5">
        <f>ROUND(_xlfn.IFNA(VLOOKUP(A20,'Weapon Formulas'!$E$10:$P$115,9,0),weapon_components!G20),2)</f>
        <v>0</v>
      </c>
      <c r="H20" s="5">
        <f>ROUND(_xlfn.IFNA(VLOOKUP(A20,'Weapon Formulas'!$E$10:$L$115,7,0),weapon_components!H20),2)</f>
        <v>-0.75</v>
      </c>
      <c r="I20" s="5">
        <v>2</v>
      </c>
      <c r="J20" s="5">
        <v>23</v>
      </c>
      <c r="K20" s="5">
        <v>25</v>
      </c>
      <c r="L20" s="5">
        <f>ROUND(_xlfn.IFNA(VLOOKUP(A20,'Weapon Formulas'!$E$10:$Z$115,15,0),weapon_components!L20),1)</f>
        <v>35.5</v>
      </c>
      <c r="M20" s="2">
        <v>0.82</v>
      </c>
      <c r="N20" s="5">
        <f>ROUND(_xlfn.IFNA(VLOOKUP(A20,'Weapon Formulas'!$E$10:$W$115,16,0),weapon_components!N20),2)</f>
        <v>0</v>
      </c>
      <c r="O20" s="5"/>
      <c r="P20" s="6"/>
      <c r="Q20" s="7"/>
    </row>
    <row r="21" spans="1:17" x14ac:dyDescent="0.25">
      <c r="A21" s="15" t="s">
        <v>37</v>
      </c>
      <c r="B21" s="5">
        <v>25</v>
      </c>
      <c r="C21" s="5">
        <f>ROUND(_xlfn.IFNA(VLOOKUP(A21,'Weapon Formulas'!$E$10:$V$115,17,0),weapon_components!C21),2)</f>
        <v>-106.67</v>
      </c>
      <c r="D21" s="5">
        <f>ROUND(_xlfn.IFNA(VLOOKUP(A21,'Weapon Formulas'!$E$10:$Q$115,11,0),weapon_components!D21),2)</f>
        <v>131.85</v>
      </c>
      <c r="E21" s="5">
        <f>ROUND(_xlfn.IFNA(VLOOKUP(A21,'Weapon Formulas'!$E$10:$Q$115,12,0),weapon_components!E21),2)</f>
        <v>219.76</v>
      </c>
      <c r="F21" s="5">
        <f>ROUND(_xlfn.IFNA(VLOOKUP(A21,'Weapon Formulas'!$E$10:$L$115,8,0),weapon_components!F21),2)</f>
        <v>0.08</v>
      </c>
      <c r="G21" s="5">
        <f>ROUND(_xlfn.IFNA(VLOOKUP(A21,'Weapon Formulas'!$E$10:$P$115,9,0),weapon_components!G21),2)</f>
        <v>0</v>
      </c>
      <c r="H21" s="5">
        <f>ROUND(_xlfn.IFNA(VLOOKUP(A21,'Weapon Formulas'!$E$10:$L$115,7,0),weapon_components!H21),2)</f>
        <v>-0.96</v>
      </c>
      <c r="I21" s="5">
        <v>2</v>
      </c>
      <c r="J21" s="5">
        <v>23</v>
      </c>
      <c r="K21" s="5">
        <v>25</v>
      </c>
      <c r="L21" s="5">
        <f>ROUND(_xlfn.IFNA(VLOOKUP(A21,'Weapon Formulas'!$E$10:$Z$115,15,0),weapon_components!L21),1)</f>
        <v>44.4</v>
      </c>
      <c r="M21" s="2">
        <v>0.8</v>
      </c>
      <c r="N21" s="5">
        <f>ROUND(_xlfn.IFNA(VLOOKUP(A21,'Weapon Formulas'!$E$10:$W$115,16,0),weapon_components!N21),2)</f>
        <v>0</v>
      </c>
      <c r="O21" s="5"/>
      <c r="P21" s="6"/>
      <c r="Q21" s="7"/>
    </row>
    <row r="22" spans="1:17" x14ac:dyDescent="0.25">
      <c r="A22" s="15" t="s">
        <v>38</v>
      </c>
      <c r="B22" s="5">
        <v>50</v>
      </c>
      <c r="C22" s="5">
        <f>ROUND(_xlfn.IFNA(VLOOKUP(A22,'Weapon Formulas'!$E$10:$V$115,17,0),weapon_components!C22),2)</f>
        <v>-213.33</v>
      </c>
      <c r="D22" s="5">
        <f>ROUND(_xlfn.IFNA(VLOOKUP(A22,'Weapon Formulas'!$E$10:$Q$115,11,0),weapon_components!D22),2)</f>
        <v>299.39999999999998</v>
      </c>
      <c r="E22" s="5">
        <f>ROUND(_xlfn.IFNA(VLOOKUP(A22,'Weapon Formulas'!$E$10:$Q$115,12,0),weapon_components!E22),2)</f>
        <v>499.01</v>
      </c>
      <c r="F22" s="5">
        <f>ROUND(_xlfn.IFNA(VLOOKUP(A22,'Weapon Formulas'!$E$10:$L$115,8,0),weapon_components!F22),2)</f>
        <v>0.08</v>
      </c>
      <c r="G22" s="5">
        <f>ROUND(_xlfn.IFNA(VLOOKUP(A22,'Weapon Formulas'!$E$10:$P$115,9,0),weapon_components!G22),2)</f>
        <v>0</v>
      </c>
      <c r="H22" s="5">
        <f>ROUND(_xlfn.IFNA(VLOOKUP(A22,'Weapon Formulas'!$E$10:$L$115,7,0),weapon_components!H22),2)</f>
        <v>-1.1299999999999999</v>
      </c>
      <c r="I22" s="5">
        <v>2</v>
      </c>
      <c r="J22" s="5">
        <v>23</v>
      </c>
      <c r="K22" s="5">
        <v>25</v>
      </c>
      <c r="L22" s="5">
        <f>ROUND(_xlfn.IFNA(VLOOKUP(A22,'Weapon Formulas'!$E$10:$Z$115,15,0),weapon_components!L22),1)</f>
        <v>53.3</v>
      </c>
      <c r="M22" s="2">
        <v>0.75</v>
      </c>
      <c r="N22" s="5">
        <f>ROUND(_xlfn.IFNA(VLOOKUP(A22,'Weapon Formulas'!$E$10:$W$115,16,0),weapon_components!N22),2)</f>
        <v>0</v>
      </c>
      <c r="O22" s="5"/>
      <c r="P22" s="6"/>
      <c r="Q22" s="7"/>
    </row>
    <row r="23" spans="1:17" x14ac:dyDescent="0.25">
      <c r="A23" s="15" t="s">
        <v>150</v>
      </c>
      <c r="B23" s="2"/>
      <c r="C23" s="5"/>
      <c r="D23" s="5"/>
      <c r="E23" s="5"/>
      <c r="F23" s="5"/>
      <c r="G23" s="5"/>
      <c r="H23" s="5"/>
      <c r="I23" s="5"/>
      <c r="J23" s="5"/>
      <c r="K23" s="2"/>
      <c r="L23" s="5"/>
      <c r="M23" s="5"/>
      <c r="N23" s="5"/>
      <c r="O23" s="2"/>
      <c r="P23" s="6"/>
      <c r="Q23" s="2"/>
    </row>
    <row r="24" spans="1:17" x14ac:dyDescent="0.25">
      <c r="A24" s="15" t="s">
        <v>151</v>
      </c>
      <c r="B24" s="5">
        <v>0</v>
      </c>
      <c r="C24" s="5">
        <f>ROUND(_xlfn.IFNA(VLOOKUP(A24,'Weapon Formulas'!$E$10:$V$115,17,0),weapon_components!C24),2)</f>
        <v>0</v>
      </c>
      <c r="D24" s="5">
        <f>ROUND(_xlfn.IFNA(VLOOKUP(A24,'Weapon Formulas'!$E$10:$Q$115,11,0),weapon_components!D24),2)</f>
        <v>5</v>
      </c>
      <c r="E24" s="5">
        <f>ROUND(_xlfn.IFNA(VLOOKUP(A24,'Weapon Formulas'!$E$10:$Q$115,12,0),weapon_components!E24),2)</f>
        <v>10</v>
      </c>
      <c r="F24" s="5">
        <f>ROUND(_xlfn.IFNA(VLOOKUP(A24,'Weapon Formulas'!$E$10:$L$115,8,0),weapon_components!F24),2)</f>
        <v>1</v>
      </c>
      <c r="G24" s="5">
        <f>ROUND(_xlfn.IFNA(VLOOKUP(A24,'Weapon Formulas'!$E$10:$P$115,9,0),weapon_components!G24),2)</f>
        <v>0</v>
      </c>
      <c r="H24" s="5">
        <f>ROUND(_xlfn.IFNA(VLOOKUP(A24,'Weapon Formulas'!$E$10:$L$115,7,0),weapon_components!H24),2)</f>
        <v>0.5</v>
      </c>
      <c r="I24" s="5">
        <v>2</v>
      </c>
      <c r="J24" s="5">
        <v>18</v>
      </c>
      <c r="K24" s="5">
        <v>25</v>
      </c>
      <c r="L24" s="5">
        <f>ROUND(_xlfn.IFNA(VLOOKUP(A24,'Weapon Formulas'!$E$10:$Z$115,15,0),weapon_components!L24),1)</f>
        <v>15</v>
      </c>
      <c r="M24" s="2">
        <v>0.85</v>
      </c>
      <c r="N24" s="5">
        <f>ROUND(_xlfn.IFNA(VLOOKUP(A24,'Weapon Formulas'!$E$10:$W$115,16,0),weapon_components!N24),2)</f>
        <v>0</v>
      </c>
      <c r="O24" s="5"/>
      <c r="P24" s="6"/>
      <c r="Q24" s="2"/>
    </row>
    <row r="25" spans="1:17" x14ac:dyDescent="0.25">
      <c r="A25" s="15" t="s">
        <v>152</v>
      </c>
      <c r="B25" s="5">
        <v>0</v>
      </c>
      <c r="C25" s="5">
        <f>ROUND(_xlfn.IFNA(VLOOKUP(A25,'Weapon Formulas'!$E$10:$V$115,17,0),weapon_components!C25),2)</f>
        <v>0</v>
      </c>
      <c r="D25" s="5">
        <f>ROUND(_xlfn.IFNA(VLOOKUP(A25,'Weapon Formulas'!$E$10:$Q$115,11,0),weapon_components!D25),2)</f>
        <v>13</v>
      </c>
      <c r="E25" s="5">
        <f>ROUND(_xlfn.IFNA(VLOOKUP(A25,'Weapon Formulas'!$E$10:$Q$115,12,0),weapon_components!E25),2)</f>
        <v>18</v>
      </c>
      <c r="F25" s="5">
        <f>ROUND(_xlfn.IFNA(VLOOKUP(A25,'Weapon Formulas'!$E$10:$L$115,8,0),weapon_components!F25),2)</f>
        <v>1</v>
      </c>
      <c r="G25" s="5">
        <f>ROUND(_xlfn.IFNA(VLOOKUP(A25,'Weapon Formulas'!$E$10:$P$115,9,0),weapon_components!G25),2)</f>
        <v>0</v>
      </c>
      <c r="H25" s="5">
        <f>ROUND(_xlfn.IFNA(VLOOKUP(A25,'Weapon Formulas'!$E$10:$L$115,7,0),weapon_components!H25),2)</f>
        <v>0.5</v>
      </c>
      <c r="I25" s="5">
        <v>2</v>
      </c>
      <c r="J25" s="5">
        <v>18</v>
      </c>
      <c r="K25" s="5">
        <v>25</v>
      </c>
      <c r="L25" s="5">
        <f>ROUND(_xlfn.IFNA(VLOOKUP(A25,'Weapon Formulas'!$E$10:$Z$115,15,0),weapon_components!L25),1)</f>
        <v>25</v>
      </c>
      <c r="M25" s="2">
        <v>0.82</v>
      </c>
      <c r="N25" s="5">
        <f>ROUND(_xlfn.IFNA(VLOOKUP(A25,'Weapon Formulas'!$E$10:$W$115,16,0),weapon_components!N25),2)</f>
        <v>0</v>
      </c>
      <c r="O25" s="5"/>
      <c r="P25" s="6"/>
      <c r="Q25" s="2"/>
    </row>
    <row r="26" spans="1:17" x14ac:dyDescent="0.25">
      <c r="A26" s="15" t="s">
        <v>153</v>
      </c>
      <c r="B26" s="2">
        <v>0</v>
      </c>
      <c r="C26" s="5">
        <f>ROUND(_xlfn.IFNA(VLOOKUP(A26,'Weapon Formulas'!$E$10:$V$115,17,0),weapon_components!C26),2)</f>
        <v>0</v>
      </c>
      <c r="D26" s="5">
        <f>ROUND(_xlfn.IFNA(VLOOKUP(A26,'Weapon Formulas'!$E$10:$Q$115,11,0),weapon_components!D26),2)</f>
        <v>25</v>
      </c>
      <c r="E26" s="5">
        <f>ROUND(_xlfn.IFNA(VLOOKUP(A26,'Weapon Formulas'!$E$10:$Q$115,12,0),weapon_components!E26),2)</f>
        <v>41</v>
      </c>
      <c r="F26" s="5">
        <f>ROUND(_xlfn.IFNA(VLOOKUP(A26,'Weapon Formulas'!$E$10:$L$115,8,0),weapon_components!F26),2)</f>
        <v>1</v>
      </c>
      <c r="G26" s="5">
        <f>ROUND(_xlfn.IFNA(VLOOKUP(A26,'Weapon Formulas'!$E$10:$P$115,9,0),weapon_components!G26),2)</f>
        <v>0</v>
      </c>
      <c r="H26" s="5">
        <f>ROUND(_xlfn.IFNA(VLOOKUP(A26,'Weapon Formulas'!$E$10:$L$115,7,0),weapon_components!H26),2)</f>
        <v>0.5</v>
      </c>
      <c r="I26" s="5">
        <v>2</v>
      </c>
      <c r="J26" s="5">
        <v>18</v>
      </c>
      <c r="K26" s="2">
        <v>25</v>
      </c>
      <c r="L26" s="5">
        <f>ROUND(_xlfn.IFNA(VLOOKUP(A26,'Weapon Formulas'!$E$10:$Z$115,15,0),weapon_components!L26),1)</f>
        <v>35</v>
      </c>
      <c r="M26" s="5">
        <v>0.79</v>
      </c>
      <c r="N26" s="5">
        <f>ROUND(_xlfn.IFNA(VLOOKUP(A26,'Weapon Formulas'!$E$10:$W$115,16,0),weapon_components!N26),2)</f>
        <v>0</v>
      </c>
      <c r="O26" s="2"/>
      <c r="P26" s="6"/>
      <c r="Q26" s="2"/>
    </row>
    <row r="27" spans="1:17" x14ac:dyDescent="0.25">
      <c r="A27" s="15" t="s">
        <v>39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2"/>
      <c r="N27" s="5"/>
      <c r="O27" s="5"/>
      <c r="P27" s="6"/>
      <c r="Q27" s="2"/>
    </row>
    <row r="28" spans="1:17" x14ac:dyDescent="0.25">
      <c r="A28" s="15" t="s">
        <v>40</v>
      </c>
      <c r="B28" s="5">
        <v>100</v>
      </c>
      <c r="C28" s="5">
        <f>ROUND(_xlfn.IFNA(VLOOKUP(A28,'Weapon Formulas'!$E$10:$V$115,17,0),weapon_components!C28),2)</f>
        <v>-213.33</v>
      </c>
      <c r="D28" s="5">
        <f>ROUND(_xlfn.IFNA(VLOOKUP(A28,'Weapon Formulas'!$E$10:$Q$115,11,0),weapon_components!D28),2)</f>
        <v>336.94</v>
      </c>
      <c r="E28" s="5">
        <f>ROUND(_xlfn.IFNA(VLOOKUP(A28,'Weapon Formulas'!$E$10:$Q$115,12,0),weapon_components!E28),2)</f>
        <v>561.57000000000005</v>
      </c>
      <c r="F28" s="5">
        <f>ROUND(_xlfn.IFNA(VLOOKUP(A28,'Weapon Formulas'!$E$10:$L$115,8,0),weapon_components!F28),2)</f>
        <v>7.0000000000000007E-2</v>
      </c>
      <c r="G28" s="5">
        <f>ROUND(_xlfn.IFNA(VLOOKUP(A28,'Weapon Formulas'!$E$10:$P$115,9,0),weapon_components!G28),2)</f>
        <v>0</v>
      </c>
      <c r="H28" s="5">
        <f>ROUND(_xlfn.IFNA(VLOOKUP(A28,'Weapon Formulas'!$E$10:$L$115,7,0),weapon_components!H28),2)</f>
        <v>6.42</v>
      </c>
      <c r="I28" s="5">
        <v>22</v>
      </c>
      <c r="J28" s="5">
        <v>35</v>
      </c>
      <c r="K28" s="5">
        <v>60</v>
      </c>
      <c r="L28" s="5">
        <f>ROUND(_xlfn.IFNA(VLOOKUP(A28,'Weapon Formulas'!$E$10:$Z$115,15,0),weapon_components!L28),1)</f>
        <v>49</v>
      </c>
      <c r="M28" s="2">
        <v>0.9</v>
      </c>
      <c r="N28" s="5">
        <f>ROUND(_xlfn.IFNA(VLOOKUP(A28,'Weapon Formulas'!$E$10:$W$115,16,0),weapon_components!N28),2)</f>
        <v>0</v>
      </c>
      <c r="O28" s="5"/>
      <c r="P28" s="6"/>
      <c r="Q28" s="2"/>
    </row>
    <row r="29" spans="1:17" x14ac:dyDescent="0.25">
      <c r="A29" s="15" t="s">
        <v>41</v>
      </c>
      <c r="B29" s="5">
        <v>120</v>
      </c>
      <c r="C29" s="5">
        <f>ROUND(_xlfn.IFNA(VLOOKUP(A29,'Weapon Formulas'!$E$10:$V$115,17,0),weapon_components!C29),2)</f>
        <v>-426.67</v>
      </c>
      <c r="D29" s="5">
        <f>ROUND(_xlfn.IFNA(VLOOKUP(A29,'Weapon Formulas'!$E$10:$Q$115,11,0),weapon_components!D29),2)</f>
        <v>377.22</v>
      </c>
      <c r="E29" s="5">
        <f>ROUND(_xlfn.IFNA(VLOOKUP(A29,'Weapon Formulas'!$E$10:$Q$115,12,0),weapon_components!E29),2)</f>
        <v>628.71</v>
      </c>
      <c r="F29" s="5">
        <f>ROUND(_xlfn.IFNA(VLOOKUP(A29,'Weapon Formulas'!$E$10:$L$115,8,0),weapon_components!F29),2)</f>
        <v>0.08</v>
      </c>
      <c r="G29" s="5">
        <f>ROUND(_xlfn.IFNA(VLOOKUP(A29,'Weapon Formulas'!$E$10:$P$115,9,0),weapon_components!G29),2)</f>
        <v>0</v>
      </c>
      <c r="H29" s="5">
        <f>ROUND(_xlfn.IFNA(VLOOKUP(A29,'Weapon Formulas'!$E$10:$L$115,7,0),weapon_components!H29),2)</f>
        <v>6.67</v>
      </c>
      <c r="I29" s="5">
        <v>22</v>
      </c>
      <c r="J29" s="5">
        <v>35</v>
      </c>
      <c r="K29" s="5">
        <v>60</v>
      </c>
      <c r="L29" s="5">
        <f>ROUND(_xlfn.IFNA(VLOOKUP(A29,'Weapon Formulas'!$E$10:$Z$115,15,0),weapon_components!L29),1)</f>
        <v>53.3</v>
      </c>
      <c r="M29" s="2">
        <v>0.9</v>
      </c>
      <c r="N29" s="5">
        <f>ROUND(_xlfn.IFNA(VLOOKUP(A29,'Weapon Formulas'!$E$10:$W$115,16,0),weapon_components!N29),2)</f>
        <v>0</v>
      </c>
      <c r="O29" s="5"/>
      <c r="P29" s="6"/>
      <c r="Q29" s="2"/>
    </row>
    <row r="30" spans="1:17" x14ac:dyDescent="0.25">
      <c r="A30" s="15" t="s">
        <v>42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2"/>
      <c r="N30" s="5"/>
      <c r="O30" s="5"/>
      <c r="P30" s="6"/>
      <c r="Q30" s="2"/>
    </row>
    <row r="31" spans="1:17" x14ac:dyDescent="0.25">
      <c r="A31" s="15" t="s">
        <v>43</v>
      </c>
      <c r="B31" s="5">
        <v>7.5</v>
      </c>
      <c r="C31" s="5">
        <f>ROUND(_xlfn.IFNA(VLOOKUP(A31,'Weapon Formulas'!$E$10:$V$115,17,0),weapon_components!C31),2)</f>
        <v>-13.33</v>
      </c>
      <c r="D31" s="5">
        <f>ROUND(_xlfn.IFNA(VLOOKUP(A31,'Weapon Formulas'!$E$10:$Q$115,11,0),weapon_components!D31),2)</f>
        <v>24.79</v>
      </c>
      <c r="E31" s="5">
        <f>ROUND(_xlfn.IFNA(VLOOKUP(A31,'Weapon Formulas'!$E$10:$Q$115,12,0),weapon_components!E31),2)</f>
        <v>41.32</v>
      </c>
      <c r="F31" s="5">
        <f>ROUND(_xlfn.IFNA(VLOOKUP(A31,'Weapon Formulas'!$E$10:$L$115,8,0),weapon_components!F31),2)</f>
        <v>0.05</v>
      </c>
      <c r="G31" s="5">
        <f>ROUND(_xlfn.IFNA(VLOOKUP(A31,'Weapon Formulas'!$E$10:$P$115,9,0),weapon_components!G31),2)</f>
        <v>0</v>
      </c>
      <c r="H31" s="5">
        <f>ROUND(_xlfn.IFNA(VLOOKUP(A31,'Weapon Formulas'!$E$10:$L$115,7,0),weapon_components!H31),2)</f>
        <v>3.01</v>
      </c>
      <c r="I31" s="5">
        <v>2</v>
      </c>
      <c r="J31" s="5">
        <v>25</v>
      </c>
      <c r="K31" s="5">
        <v>30</v>
      </c>
      <c r="L31" s="5">
        <f>ROUND(_xlfn.IFNA(VLOOKUP(A31,'Weapon Formulas'!$E$10:$Z$115,15,0),weapon_components!L31),1)</f>
        <v>29.8</v>
      </c>
      <c r="M31" s="2">
        <v>0.82</v>
      </c>
      <c r="N31" s="5">
        <f>ROUND(_xlfn.IFNA(VLOOKUP(A31,'Weapon Formulas'!$E$10:$W$115,16,0),weapon_components!N31),2)</f>
        <v>0</v>
      </c>
      <c r="O31" s="5"/>
      <c r="P31" s="6"/>
      <c r="Q31" s="2"/>
    </row>
    <row r="32" spans="1:17" x14ac:dyDescent="0.25">
      <c r="A32" s="15" t="s">
        <v>44</v>
      </c>
      <c r="B32" s="5">
        <v>15</v>
      </c>
      <c r="C32" s="5">
        <f>ROUND(_xlfn.IFNA(VLOOKUP(A32,'Weapon Formulas'!$E$10:$V$115,17,0),weapon_components!C32),2)</f>
        <v>-26.67</v>
      </c>
      <c r="D32" s="5">
        <f>ROUND(_xlfn.IFNA(VLOOKUP(A32,'Weapon Formulas'!$E$10:$Q$115,11,0),weapon_components!D32),2)</f>
        <v>44.34</v>
      </c>
      <c r="E32" s="5">
        <f>ROUND(_xlfn.IFNA(VLOOKUP(A32,'Weapon Formulas'!$E$10:$Q$115,12,0),weapon_components!E32),2)</f>
        <v>73.900000000000006</v>
      </c>
      <c r="F32" s="5">
        <f>ROUND(_xlfn.IFNA(VLOOKUP(A32,'Weapon Formulas'!$E$10:$L$115,8,0),weapon_components!F32),2)</f>
        <v>0.05</v>
      </c>
      <c r="G32" s="5">
        <f>ROUND(_xlfn.IFNA(VLOOKUP(A32,'Weapon Formulas'!$E$10:$P$115,9,0),weapon_components!G32),2)</f>
        <v>0</v>
      </c>
      <c r="H32" s="5">
        <f>ROUND(_xlfn.IFNA(VLOOKUP(A32,'Weapon Formulas'!$E$10:$L$115,7,0),weapon_components!H32),2)</f>
        <v>4.55</v>
      </c>
      <c r="I32" s="5">
        <v>2</v>
      </c>
      <c r="J32" s="5">
        <v>25</v>
      </c>
      <c r="K32" s="5">
        <v>30</v>
      </c>
      <c r="L32" s="5">
        <f>ROUND(_xlfn.IFNA(VLOOKUP(A32,'Weapon Formulas'!$E$10:$Z$115,15,0),weapon_components!L32),1)</f>
        <v>37.200000000000003</v>
      </c>
      <c r="M32" s="2">
        <v>0.8</v>
      </c>
      <c r="N32" s="5">
        <f>ROUND(_xlfn.IFNA(VLOOKUP(A32,'Weapon Formulas'!$E$10:$W$115,16,0),weapon_components!N32),2)</f>
        <v>0</v>
      </c>
      <c r="O32" s="5"/>
      <c r="P32" s="6"/>
      <c r="Q32" s="2"/>
    </row>
    <row r="33" spans="1:17" x14ac:dyDescent="0.25">
      <c r="A33" s="15" t="s">
        <v>45</v>
      </c>
      <c r="B33" s="5">
        <v>30</v>
      </c>
      <c r="C33" s="5">
        <f>ROUND(_xlfn.IFNA(VLOOKUP(A33,'Weapon Formulas'!$E$10:$V$115,17,0),weapon_components!C33),2)</f>
        <v>-53.33</v>
      </c>
      <c r="D33" s="5">
        <f>ROUND(_xlfn.IFNA(VLOOKUP(A33,'Weapon Formulas'!$E$10:$Q$115,11,0),weapon_components!D33),2)</f>
        <v>80.84</v>
      </c>
      <c r="E33" s="5">
        <f>ROUND(_xlfn.IFNA(VLOOKUP(A33,'Weapon Formulas'!$E$10:$Q$115,12,0),weapon_components!E33),2)</f>
        <v>134.72999999999999</v>
      </c>
      <c r="F33" s="5">
        <f>ROUND(_xlfn.IFNA(VLOOKUP(A33,'Weapon Formulas'!$E$10:$L$115,8,0),weapon_components!F33),2)</f>
        <v>0.05</v>
      </c>
      <c r="G33" s="5">
        <f>ROUND(_xlfn.IFNA(VLOOKUP(A33,'Weapon Formulas'!$E$10:$P$115,9,0),weapon_components!G33),2)</f>
        <v>0</v>
      </c>
      <c r="H33" s="5">
        <f>ROUND(_xlfn.IFNA(VLOOKUP(A33,'Weapon Formulas'!$E$10:$L$115,7,0),weapon_components!H33),2)</f>
        <v>6.6</v>
      </c>
      <c r="I33" s="5">
        <v>2</v>
      </c>
      <c r="J33" s="5">
        <v>25</v>
      </c>
      <c r="K33" s="5">
        <v>30</v>
      </c>
      <c r="L33" s="5">
        <f>ROUND(_xlfn.IFNA(VLOOKUP(A33,'Weapon Formulas'!$E$10:$Z$115,15,0),weapon_components!L33),1)</f>
        <v>44.6</v>
      </c>
      <c r="M33" s="2">
        <v>0.75</v>
      </c>
      <c r="N33" s="5">
        <f>ROUND(_xlfn.IFNA(VLOOKUP(A33,'Weapon Formulas'!$E$10:$W$115,16,0),weapon_components!N33),2)</f>
        <v>0</v>
      </c>
      <c r="O33" s="5"/>
      <c r="P33" s="6"/>
      <c r="Q33" s="2"/>
    </row>
    <row r="34" spans="1:17" x14ac:dyDescent="0.25">
      <c r="A34" s="15" t="s">
        <v>46</v>
      </c>
      <c r="B34" s="5">
        <v>10</v>
      </c>
      <c r="C34" s="5">
        <f>ROUND(_xlfn.IFNA(VLOOKUP(A34,'Weapon Formulas'!$E$10:$V$115,17,0),weapon_components!C34),2)</f>
        <v>-26.67</v>
      </c>
      <c r="D34" s="5">
        <f>ROUND(_xlfn.IFNA(VLOOKUP(A34,'Weapon Formulas'!$E$10:$Q$115,11,0),weapon_components!D34),2)</f>
        <v>31.95</v>
      </c>
      <c r="E34" s="5">
        <f>ROUND(_xlfn.IFNA(VLOOKUP(A34,'Weapon Formulas'!$E$10:$Q$115,12,0),weapon_components!E34),2)</f>
        <v>53.25</v>
      </c>
      <c r="F34" s="5">
        <f>ROUND(_xlfn.IFNA(VLOOKUP(A34,'Weapon Formulas'!$E$10:$L$115,8,0),weapon_components!F34),2)</f>
        <v>7.0000000000000007E-2</v>
      </c>
      <c r="G34" s="5">
        <f>ROUND(_xlfn.IFNA(VLOOKUP(A34,'Weapon Formulas'!$E$10:$P$115,9,0),weapon_components!G34),2)</f>
        <v>0</v>
      </c>
      <c r="H34" s="5">
        <f>ROUND(_xlfn.IFNA(VLOOKUP(A34,'Weapon Formulas'!$E$10:$L$115,7,0),weapon_components!H34),2)</f>
        <v>3.08</v>
      </c>
      <c r="I34" s="5">
        <v>2</v>
      </c>
      <c r="J34" s="5">
        <v>25</v>
      </c>
      <c r="K34" s="5">
        <v>30</v>
      </c>
      <c r="L34" s="5">
        <f>ROUND(_xlfn.IFNA(VLOOKUP(A34,'Weapon Formulas'!$E$10:$Z$115,15,0),weapon_components!L34),1)</f>
        <v>32.6</v>
      </c>
      <c r="M34" s="2">
        <v>0.82</v>
      </c>
      <c r="N34" s="5">
        <f>ROUND(_xlfn.IFNA(VLOOKUP(A34,'Weapon Formulas'!$E$10:$W$115,16,0),weapon_components!N34),2)</f>
        <v>0</v>
      </c>
      <c r="O34" s="5"/>
      <c r="P34" s="6"/>
      <c r="Q34" s="2"/>
    </row>
    <row r="35" spans="1:17" x14ac:dyDescent="0.25">
      <c r="A35" s="15" t="s">
        <v>47</v>
      </c>
      <c r="B35" s="5">
        <v>20</v>
      </c>
      <c r="C35" s="5">
        <f>ROUND(_xlfn.IFNA(VLOOKUP(A35,'Weapon Formulas'!$E$10:$V$115,17,0),weapon_components!C35),2)</f>
        <v>-53.33</v>
      </c>
      <c r="D35" s="5">
        <f>ROUND(_xlfn.IFNA(VLOOKUP(A35,'Weapon Formulas'!$E$10:$Q$115,11,0),weapon_components!D35),2)</f>
        <v>56</v>
      </c>
      <c r="E35" s="5">
        <f>ROUND(_xlfn.IFNA(VLOOKUP(A35,'Weapon Formulas'!$E$10:$Q$115,12,0),weapon_components!E35),2)</f>
        <v>93.33</v>
      </c>
      <c r="F35" s="5">
        <f>ROUND(_xlfn.IFNA(VLOOKUP(A35,'Weapon Formulas'!$E$10:$L$115,8,0),weapon_components!F35),2)</f>
        <v>7.0000000000000007E-2</v>
      </c>
      <c r="G35" s="5">
        <f>ROUND(_xlfn.IFNA(VLOOKUP(A35,'Weapon Formulas'!$E$10:$P$115,9,0),weapon_components!G35),2)</f>
        <v>0</v>
      </c>
      <c r="H35" s="5">
        <f>ROUND(_xlfn.IFNA(VLOOKUP(A35,'Weapon Formulas'!$E$10:$L$115,7,0),weapon_components!H35),2)</f>
        <v>4.47</v>
      </c>
      <c r="I35" s="5">
        <v>2</v>
      </c>
      <c r="J35" s="5">
        <v>25</v>
      </c>
      <c r="K35" s="5">
        <v>30</v>
      </c>
      <c r="L35" s="5">
        <f>ROUND(_xlfn.IFNA(VLOOKUP(A35,'Weapon Formulas'!$E$10:$Z$115,15,0),weapon_components!L35),1)</f>
        <v>40.799999999999997</v>
      </c>
      <c r="M35" s="2">
        <v>0.8</v>
      </c>
      <c r="N35" s="5">
        <f>ROUND(_xlfn.IFNA(VLOOKUP(A35,'Weapon Formulas'!$E$10:$W$115,16,0),weapon_components!N35),2)</f>
        <v>0</v>
      </c>
      <c r="O35" s="5"/>
      <c r="P35" s="6"/>
      <c r="Q35" s="2"/>
    </row>
    <row r="36" spans="1:17" x14ac:dyDescent="0.25">
      <c r="A36" s="15" t="s">
        <v>48</v>
      </c>
      <c r="B36" s="2">
        <v>40</v>
      </c>
      <c r="C36" s="5">
        <f>ROUND(_xlfn.IFNA(VLOOKUP(A36,'Weapon Formulas'!$E$10:$V$115,17,0),weapon_components!C36),2)</f>
        <v>-106.67</v>
      </c>
      <c r="D36" s="5">
        <f>ROUND(_xlfn.IFNA(VLOOKUP(A36,'Weapon Formulas'!$E$10:$Q$115,11,0),weapon_components!D36),2)</f>
        <v>99.31</v>
      </c>
      <c r="E36" s="5">
        <f>ROUND(_xlfn.IFNA(VLOOKUP(A36,'Weapon Formulas'!$E$10:$Q$115,12,0),weapon_components!E36),2)</f>
        <v>165.52</v>
      </c>
      <c r="F36" s="5">
        <f>ROUND(_xlfn.IFNA(VLOOKUP(A36,'Weapon Formulas'!$E$10:$L$115,8,0),weapon_components!F36),2)</f>
        <v>7.0000000000000007E-2</v>
      </c>
      <c r="G36" s="5">
        <f>ROUND(_xlfn.IFNA(VLOOKUP(A36,'Weapon Formulas'!$E$10:$P$115,9,0),weapon_components!G36),2)</f>
        <v>0</v>
      </c>
      <c r="H36" s="5">
        <f>ROUND(_xlfn.IFNA(VLOOKUP(A36,'Weapon Formulas'!$E$10:$L$115,7,0),weapon_components!H36),2)</f>
        <v>6.42</v>
      </c>
      <c r="I36" s="5">
        <v>2</v>
      </c>
      <c r="J36" s="5">
        <v>25</v>
      </c>
      <c r="K36" s="2">
        <v>30</v>
      </c>
      <c r="L36" s="5">
        <f>ROUND(_xlfn.IFNA(VLOOKUP(A36,'Weapon Formulas'!$E$10:$Z$115,15,0),weapon_components!L36),1)</f>
        <v>49</v>
      </c>
      <c r="M36" s="5">
        <v>0.75</v>
      </c>
      <c r="N36" s="5">
        <f>ROUND(_xlfn.IFNA(VLOOKUP(A36,'Weapon Formulas'!$E$10:$W$115,16,0),weapon_components!N36),2)</f>
        <v>0</v>
      </c>
      <c r="O36" s="2"/>
      <c r="P36" s="6"/>
      <c r="Q36" s="2"/>
    </row>
    <row r="37" spans="1:17" x14ac:dyDescent="0.25">
      <c r="A37" s="15" t="s">
        <v>49</v>
      </c>
      <c r="B37" s="5">
        <v>12.5</v>
      </c>
      <c r="C37" s="5">
        <f>ROUND(_xlfn.IFNA(VLOOKUP(A37,'Weapon Formulas'!$E$10:$V$115,17,0),weapon_components!C37),2)</f>
        <v>-53.33</v>
      </c>
      <c r="D37" s="5">
        <f>ROUND(_xlfn.IFNA(VLOOKUP(A37,'Weapon Formulas'!$E$10:$Q$115,11,0),weapon_components!D37),2)</f>
        <v>38.28</v>
      </c>
      <c r="E37" s="5">
        <f>ROUND(_xlfn.IFNA(VLOOKUP(A37,'Weapon Formulas'!$E$10:$Q$115,12,0),weapon_components!E37),2)</f>
        <v>63.8</v>
      </c>
      <c r="F37" s="5">
        <f>ROUND(_xlfn.IFNA(VLOOKUP(A37,'Weapon Formulas'!$E$10:$L$115,8,0),weapon_components!F37),2)</f>
        <v>0.08</v>
      </c>
      <c r="G37" s="5">
        <f>ROUND(_xlfn.IFNA(VLOOKUP(A37,'Weapon Formulas'!$E$10:$P$115,9,0),weapon_components!G37),2)</f>
        <v>0</v>
      </c>
      <c r="H37" s="5">
        <f>ROUND(_xlfn.IFNA(VLOOKUP(A37,'Weapon Formulas'!$E$10:$L$115,7,0),weapon_components!H37),2)</f>
        <v>3.19</v>
      </c>
      <c r="I37" s="5">
        <v>2</v>
      </c>
      <c r="J37" s="5">
        <v>25</v>
      </c>
      <c r="K37" s="5">
        <v>30</v>
      </c>
      <c r="L37" s="5">
        <f>ROUND(_xlfn.IFNA(VLOOKUP(A37,'Weapon Formulas'!$E$10:$Z$115,15,0),weapon_components!L37),1)</f>
        <v>35.5</v>
      </c>
      <c r="M37" s="2">
        <v>0.82</v>
      </c>
      <c r="N37" s="5">
        <f>ROUND(_xlfn.IFNA(VLOOKUP(A37,'Weapon Formulas'!$E$10:$W$115,16,0),weapon_components!N37),2)</f>
        <v>0</v>
      </c>
      <c r="O37" s="5"/>
      <c r="P37" s="6"/>
      <c r="Q37" s="2"/>
    </row>
    <row r="38" spans="1:17" x14ac:dyDescent="0.25">
      <c r="A38" s="15" t="s">
        <v>50</v>
      </c>
      <c r="B38" s="5">
        <v>25</v>
      </c>
      <c r="C38" s="5">
        <f>ROUND(_xlfn.IFNA(VLOOKUP(A38,'Weapon Formulas'!$E$10:$V$115,17,0),weapon_components!C38),2)</f>
        <v>-106.67</v>
      </c>
      <c r="D38" s="5">
        <f>ROUND(_xlfn.IFNA(VLOOKUP(A38,'Weapon Formulas'!$E$10:$Q$115,11,0),weapon_components!D38),2)</f>
        <v>65.260000000000005</v>
      </c>
      <c r="E38" s="5">
        <f>ROUND(_xlfn.IFNA(VLOOKUP(A38,'Weapon Formulas'!$E$10:$Q$115,12,0),weapon_components!E38),2)</f>
        <v>108.77</v>
      </c>
      <c r="F38" s="5">
        <f>ROUND(_xlfn.IFNA(VLOOKUP(A38,'Weapon Formulas'!$E$10:$L$115,8,0),weapon_components!F38),2)</f>
        <v>0.08</v>
      </c>
      <c r="G38" s="5">
        <f>ROUND(_xlfn.IFNA(VLOOKUP(A38,'Weapon Formulas'!$E$10:$P$115,9,0),weapon_components!G38),2)</f>
        <v>0</v>
      </c>
      <c r="H38" s="5">
        <f>ROUND(_xlfn.IFNA(VLOOKUP(A38,'Weapon Formulas'!$E$10:$L$115,7,0),weapon_components!H38),2)</f>
        <v>4.58</v>
      </c>
      <c r="I38" s="5">
        <v>2</v>
      </c>
      <c r="J38" s="5">
        <v>25</v>
      </c>
      <c r="K38" s="5">
        <v>30</v>
      </c>
      <c r="L38" s="5">
        <f>ROUND(_xlfn.IFNA(VLOOKUP(A38,'Weapon Formulas'!$E$10:$Z$115,15,0),weapon_components!L38),1)</f>
        <v>44.4</v>
      </c>
      <c r="M38" s="2">
        <v>0.8</v>
      </c>
      <c r="N38" s="5">
        <f>ROUND(_xlfn.IFNA(VLOOKUP(A38,'Weapon Formulas'!$E$10:$W$115,16,0),weapon_components!N38),2)</f>
        <v>0</v>
      </c>
      <c r="O38" s="5"/>
      <c r="P38" s="6"/>
      <c r="Q38" s="2"/>
    </row>
    <row r="39" spans="1:17" x14ac:dyDescent="0.25">
      <c r="A39" s="15" t="s">
        <v>51</v>
      </c>
      <c r="B39" s="2">
        <v>50</v>
      </c>
      <c r="C39" s="5">
        <f>ROUND(_xlfn.IFNA(VLOOKUP(A39,'Weapon Formulas'!$E$10:$V$115,17,0),weapon_components!C39),2)</f>
        <v>-213.33</v>
      </c>
      <c r="D39" s="5">
        <f>ROUND(_xlfn.IFNA(VLOOKUP(A39,'Weapon Formulas'!$E$10:$Q$115,11,0),weapon_components!D39),2)</f>
        <v>111.14</v>
      </c>
      <c r="E39" s="5">
        <f>ROUND(_xlfn.IFNA(VLOOKUP(A39,'Weapon Formulas'!$E$10:$Q$115,12,0),weapon_components!E39),2)</f>
        <v>185.23</v>
      </c>
      <c r="F39" s="5">
        <f>ROUND(_xlfn.IFNA(VLOOKUP(A39,'Weapon Formulas'!$E$10:$L$115,8,0),weapon_components!F39),2)</f>
        <v>0.08</v>
      </c>
      <c r="G39" s="5">
        <f>ROUND(_xlfn.IFNA(VLOOKUP(A39,'Weapon Formulas'!$E$10:$P$115,9,0),weapon_components!G39),2)</f>
        <v>0</v>
      </c>
      <c r="H39" s="5">
        <f>ROUND(_xlfn.IFNA(VLOOKUP(A39,'Weapon Formulas'!$E$10:$L$115,7,0),weapon_components!H39),2)</f>
        <v>6.67</v>
      </c>
      <c r="I39" s="5">
        <v>2</v>
      </c>
      <c r="J39" s="5">
        <v>25</v>
      </c>
      <c r="K39" s="2">
        <v>30</v>
      </c>
      <c r="L39" s="5">
        <f>ROUND(_xlfn.IFNA(VLOOKUP(A39,'Weapon Formulas'!$E$10:$Z$115,15,0),weapon_components!L39),1)</f>
        <v>53.3</v>
      </c>
      <c r="M39" s="5">
        <v>0.75</v>
      </c>
      <c r="N39" s="5">
        <f>ROUND(_xlfn.IFNA(VLOOKUP(A39,'Weapon Formulas'!$E$10:$W$115,16,0),weapon_components!N39),2)</f>
        <v>0</v>
      </c>
      <c r="O39" s="2"/>
      <c r="P39" s="6"/>
      <c r="Q39" s="2"/>
    </row>
    <row r="40" spans="1:17" x14ac:dyDescent="0.25">
      <c r="A40" s="15" t="s">
        <v>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2"/>
      <c r="N40" s="5"/>
      <c r="O40" s="5"/>
      <c r="P40" s="6"/>
      <c r="Q40" s="2"/>
    </row>
    <row r="41" spans="1:17" x14ac:dyDescent="0.25">
      <c r="A41" s="15" t="s">
        <v>53</v>
      </c>
      <c r="B41" s="5">
        <v>100</v>
      </c>
      <c r="C41" s="5">
        <f>ROUND(_xlfn.IFNA(VLOOKUP(A41,'Weapon Formulas'!$E$10:$V$115,17,0),weapon_components!C41),2)</f>
        <v>-213.33</v>
      </c>
      <c r="D41" s="5">
        <f>ROUND(_xlfn.IFNA(VLOOKUP(A41,'Weapon Formulas'!$E$10:$Q$115,11,0),weapon_components!D41),2)</f>
        <v>848.07</v>
      </c>
      <c r="E41" s="5">
        <f>ROUND(_xlfn.IFNA(VLOOKUP(A41,'Weapon Formulas'!$E$10:$Q$115,12,0),weapon_components!E41),2)</f>
        <v>1413.45</v>
      </c>
      <c r="F41" s="5">
        <f>ROUND(_xlfn.IFNA(VLOOKUP(A41,'Weapon Formulas'!$E$10:$L$115,8,0),weapon_components!F41),2)</f>
        <v>7.0000000000000007E-2</v>
      </c>
      <c r="G41" s="5">
        <f>ROUND(_xlfn.IFNA(VLOOKUP(A41,'Weapon Formulas'!$E$10:$P$115,9,0),weapon_components!G41),2)</f>
        <v>0</v>
      </c>
      <c r="H41" s="5">
        <f>ROUND(_xlfn.IFNA(VLOOKUP(A41,'Weapon Formulas'!$E$10:$L$115,7,0),weapon_components!H41),2)</f>
        <v>-1.71</v>
      </c>
      <c r="I41" s="5">
        <v>22</v>
      </c>
      <c r="J41" s="5">
        <v>30</v>
      </c>
      <c r="K41" s="5">
        <v>40</v>
      </c>
      <c r="L41" s="5">
        <f>ROUND(_xlfn.IFNA(VLOOKUP(A41,'Weapon Formulas'!$E$10:$Z$115,15,0),weapon_components!L41),1)</f>
        <v>49</v>
      </c>
      <c r="M41" s="2">
        <v>1</v>
      </c>
      <c r="N41" s="5">
        <f>ROUND(_xlfn.IFNA(VLOOKUP(A41,'Weapon Formulas'!$E$10:$W$115,16,0),weapon_components!N41),2)</f>
        <v>0</v>
      </c>
      <c r="O41" s="5"/>
      <c r="P41" s="6"/>
      <c r="Q41" s="2"/>
    </row>
    <row r="42" spans="1:17" x14ac:dyDescent="0.25">
      <c r="A42" s="15" t="s">
        <v>54</v>
      </c>
      <c r="B42" s="5">
        <v>120</v>
      </c>
      <c r="C42" s="5">
        <f>ROUND(_xlfn.IFNA(VLOOKUP(A42,'Weapon Formulas'!$E$10:$V$115,17,0),weapon_components!C42),2)</f>
        <v>-426.67</v>
      </c>
      <c r="D42" s="5">
        <f>ROUND(_xlfn.IFNA(VLOOKUP(A42,'Weapon Formulas'!$E$10:$Q$115,11,0),weapon_components!D42),2)</f>
        <v>1265.94</v>
      </c>
      <c r="E42" s="5">
        <f>ROUND(_xlfn.IFNA(VLOOKUP(A42,'Weapon Formulas'!$E$10:$Q$115,12,0),weapon_components!E42),2)</f>
        <v>2109.9</v>
      </c>
      <c r="F42" s="5">
        <f>ROUND(_xlfn.IFNA(VLOOKUP(A42,'Weapon Formulas'!$E$10:$L$115,8,0),weapon_components!F42),2)</f>
        <v>0.08</v>
      </c>
      <c r="G42" s="5">
        <f>ROUND(_xlfn.IFNA(VLOOKUP(A42,'Weapon Formulas'!$E$10:$P$115,9,0),weapon_components!G42),2)</f>
        <v>0</v>
      </c>
      <c r="H42" s="5">
        <f>ROUND(_xlfn.IFNA(VLOOKUP(A42,'Weapon Formulas'!$E$10:$L$115,7,0),weapon_components!H42),2)</f>
        <v>-1.33</v>
      </c>
      <c r="I42" s="5">
        <v>22</v>
      </c>
      <c r="J42" s="5">
        <v>30</v>
      </c>
      <c r="K42" s="5">
        <v>40</v>
      </c>
      <c r="L42" s="5">
        <f>ROUND(_xlfn.IFNA(VLOOKUP(A42,'Weapon Formulas'!$E$10:$Z$115,15,0),weapon_components!L42),1)</f>
        <v>53.3</v>
      </c>
      <c r="M42" s="2">
        <v>1</v>
      </c>
      <c r="N42" s="5">
        <f>ROUND(_xlfn.IFNA(VLOOKUP(A42,'Weapon Formulas'!$E$10:$W$115,16,0),weapon_components!N42),2)</f>
        <v>0</v>
      </c>
      <c r="O42" s="5"/>
      <c r="P42" s="6"/>
      <c r="Q42" s="2"/>
    </row>
    <row r="43" spans="1:17" x14ac:dyDescent="0.25">
      <c r="A43" s="15" t="s">
        <v>55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2"/>
      <c r="N43" s="5"/>
      <c r="O43" s="5"/>
      <c r="P43" s="6"/>
      <c r="Q43" s="2"/>
    </row>
    <row r="44" spans="1:17" x14ac:dyDescent="0.25">
      <c r="A44" s="15" t="s">
        <v>56</v>
      </c>
      <c r="B44" s="5">
        <v>7.5</v>
      </c>
      <c r="C44" s="5">
        <f>ROUND(_xlfn.IFNA(VLOOKUP(A44,'Weapon Formulas'!$E$10:$V$115,17,0),weapon_components!C44),2)</f>
        <v>-13.33</v>
      </c>
      <c r="D44" s="5">
        <f>ROUND(_xlfn.IFNA(VLOOKUP(A44,'Weapon Formulas'!$E$10:$Q$115,11,0),weapon_components!D44),2)</f>
        <v>61.74</v>
      </c>
      <c r="E44" s="5">
        <f>ROUND(_xlfn.IFNA(VLOOKUP(A44,'Weapon Formulas'!$E$10:$Q$115,12,0),weapon_components!E44),2)</f>
        <v>102.89</v>
      </c>
      <c r="F44" s="5">
        <f>ROUND(_xlfn.IFNA(VLOOKUP(A44,'Weapon Formulas'!$E$10:$L$115,8,0),weapon_components!F44),2)</f>
        <v>1.8</v>
      </c>
      <c r="G44" s="5">
        <f>ROUND(_xlfn.IFNA(VLOOKUP(A44,'Weapon Formulas'!$E$10:$P$115,9,0),weapon_components!G44),2)</f>
        <v>0</v>
      </c>
      <c r="H44" s="5">
        <f>ROUND(_xlfn.IFNA(VLOOKUP(A44,'Weapon Formulas'!$E$10:$L$115,7,0),weapon_components!H44),2)</f>
        <v>-2.58</v>
      </c>
      <c r="I44" s="5">
        <v>2</v>
      </c>
      <c r="J44" s="5">
        <v>20</v>
      </c>
      <c r="K44" s="5">
        <v>25</v>
      </c>
      <c r="L44" s="5">
        <f>ROUND(_xlfn.IFNA(VLOOKUP(A44,'Weapon Formulas'!$E$10:$Z$115,15,0),weapon_components!L44),1)</f>
        <v>22.3</v>
      </c>
      <c r="M44" s="2">
        <v>0.82</v>
      </c>
      <c r="N44" s="5">
        <f>ROUND(_xlfn.IFNA(VLOOKUP(A44,'Weapon Formulas'!$E$10:$W$115,16,0),weapon_components!N44),2)</f>
        <v>0</v>
      </c>
      <c r="O44" s="5"/>
      <c r="P44" s="6"/>
      <c r="Q44" s="2"/>
    </row>
    <row r="45" spans="1:17" x14ac:dyDescent="0.25">
      <c r="A45" s="15" t="s">
        <v>57</v>
      </c>
      <c r="B45" s="5">
        <v>15</v>
      </c>
      <c r="C45" s="5">
        <f>ROUND(_xlfn.IFNA(VLOOKUP(A45,'Weapon Formulas'!$E$10:$V$115,17,0),weapon_components!C45),2)</f>
        <v>-26.67</v>
      </c>
      <c r="D45" s="5">
        <f>ROUND(_xlfn.IFNA(VLOOKUP(A45,'Weapon Formulas'!$E$10:$Q$115,11,0),weapon_components!D45),2)</f>
        <v>26.33</v>
      </c>
      <c r="E45" s="5">
        <f>ROUND(_xlfn.IFNA(VLOOKUP(A45,'Weapon Formulas'!$E$10:$Q$115,12,0),weapon_components!E45),2)</f>
        <v>43.88</v>
      </c>
      <c r="F45" s="5">
        <f>ROUND(_xlfn.IFNA(VLOOKUP(A45,'Weapon Formulas'!$E$10:$L$115,8,0),weapon_components!F45),2)</f>
        <v>1.8</v>
      </c>
      <c r="G45" s="5">
        <f>ROUND(_xlfn.IFNA(VLOOKUP(A45,'Weapon Formulas'!$E$10:$P$115,9,0),weapon_components!G45),2)</f>
        <v>0</v>
      </c>
      <c r="H45" s="5">
        <f>ROUND(_xlfn.IFNA(VLOOKUP(A45,'Weapon Formulas'!$E$10:$L$115,7,0),weapon_components!H45),2)</f>
        <v>-2.58</v>
      </c>
      <c r="I45" s="5">
        <v>2</v>
      </c>
      <c r="J45" s="5">
        <v>20</v>
      </c>
      <c r="K45" s="5">
        <v>25</v>
      </c>
      <c r="L45" s="5">
        <f>ROUND(_xlfn.IFNA(VLOOKUP(A45,'Weapon Formulas'!$E$10:$Z$115,15,0),weapon_components!L45),1)</f>
        <v>26</v>
      </c>
      <c r="M45" s="2">
        <v>0.8</v>
      </c>
      <c r="N45" s="5">
        <f>ROUND(_xlfn.IFNA(VLOOKUP(A45,'Weapon Formulas'!$E$10:$W$115,16,0),weapon_components!N45),2)</f>
        <v>0</v>
      </c>
      <c r="O45" s="5"/>
      <c r="P45" s="6"/>
      <c r="Q45" s="2"/>
    </row>
    <row r="46" spans="1:17" x14ac:dyDescent="0.25">
      <c r="A46" s="15" t="s">
        <v>58</v>
      </c>
      <c r="B46" s="5">
        <v>30</v>
      </c>
      <c r="C46" s="5">
        <f>ROUND(_xlfn.IFNA(VLOOKUP(A46,'Weapon Formulas'!$E$10:$V$115,17,0),weapon_components!C46),2)</f>
        <v>-53.33</v>
      </c>
      <c r="D46" s="5">
        <f>ROUND(_xlfn.IFNA(VLOOKUP(A46,'Weapon Formulas'!$E$10:$Q$115,11,0),weapon_components!D46),2)</f>
        <v>44.87</v>
      </c>
      <c r="E46" s="5">
        <f>ROUND(_xlfn.IFNA(VLOOKUP(A46,'Weapon Formulas'!$E$10:$Q$115,12,0),weapon_components!E46),2)</f>
        <v>74.78</v>
      </c>
      <c r="F46" s="5">
        <f>ROUND(_xlfn.IFNA(VLOOKUP(A46,'Weapon Formulas'!$E$10:$L$115,8,0),weapon_components!F46),2)</f>
        <v>1.8</v>
      </c>
      <c r="G46" s="5">
        <f>ROUND(_xlfn.IFNA(VLOOKUP(A46,'Weapon Formulas'!$E$10:$P$115,9,0),weapon_components!G46),2)</f>
        <v>0</v>
      </c>
      <c r="H46" s="5">
        <f>ROUND(_xlfn.IFNA(VLOOKUP(A46,'Weapon Formulas'!$E$10:$L$115,7,0),weapon_components!H46),2)</f>
        <v>-2.58</v>
      </c>
      <c r="I46" s="5">
        <v>2</v>
      </c>
      <c r="J46" s="5">
        <v>20</v>
      </c>
      <c r="K46" s="5">
        <v>25</v>
      </c>
      <c r="L46" s="5">
        <f>ROUND(_xlfn.IFNA(VLOOKUP(A46,'Weapon Formulas'!$E$10:$Z$115,15,0),weapon_components!L46),1)</f>
        <v>29.8</v>
      </c>
      <c r="M46" s="2">
        <v>0.75</v>
      </c>
      <c r="N46" s="5">
        <f>ROUND(_xlfn.IFNA(VLOOKUP(A46,'Weapon Formulas'!$E$10:$W$115,16,0),weapon_components!N46),2)</f>
        <v>0</v>
      </c>
      <c r="O46" s="5"/>
      <c r="P46" s="6"/>
      <c r="Q46" s="2"/>
    </row>
    <row r="47" spans="1:17" x14ac:dyDescent="0.25">
      <c r="A47" s="15" t="s">
        <v>59</v>
      </c>
      <c r="B47" s="5">
        <v>10</v>
      </c>
      <c r="C47" s="5">
        <f>ROUND(_xlfn.IFNA(VLOOKUP(A47,'Weapon Formulas'!$E$10:$V$115,17,0),weapon_components!C47),2)</f>
        <v>-26.67</v>
      </c>
      <c r="D47" s="5">
        <f>ROUND(_xlfn.IFNA(VLOOKUP(A47,'Weapon Formulas'!$E$10:$Q$115,11,0),weapon_components!D47),2)</f>
        <v>18.93</v>
      </c>
      <c r="E47" s="5">
        <f>ROUND(_xlfn.IFNA(VLOOKUP(A47,'Weapon Formulas'!$E$10:$Q$115,12,0),weapon_components!E47),2)</f>
        <v>31.55</v>
      </c>
      <c r="F47" s="5">
        <f>ROUND(_xlfn.IFNA(VLOOKUP(A47,'Weapon Formulas'!$E$10:$L$115,8,0),weapon_components!F47),2)</f>
        <v>2.4</v>
      </c>
      <c r="G47" s="5">
        <f>ROUND(_xlfn.IFNA(VLOOKUP(A47,'Weapon Formulas'!$E$10:$P$115,9,0),weapon_components!G47),2)</f>
        <v>0</v>
      </c>
      <c r="H47" s="5">
        <f>ROUND(_xlfn.IFNA(VLOOKUP(A47,'Weapon Formulas'!$E$10:$L$115,7,0),weapon_components!H47),2)</f>
        <v>-1.75</v>
      </c>
      <c r="I47" s="5">
        <v>2</v>
      </c>
      <c r="J47" s="5">
        <v>20</v>
      </c>
      <c r="K47" s="5">
        <v>25</v>
      </c>
      <c r="L47" s="5">
        <f>ROUND(_xlfn.IFNA(VLOOKUP(A47,'Weapon Formulas'!$E$10:$Z$115,15,0),weapon_components!L47),1)</f>
        <v>24.5</v>
      </c>
      <c r="M47" s="2">
        <v>0.82</v>
      </c>
      <c r="N47" s="5">
        <f>ROUND(_xlfn.IFNA(VLOOKUP(A47,'Weapon Formulas'!$E$10:$W$115,16,0),weapon_components!N47),2)</f>
        <v>0</v>
      </c>
      <c r="O47" s="5"/>
      <c r="P47" s="6"/>
      <c r="Q47" s="2"/>
    </row>
    <row r="48" spans="1:17" x14ac:dyDescent="0.25">
      <c r="A48" s="15" t="s">
        <v>60</v>
      </c>
      <c r="B48" s="5">
        <v>20</v>
      </c>
      <c r="C48" s="5">
        <f>ROUND(_xlfn.IFNA(VLOOKUP(A48,'Weapon Formulas'!$E$10:$V$115,17,0),weapon_components!C48),2)</f>
        <v>-53.33</v>
      </c>
      <c r="D48" s="5">
        <f>ROUND(_xlfn.IFNA(VLOOKUP(A48,'Weapon Formulas'!$E$10:$Q$115,11,0),weapon_components!D48),2)</f>
        <v>31.01</v>
      </c>
      <c r="E48" s="5">
        <f>ROUND(_xlfn.IFNA(VLOOKUP(A48,'Weapon Formulas'!$E$10:$Q$115,12,0),weapon_components!E48),2)</f>
        <v>51.68</v>
      </c>
      <c r="F48" s="5">
        <f>ROUND(_xlfn.IFNA(VLOOKUP(A48,'Weapon Formulas'!$E$10:$L$115,8,0),weapon_components!F48),2)</f>
        <v>2.4</v>
      </c>
      <c r="G48" s="5">
        <f>ROUND(_xlfn.IFNA(VLOOKUP(A48,'Weapon Formulas'!$E$10:$P$115,9,0),weapon_components!G48),2)</f>
        <v>0</v>
      </c>
      <c r="H48" s="5">
        <f>ROUND(_xlfn.IFNA(VLOOKUP(A48,'Weapon Formulas'!$E$10:$L$115,7,0),weapon_components!H48),2)</f>
        <v>-1.75</v>
      </c>
      <c r="I48" s="5">
        <v>2</v>
      </c>
      <c r="J48" s="5">
        <v>20</v>
      </c>
      <c r="K48" s="5">
        <v>25</v>
      </c>
      <c r="L48" s="5">
        <f>ROUND(_xlfn.IFNA(VLOOKUP(A48,'Weapon Formulas'!$E$10:$Z$115,15,0),weapon_components!L48),1)</f>
        <v>28.6</v>
      </c>
      <c r="M48" s="2">
        <v>0.8</v>
      </c>
      <c r="N48" s="5">
        <f>ROUND(_xlfn.IFNA(VLOOKUP(A48,'Weapon Formulas'!$E$10:$W$115,16,0),weapon_components!N48),2)</f>
        <v>0</v>
      </c>
      <c r="O48" s="5"/>
      <c r="P48" s="6"/>
      <c r="Q48" s="2"/>
    </row>
    <row r="49" spans="1:17" x14ac:dyDescent="0.25">
      <c r="A49" s="15" t="s">
        <v>61</v>
      </c>
      <c r="B49" s="2">
        <v>40</v>
      </c>
      <c r="C49" s="5">
        <f>ROUND(_xlfn.IFNA(VLOOKUP(A49,'Weapon Formulas'!$E$10:$V$115,17,0),weapon_components!C49),2)</f>
        <v>-106.67</v>
      </c>
      <c r="D49" s="5">
        <f>ROUND(_xlfn.IFNA(VLOOKUP(A49,'Weapon Formulas'!$E$10:$Q$115,11,0),weapon_components!D49),2)</f>
        <v>49.55</v>
      </c>
      <c r="E49" s="5">
        <f>ROUND(_xlfn.IFNA(VLOOKUP(A49,'Weapon Formulas'!$E$10:$Q$115,12,0),weapon_components!E49),2)</f>
        <v>82.59</v>
      </c>
      <c r="F49" s="5">
        <f>ROUND(_xlfn.IFNA(VLOOKUP(A49,'Weapon Formulas'!$E$10:$L$115,8,0),weapon_components!F49),2)</f>
        <v>2.4</v>
      </c>
      <c r="G49" s="5">
        <f>ROUND(_xlfn.IFNA(VLOOKUP(A49,'Weapon Formulas'!$E$10:$P$115,9,0),weapon_components!G49),2)</f>
        <v>0</v>
      </c>
      <c r="H49" s="5">
        <f>ROUND(_xlfn.IFNA(VLOOKUP(A49,'Weapon Formulas'!$E$10:$L$115,7,0),weapon_components!H49),2)</f>
        <v>-1.75</v>
      </c>
      <c r="I49" s="5">
        <v>2</v>
      </c>
      <c r="J49" s="5">
        <v>20</v>
      </c>
      <c r="K49" s="2">
        <v>25</v>
      </c>
      <c r="L49" s="5">
        <f>ROUND(_xlfn.IFNA(VLOOKUP(A49,'Weapon Formulas'!$E$10:$Z$115,15,0),weapon_components!L49),1)</f>
        <v>32.6</v>
      </c>
      <c r="M49" s="5">
        <v>0.75</v>
      </c>
      <c r="N49" s="5">
        <f>ROUND(_xlfn.IFNA(VLOOKUP(A49,'Weapon Formulas'!$E$10:$W$115,16,0),weapon_components!N49),2)</f>
        <v>0</v>
      </c>
      <c r="O49" s="2"/>
      <c r="P49" s="6"/>
      <c r="Q49" s="2"/>
    </row>
    <row r="50" spans="1:17" x14ac:dyDescent="0.25">
      <c r="A50" s="15" t="s">
        <v>62</v>
      </c>
      <c r="B50" s="5">
        <v>12.5</v>
      </c>
      <c r="C50" s="5">
        <f>ROUND(_xlfn.IFNA(VLOOKUP(A50,'Weapon Formulas'!$E$10:$V$115,17,0),weapon_components!C50),2)</f>
        <v>-53.33</v>
      </c>
      <c r="D50" s="5">
        <f>ROUND(_xlfn.IFNA(VLOOKUP(A50,'Weapon Formulas'!$E$10:$Q$115,11,0),weapon_components!D50),2)</f>
        <v>21.17</v>
      </c>
      <c r="E50" s="5">
        <f>ROUND(_xlfn.IFNA(VLOOKUP(A50,'Weapon Formulas'!$E$10:$Q$115,12,0),weapon_components!E50),2)</f>
        <v>35.28</v>
      </c>
      <c r="F50" s="5">
        <f>ROUND(_xlfn.IFNA(VLOOKUP(A50,'Weapon Formulas'!$E$10:$L$115,8,0),weapon_components!F50),2)</f>
        <v>3</v>
      </c>
      <c r="G50" s="5">
        <f>ROUND(_xlfn.IFNA(VLOOKUP(A50,'Weapon Formulas'!$E$10:$P$115,9,0),weapon_components!G50),2)</f>
        <v>0</v>
      </c>
      <c r="H50" s="5">
        <f>ROUND(_xlfn.IFNA(VLOOKUP(A50,'Weapon Formulas'!$E$10:$L$115,7,0),weapon_components!H50),2)</f>
        <v>-1.25</v>
      </c>
      <c r="I50" s="5">
        <v>2</v>
      </c>
      <c r="J50" s="5">
        <v>20</v>
      </c>
      <c r="K50" s="5">
        <v>25</v>
      </c>
      <c r="L50" s="5">
        <f>ROUND(_xlfn.IFNA(VLOOKUP(A50,'Weapon Formulas'!$E$10:$Z$115,15,0),weapon_components!L50),1)</f>
        <v>26.6</v>
      </c>
      <c r="M50" s="2">
        <v>0.82</v>
      </c>
      <c r="N50" s="5">
        <f>ROUND(_xlfn.IFNA(VLOOKUP(A50,'Weapon Formulas'!$E$10:$W$115,16,0),weapon_components!N50),2)</f>
        <v>0</v>
      </c>
      <c r="O50" s="5"/>
      <c r="P50" s="6"/>
      <c r="Q50" s="2"/>
    </row>
    <row r="51" spans="1:17" x14ac:dyDescent="0.25">
      <c r="A51" s="15" t="s">
        <v>63</v>
      </c>
      <c r="B51" s="5">
        <v>25</v>
      </c>
      <c r="C51" s="5">
        <f>ROUND(_xlfn.IFNA(VLOOKUP(A51,'Weapon Formulas'!$E$10:$V$115,17,0),weapon_components!C51),2)</f>
        <v>-106.67</v>
      </c>
      <c r="D51" s="5">
        <f>ROUND(_xlfn.IFNA(VLOOKUP(A51,'Weapon Formulas'!$E$10:$Q$115,11,0),weapon_components!D51),2)</f>
        <v>32.51</v>
      </c>
      <c r="E51" s="5">
        <f>ROUND(_xlfn.IFNA(VLOOKUP(A51,'Weapon Formulas'!$E$10:$Q$115,12,0),weapon_components!E51),2)</f>
        <v>54.18</v>
      </c>
      <c r="F51" s="5">
        <f>ROUND(_xlfn.IFNA(VLOOKUP(A51,'Weapon Formulas'!$E$10:$L$115,8,0),weapon_components!F51),2)</f>
        <v>3</v>
      </c>
      <c r="G51" s="5">
        <f>ROUND(_xlfn.IFNA(VLOOKUP(A51,'Weapon Formulas'!$E$10:$P$115,9,0),weapon_components!G51),2)</f>
        <v>0</v>
      </c>
      <c r="H51" s="5">
        <f>ROUND(_xlfn.IFNA(VLOOKUP(A51,'Weapon Formulas'!$E$10:$L$115,7,0),weapon_components!H51),2)</f>
        <v>-1.25</v>
      </c>
      <c r="I51" s="5">
        <v>2</v>
      </c>
      <c r="J51" s="5">
        <v>20</v>
      </c>
      <c r="K51" s="5">
        <v>25</v>
      </c>
      <c r="L51" s="5">
        <f>ROUND(_xlfn.IFNA(VLOOKUP(A51,'Weapon Formulas'!$E$10:$Z$115,15,0),weapon_components!L51),1)</f>
        <v>31.1</v>
      </c>
      <c r="M51" s="2">
        <v>0.8</v>
      </c>
      <c r="N51" s="5">
        <f>ROUND(_xlfn.IFNA(VLOOKUP(A51,'Weapon Formulas'!$E$10:$W$115,16,0),weapon_components!N51),2)</f>
        <v>0</v>
      </c>
      <c r="O51" s="5"/>
      <c r="P51" s="6"/>
      <c r="Q51" s="2"/>
    </row>
    <row r="52" spans="1:17" x14ac:dyDescent="0.25">
      <c r="A52" s="15" t="s">
        <v>64</v>
      </c>
      <c r="B52" s="2">
        <v>50</v>
      </c>
      <c r="C52" s="5">
        <f>ROUND(_xlfn.IFNA(VLOOKUP(A52,'Weapon Formulas'!$E$10:$V$115,17,0),weapon_components!C52),2)</f>
        <v>-213.33</v>
      </c>
      <c r="D52" s="5">
        <f>ROUND(_xlfn.IFNA(VLOOKUP(A52,'Weapon Formulas'!$E$10:$Q$115,11,0),weapon_components!D52),2)</f>
        <v>46.18</v>
      </c>
      <c r="E52" s="5">
        <f>ROUND(_xlfn.IFNA(VLOOKUP(A52,'Weapon Formulas'!$E$10:$Q$115,12,0),weapon_components!E52),2)</f>
        <v>76.97</v>
      </c>
      <c r="F52" s="5">
        <f>ROUND(_xlfn.IFNA(VLOOKUP(A52,'Weapon Formulas'!$E$10:$L$115,8,0),weapon_components!F52),2)</f>
        <v>3</v>
      </c>
      <c r="G52" s="5">
        <f>ROUND(_xlfn.IFNA(VLOOKUP(A52,'Weapon Formulas'!$E$10:$P$115,9,0),weapon_components!G52),2)</f>
        <v>0</v>
      </c>
      <c r="H52" s="5">
        <f>ROUND(_xlfn.IFNA(VLOOKUP(A52,'Weapon Formulas'!$E$10:$L$115,7,0),weapon_components!H52),2)</f>
        <v>-1.25</v>
      </c>
      <c r="I52" s="5">
        <v>2</v>
      </c>
      <c r="J52" s="5">
        <v>20</v>
      </c>
      <c r="K52" s="2">
        <v>25</v>
      </c>
      <c r="L52" s="5">
        <f>ROUND(_xlfn.IFNA(VLOOKUP(A52,'Weapon Formulas'!$E$10:$Z$115,15,0),weapon_components!L52),1)</f>
        <v>35.5</v>
      </c>
      <c r="M52" s="5">
        <v>0.75</v>
      </c>
      <c r="N52" s="5">
        <f>ROUND(_xlfn.IFNA(VLOOKUP(A52,'Weapon Formulas'!$E$10:$W$115,16,0),weapon_components!N52),2)</f>
        <v>0</v>
      </c>
      <c r="O52" s="2"/>
      <c r="P52" s="6"/>
      <c r="Q52" s="2"/>
    </row>
    <row r="53" spans="1:17" x14ac:dyDescent="0.25">
      <c r="A53" s="15" t="s">
        <v>65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2"/>
      <c r="N53" s="5"/>
      <c r="O53" s="5"/>
      <c r="P53" s="6"/>
      <c r="Q53" s="2"/>
    </row>
    <row r="54" spans="1:17" x14ac:dyDescent="0.25">
      <c r="A54" s="15" t="s">
        <v>66</v>
      </c>
      <c r="B54" s="5">
        <v>100</v>
      </c>
      <c r="C54" s="5">
        <f>ROUND(_xlfn.IFNA(VLOOKUP(A54,'Weapon Formulas'!$E$10:$V$115,17,0),weapon_components!C54),2)</f>
        <v>-213.33</v>
      </c>
      <c r="D54" s="5">
        <f>ROUND(_xlfn.IFNA(VLOOKUP(A54,'Weapon Formulas'!$E$10:$Q$115,11,0),weapon_components!D54),2)</f>
        <v>634.4</v>
      </c>
      <c r="E54" s="5">
        <f>ROUND(_xlfn.IFNA(VLOOKUP(A54,'Weapon Formulas'!$E$10:$Q$115,12,0),weapon_components!E54),2)</f>
        <v>1057.33</v>
      </c>
      <c r="F54" s="5">
        <f>ROUND(_xlfn.IFNA(VLOOKUP(A54,'Weapon Formulas'!$E$10:$L$115,8,0),weapon_components!F54),2)</f>
        <v>7.0000000000000007E-2</v>
      </c>
      <c r="G54" s="5">
        <f>ROUND(_xlfn.IFNA(VLOOKUP(A54,'Weapon Formulas'!$E$10:$P$115,9,0),weapon_components!G54),2)</f>
        <v>0</v>
      </c>
      <c r="H54" s="5">
        <f>ROUND(_xlfn.IFNA(VLOOKUP(A54,'Weapon Formulas'!$E$10:$L$115,7,0),weapon_components!H54),2)</f>
        <v>-1.44</v>
      </c>
      <c r="I54" s="5">
        <v>2</v>
      </c>
      <c r="J54" s="5">
        <v>23</v>
      </c>
      <c r="K54" s="5">
        <v>55</v>
      </c>
      <c r="L54" s="5">
        <f>ROUND(_xlfn.IFNA(VLOOKUP(A54,'Weapon Formulas'!$E$10:$Z$115,15,0),weapon_components!L54),1)</f>
        <v>97.9</v>
      </c>
      <c r="M54" s="2">
        <v>0.95</v>
      </c>
      <c r="N54" s="5">
        <f>ROUND(_xlfn.IFNA(VLOOKUP(A54,'Weapon Formulas'!$E$10:$W$115,16,0),weapon_components!N54),2)</f>
        <v>7.5</v>
      </c>
      <c r="O54" s="5"/>
      <c r="P54" s="6"/>
      <c r="Q54" s="2"/>
    </row>
    <row r="55" spans="1:17" x14ac:dyDescent="0.25">
      <c r="A55" s="15" t="s">
        <v>67</v>
      </c>
      <c r="B55" s="5">
        <v>120</v>
      </c>
      <c r="C55" s="5">
        <f>ROUND(_xlfn.IFNA(VLOOKUP(A55,'Weapon Formulas'!$E$10:$V$115,17,0),weapon_components!C55),2)</f>
        <v>-426.67</v>
      </c>
      <c r="D55" s="5">
        <f>ROUND(_xlfn.IFNA(VLOOKUP(A55,'Weapon Formulas'!$E$10:$Q$115,11,0),weapon_components!D55),2)</f>
        <v>846.33</v>
      </c>
      <c r="E55" s="5">
        <f>ROUND(_xlfn.IFNA(VLOOKUP(A55,'Weapon Formulas'!$E$10:$Q$115,12,0),weapon_components!E55),2)</f>
        <v>1410.56</v>
      </c>
      <c r="F55" s="5">
        <f>ROUND(_xlfn.IFNA(VLOOKUP(A55,'Weapon Formulas'!$E$10:$L$115,8,0),weapon_components!F55),2)</f>
        <v>0.08</v>
      </c>
      <c r="G55" s="5">
        <f>ROUND(_xlfn.IFNA(VLOOKUP(A55,'Weapon Formulas'!$E$10:$P$115,9,0),weapon_components!G55),2)</f>
        <v>0</v>
      </c>
      <c r="H55" s="5">
        <f>ROUND(_xlfn.IFNA(VLOOKUP(A55,'Weapon Formulas'!$E$10:$L$115,7,0),weapon_components!H55),2)</f>
        <v>-1.1299999999999999</v>
      </c>
      <c r="I55" s="5">
        <v>2</v>
      </c>
      <c r="J55" s="5">
        <v>23</v>
      </c>
      <c r="K55" s="5">
        <v>55</v>
      </c>
      <c r="L55" s="5">
        <f>ROUND(_xlfn.IFNA(VLOOKUP(A55,'Weapon Formulas'!$E$10:$Z$115,15,0),weapon_components!L55),1)</f>
        <v>106.6</v>
      </c>
      <c r="M55" s="2">
        <v>0.95</v>
      </c>
      <c r="N55" s="5">
        <f>ROUND(_xlfn.IFNA(VLOOKUP(A55,'Weapon Formulas'!$E$10:$W$115,16,0),weapon_components!N55),2)</f>
        <v>10</v>
      </c>
      <c r="O55" s="5"/>
      <c r="P55" s="6"/>
      <c r="Q55" s="2"/>
    </row>
    <row r="56" spans="1:17" x14ac:dyDescent="0.25">
      <c r="A56" s="15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2"/>
      <c r="N56" s="5"/>
      <c r="O56" s="5"/>
      <c r="P56" s="6"/>
      <c r="Q56" s="2"/>
    </row>
    <row r="57" spans="1:17" x14ac:dyDescent="0.25">
      <c r="A57" s="15" t="s">
        <v>69</v>
      </c>
      <c r="B57" s="5">
        <v>2.5</v>
      </c>
      <c r="C57" s="5">
        <f>ROUND(_xlfn.IFNA(VLOOKUP(A57,'Weapon Formulas'!$E$10:$V$115,17,0),weapon_components!C57),2)</f>
        <v>-3.33</v>
      </c>
      <c r="D57" s="5">
        <f>ROUND(_xlfn.IFNA(VLOOKUP(A57,'Weapon Formulas'!$E$10:$Q$115,11,0),weapon_components!D57),2)</f>
        <v>8.09</v>
      </c>
      <c r="E57" s="5">
        <f>ROUND(_xlfn.IFNA(VLOOKUP(A57,'Weapon Formulas'!$E$10:$Q$115,12,0),weapon_components!E57),2)</f>
        <v>13.48</v>
      </c>
      <c r="F57" s="5">
        <f>ROUND(_xlfn.IFNA(VLOOKUP(A57,'Weapon Formulas'!$E$10:$L$115,8,0),weapon_components!F57),2)</f>
        <v>0</v>
      </c>
      <c r="G57" s="5">
        <f>ROUND(_xlfn.IFNA(VLOOKUP(A57,'Weapon Formulas'!$E$10:$P$115,9,0),weapon_components!G57),2)</f>
        <v>1</v>
      </c>
      <c r="H57" s="5">
        <f>ROUND(_xlfn.IFNA(VLOOKUP(A57,'Weapon Formulas'!$E$10:$L$115,7,0),weapon_components!H57),2)</f>
        <v>-9.25</v>
      </c>
      <c r="I57" s="5">
        <v>2</v>
      </c>
      <c r="J57" s="5">
        <v>23</v>
      </c>
      <c r="K57" s="5">
        <v>25</v>
      </c>
      <c r="L57" s="5">
        <f>ROUND(_xlfn.IFNA(VLOOKUP(A57,'Weapon Formulas'!$E$10:$Z$115,15,0),weapon_components!L57),1)</f>
        <v>36</v>
      </c>
      <c r="M57" s="2">
        <v>0.76</v>
      </c>
      <c r="N57" s="5">
        <f>ROUND(_xlfn.IFNA(VLOOKUP(A57,'Weapon Formulas'!$E$10:$W$115,16,0),weapon_components!N57),2)</f>
        <v>0</v>
      </c>
      <c r="O57" s="5"/>
      <c r="P57" s="6"/>
      <c r="Q57" s="2"/>
    </row>
    <row r="58" spans="1:17" x14ac:dyDescent="0.25">
      <c r="A58" s="15" t="s">
        <v>70</v>
      </c>
      <c r="B58" s="5">
        <v>5</v>
      </c>
      <c r="C58" s="5">
        <f>ROUND(_xlfn.IFNA(VLOOKUP(A58,'Weapon Formulas'!$E$10:$V$115,17,0),weapon_components!C58),2)</f>
        <v>-6.67</v>
      </c>
      <c r="D58" s="5">
        <f>ROUND(_xlfn.IFNA(VLOOKUP(A58,'Weapon Formulas'!$E$10:$Q$115,11,0),weapon_components!D58),2)</f>
        <v>14.36</v>
      </c>
      <c r="E58" s="5">
        <f>ROUND(_xlfn.IFNA(VLOOKUP(A58,'Weapon Formulas'!$E$10:$Q$115,12,0),weapon_components!E58),2)</f>
        <v>23.93</v>
      </c>
      <c r="F58" s="5">
        <f>ROUND(_xlfn.IFNA(VLOOKUP(A58,'Weapon Formulas'!$E$10:$L$115,8,0),weapon_components!F58),2)</f>
        <v>0</v>
      </c>
      <c r="G58" s="5">
        <f>ROUND(_xlfn.IFNA(VLOOKUP(A58,'Weapon Formulas'!$E$10:$P$115,9,0),weapon_components!G58),2)</f>
        <v>1</v>
      </c>
      <c r="H58" s="5">
        <f>ROUND(_xlfn.IFNA(VLOOKUP(A58,'Weapon Formulas'!$E$10:$L$115,7,0),weapon_components!H58),2)</f>
        <v>-6.53</v>
      </c>
      <c r="I58" s="5">
        <v>2</v>
      </c>
      <c r="J58" s="5">
        <v>23</v>
      </c>
      <c r="K58" s="5">
        <v>25</v>
      </c>
      <c r="L58" s="5">
        <f>ROUND(_xlfn.IFNA(VLOOKUP(A58,'Weapon Formulas'!$E$10:$Z$115,15,0),weapon_components!L58),1)</f>
        <v>45</v>
      </c>
      <c r="M58" s="2">
        <v>0.72</v>
      </c>
      <c r="N58" s="5">
        <f>ROUND(_xlfn.IFNA(VLOOKUP(A58,'Weapon Formulas'!$E$10:$W$115,16,0),weapon_components!N58),2)</f>
        <v>0</v>
      </c>
      <c r="O58" s="5"/>
      <c r="P58" s="6"/>
      <c r="Q58" s="2"/>
    </row>
    <row r="59" spans="1:17" x14ac:dyDescent="0.25">
      <c r="A59" s="15" t="s">
        <v>71</v>
      </c>
      <c r="B59" s="5">
        <v>10</v>
      </c>
      <c r="C59" s="5">
        <f>ROUND(_xlfn.IFNA(VLOOKUP(A59,'Weapon Formulas'!$E$10:$V$115,17,0),weapon_components!C59),2)</f>
        <v>-13.33</v>
      </c>
      <c r="D59" s="5">
        <f>ROUND(_xlfn.IFNA(VLOOKUP(A59,'Weapon Formulas'!$E$10:$Q$115,11,0),weapon_components!D59),2)</f>
        <v>25.14</v>
      </c>
      <c r="E59" s="5">
        <f>ROUND(_xlfn.IFNA(VLOOKUP(A59,'Weapon Formulas'!$E$10:$Q$115,12,0),weapon_components!E59),2)</f>
        <v>41.9</v>
      </c>
      <c r="F59" s="5">
        <f>ROUND(_xlfn.IFNA(VLOOKUP(A59,'Weapon Formulas'!$E$10:$L$115,8,0),weapon_components!F59),2)</f>
        <v>0</v>
      </c>
      <c r="G59" s="5">
        <f>ROUND(_xlfn.IFNA(VLOOKUP(A59,'Weapon Formulas'!$E$10:$P$115,9,0),weapon_components!G59),2)</f>
        <v>1</v>
      </c>
      <c r="H59" s="5">
        <f>ROUND(_xlfn.IFNA(VLOOKUP(A59,'Weapon Formulas'!$E$10:$L$115,7,0),weapon_components!H59),2)</f>
        <v>-2.64</v>
      </c>
      <c r="I59" s="5">
        <v>2</v>
      </c>
      <c r="J59" s="5">
        <v>23</v>
      </c>
      <c r="K59" s="5">
        <v>25</v>
      </c>
      <c r="L59" s="5">
        <f>ROUND(_xlfn.IFNA(VLOOKUP(A59,'Weapon Formulas'!$E$10:$Z$115,15,0),weapon_components!L59),1)</f>
        <v>54</v>
      </c>
      <c r="M59" s="2">
        <v>0.67</v>
      </c>
      <c r="N59" s="5">
        <f>ROUND(_xlfn.IFNA(VLOOKUP(A59,'Weapon Formulas'!$E$10:$W$115,16,0),weapon_components!N59),2)</f>
        <v>0</v>
      </c>
      <c r="O59" s="5"/>
      <c r="P59" s="6"/>
      <c r="Q59" s="2"/>
    </row>
    <row r="60" spans="1:17" x14ac:dyDescent="0.25">
      <c r="A60" s="15" t="s">
        <v>72</v>
      </c>
      <c r="B60" s="5">
        <v>5</v>
      </c>
      <c r="C60" s="5">
        <f>ROUND(_xlfn.IFNA(VLOOKUP(A60,'Weapon Formulas'!$E$10:$V$115,17,0),weapon_components!C60),2)</f>
        <v>-6.67</v>
      </c>
      <c r="D60" s="5">
        <f>ROUND(_xlfn.IFNA(VLOOKUP(A60,'Weapon Formulas'!$E$10:$Q$115,11,0),weapon_components!D60),2)</f>
        <v>17.46</v>
      </c>
      <c r="E60" s="5">
        <f>ROUND(_xlfn.IFNA(VLOOKUP(A60,'Weapon Formulas'!$E$10:$Q$115,12,0),weapon_components!E60),2)</f>
        <v>29.11</v>
      </c>
      <c r="F60" s="5">
        <f>ROUND(_xlfn.IFNA(VLOOKUP(A60,'Weapon Formulas'!$E$10:$L$115,8,0),weapon_components!F60),2)</f>
        <v>0</v>
      </c>
      <c r="G60" s="5">
        <f>ROUND(_xlfn.IFNA(VLOOKUP(A60,'Weapon Formulas'!$E$10:$P$115,9,0),weapon_components!G60),2)</f>
        <v>1</v>
      </c>
      <c r="H60" s="5">
        <f>ROUND(_xlfn.IFNA(VLOOKUP(A60,'Weapon Formulas'!$E$10:$L$115,7,0),weapon_components!H60),2)</f>
        <v>-4.25</v>
      </c>
      <c r="I60" s="5">
        <v>2</v>
      </c>
      <c r="J60" s="5">
        <v>23</v>
      </c>
      <c r="K60" s="5">
        <v>25</v>
      </c>
      <c r="L60" s="5">
        <f>ROUND(_xlfn.IFNA(VLOOKUP(A60,'Weapon Formulas'!$E$10:$Z$115,15,0),weapon_components!L60),1)</f>
        <v>40.299999999999997</v>
      </c>
      <c r="M60" s="2">
        <v>0.76</v>
      </c>
      <c r="N60" s="5">
        <f>ROUND(_xlfn.IFNA(VLOOKUP(A60,'Weapon Formulas'!$E$10:$W$115,16,0),weapon_components!N60),2)</f>
        <v>0</v>
      </c>
      <c r="O60" s="5"/>
      <c r="P60" s="6"/>
      <c r="Q60" s="2"/>
    </row>
    <row r="61" spans="1:17" x14ac:dyDescent="0.25">
      <c r="A61" s="15" t="s">
        <v>73</v>
      </c>
      <c r="B61" s="5">
        <v>10</v>
      </c>
      <c r="C61" s="5">
        <f>ROUND(_xlfn.IFNA(VLOOKUP(A61,'Weapon Formulas'!$E$10:$V$115,17,0),weapon_components!C61),2)</f>
        <v>-13.33</v>
      </c>
      <c r="D61" s="5">
        <f>ROUND(_xlfn.IFNA(VLOOKUP(A61,'Weapon Formulas'!$E$10:$Q$115,11,0),weapon_components!D61),2)</f>
        <v>31.15</v>
      </c>
      <c r="E61" s="5">
        <f>ROUND(_xlfn.IFNA(VLOOKUP(A61,'Weapon Formulas'!$E$10:$Q$115,12,0),weapon_components!E61),2)</f>
        <v>51.91</v>
      </c>
      <c r="F61" s="5">
        <f>ROUND(_xlfn.IFNA(VLOOKUP(A61,'Weapon Formulas'!$E$10:$L$115,8,0),weapon_components!F61),2)</f>
        <v>0</v>
      </c>
      <c r="G61" s="5">
        <f>ROUND(_xlfn.IFNA(VLOOKUP(A61,'Weapon Formulas'!$E$10:$P$115,9,0),weapon_components!G61),2)</f>
        <v>1</v>
      </c>
      <c r="H61" s="5">
        <f>ROUND(_xlfn.IFNA(VLOOKUP(A61,'Weapon Formulas'!$E$10:$L$115,7,0),weapon_components!H61),2)</f>
        <v>-3</v>
      </c>
      <c r="I61" s="5">
        <v>2</v>
      </c>
      <c r="J61" s="5">
        <v>23</v>
      </c>
      <c r="K61" s="5">
        <v>25</v>
      </c>
      <c r="L61" s="5">
        <f>ROUND(_xlfn.IFNA(VLOOKUP(A61,'Weapon Formulas'!$E$10:$Z$115,15,0),weapon_components!L61),1)</f>
        <v>50.4</v>
      </c>
      <c r="M61" s="2">
        <v>0.72</v>
      </c>
      <c r="N61" s="5">
        <f>ROUND(_xlfn.IFNA(VLOOKUP(A61,'Weapon Formulas'!$E$10:$W$115,16,0),weapon_components!N61),2)</f>
        <v>0</v>
      </c>
      <c r="O61" s="5"/>
      <c r="P61" s="6"/>
      <c r="Q61" s="2"/>
    </row>
    <row r="62" spans="1:17" x14ac:dyDescent="0.25">
      <c r="A62" s="15" t="s">
        <v>74</v>
      </c>
      <c r="B62" s="5">
        <v>20</v>
      </c>
      <c r="C62" s="5">
        <f>ROUND(_xlfn.IFNA(VLOOKUP(A62,'Weapon Formulas'!$E$10:$V$115,17,0),weapon_components!C62),2)</f>
        <v>-26.67</v>
      </c>
      <c r="D62" s="5">
        <f>ROUND(_xlfn.IFNA(VLOOKUP(A62,'Weapon Formulas'!$E$10:$Q$115,11,0),weapon_components!D62),2)</f>
        <v>54.8</v>
      </c>
      <c r="E62" s="5">
        <f>ROUND(_xlfn.IFNA(VLOOKUP(A62,'Weapon Formulas'!$E$10:$Q$115,12,0),weapon_components!E62),2)</f>
        <v>91.33</v>
      </c>
      <c r="F62" s="5">
        <f>ROUND(_xlfn.IFNA(VLOOKUP(A62,'Weapon Formulas'!$E$10:$L$115,8,0),weapon_components!F62),2)</f>
        <v>0</v>
      </c>
      <c r="G62" s="5">
        <f>ROUND(_xlfn.IFNA(VLOOKUP(A62,'Weapon Formulas'!$E$10:$P$115,9,0),weapon_components!G62),2)</f>
        <v>1</v>
      </c>
      <c r="H62" s="5">
        <f>ROUND(_xlfn.IFNA(VLOOKUP(A62,'Weapon Formulas'!$E$10:$L$115,7,0),weapon_components!H62),2)</f>
        <v>-1.21</v>
      </c>
      <c r="I62" s="5">
        <v>2</v>
      </c>
      <c r="J62" s="5">
        <v>23</v>
      </c>
      <c r="K62" s="5">
        <v>25</v>
      </c>
      <c r="L62" s="5">
        <f>ROUND(_xlfn.IFNA(VLOOKUP(A62,'Weapon Formulas'!$E$10:$Z$115,15,0),weapon_components!L62),1)</f>
        <v>60.5</v>
      </c>
      <c r="M62" s="2">
        <v>0.67</v>
      </c>
      <c r="N62" s="5">
        <f>ROUND(_xlfn.IFNA(VLOOKUP(A62,'Weapon Formulas'!$E$10:$W$115,16,0),weapon_components!N62),2)</f>
        <v>0</v>
      </c>
      <c r="O62" s="5"/>
      <c r="P62" s="6"/>
      <c r="Q62" s="2"/>
    </row>
    <row r="63" spans="1:17" x14ac:dyDescent="0.25">
      <c r="A63" s="15" t="s">
        <v>75</v>
      </c>
      <c r="B63" s="5">
        <v>7.5</v>
      </c>
      <c r="C63" s="5">
        <f>ROUND(_xlfn.IFNA(VLOOKUP(A63,'Weapon Formulas'!$E$10:$V$115,17,0),weapon_components!C63),2)</f>
        <v>-13.33</v>
      </c>
      <c r="D63" s="5">
        <f>ROUND(_xlfn.IFNA(VLOOKUP(A63,'Weapon Formulas'!$E$10:$Q$115,11,0),weapon_components!D63),2)</f>
        <v>28.65</v>
      </c>
      <c r="E63" s="5">
        <f>ROUND(_xlfn.IFNA(VLOOKUP(A63,'Weapon Formulas'!$E$10:$Q$115,12,0),weapon_components!E63),2)</f>
        <v>47.76</v>
      </c>
      <c r="F63" s="5">
        <f>ROUND(_xlfn.IFNA(VLOOKUP(A63,'Weapon Formulas'!$E$10:$L$115,8,0),weapon_components!F63),2)</f>
        <v>0</v>
      </c>
      <c r="G63" s="5">
        <f>ROUND(_xlfn.IFNA(VLOOKUP(A63,'Weapon Formulas'!$E$10:$P$115,9,0),weapon_components!G63),2)</f>
        <v>1</v>
      </c>
      <c r="H63" s="5">
        <f>ROUND(_xlfn.IFNA(VLOOKUP(A63,'Weapon Formulas'!$E$10:$L$115,7,0),weapon_components!H63),2)</f>
        <v>-2.58</v>
      </c>
      <c r="I63" s="5">
        <v>2</v>
      </c>
      <c r="J63" s="5">
        <v>23</v>
      </c>
      <c r="K63" s="5">
        <v>25</v>
      </c>
      <c r="L63" s="5">
        <f>ROUND(_xlfn.IFNA(VLOOKUP(A63,'Weapon Formulas'!$E$10:$Z$115,15,0),weapon_components!L63),1)</f>
        <v>44.6</v>
      </c>
      <c r="M63" s="2">
        <v>0.76</v>
      </c>
      <c r="N63" s="5">
        <f>ROUND(_xlfn.IFNA(VLOOKUP(A63,'Weapon Formulas'!$E$10:$W$115,16,0),weapon_components!N63),2)</f>
        <v>0</v>
      </c>
      <c r="O63" s="5"/>
      <c r="P63" s="6"/>
      <c r="Q63" s="2"/>
    </row>
    <row r="64" spans="1:17" x14ac:dyDescent="0.25">
      <c r="A64" s="15" t="s">
        <v>76</v>
      </c>
      <c r="B64" s="5">
        <v>15</v>
      </c>
      <c r="C64" s="5">
        <f>ROUND(_xlfn.IFNA(VLOOKUP(A64,'Weapon Formulas'!$E$10:$V$115,17,0),weapon_components!C64),2)</f>
        <v>-26.67</v>
      </c>
      <c r="D64" s="5">
        <f>ROUND(_xlfn.IFNA(VLOOKUP(A64,'Weapon Formulas'!$E$10:$Q$115,11,0),weapon_components!D64),2)</f>
        <v>51.19</v>
      </c>
      <c r="E64" s="5">
        <f>ROUND(_xlfn.IFNA(VLOOKUP(A64,'Weapon Formulas'!$E$10:$Q$115,12,0),weapon_components!E64),2)</f>
        <v>85.32</v>
      </c>
      <c r="F64" s="5">
        <f>ROUND(_xlfn.IFNA(VLOOKUP(A64,'Weapon Formulas'!$E$10:$L$115,8,0),weapon_components!F64),2)</f>
        <v>0</v>
      </c>
      <c r="G64" s="5">
        <f>ROUND(_xlfn.IFNA(VLOOKUP(A64,'Weapon Formulas'!$E$10:$P$115,9,0),weapon_components!G64),2)</f>
        <v>1</v>
      </c>
      <c r="H64" s="5">
        <f>ROUND(_xlfn.IFNA(VLOOKUP(A64,'Weapon Formulas'!$E$10:$L$115,7,0),weapon_components!H64),2)</f>
        <v>-1.82</v>
      </c>
      <c r="I64" s="5">
        <v>2</v>
      </c>
      <c r="J64" s="5">
        <v>23</v>
      </c>
      <c r="K64" s="5">
        <v>25</v>
      </c>
      <c r="L64" s="5">
        <f>ROUND(_xlfn.IFNA(VLOOKUP(A64,'Weapon Formulas'!$E$10:$Z$115,15,0),weapon_components!L64),1)</f>
        <v>55.8</v>
      </c>
      <c r="M64" s="2">
        <v>0.72</v>
      </c>
      <c r="N64" s="5">
        <f>ROUND(_xlfn.IFNA(VLOOKUP(A64,'Weapon Formulas'!$E$10:$W$115,16,0),weapon_components!N64),2)</f>
        <v>0</v>
      </c>
      <c r="O64" s="5"/>
      <c r="P64" s="6"/>
      <c r="Q64" s="2"/>
    </row>
    <row r="65" spans="1:17" x14ac:dyDescent="0.25">
      <c r="A65" s="15" t="s">
        <v>77</v>
      </c>
      <c r="B65" s="5">
        <v>30</v>
      </c>
      <c r="C65" s="5">
        <f>ROUND(_xlfn.IFNA(VLOOKUP(A65,'Weapon Formulas'!$E$10:$V$115,17,0),weapon_components!C65),2)</f>
        <v>-53.33</v>
      </c>
      <c r="D65" s="5">
        <f>ROUND(_xlfn.IFNA(VLOOKUP(A65,'Weapon Formulas'!$E$10:$Q$115,11,0),weapon_components!D65),2)</f>
        <v>90.2</v>
      </c>
      <c r="E65" s="5">
        <f>ROUND(_xlfn.IFNA(VLOOKUP(A65,'Weapon Formulas'!$E$10:$Q$115,12,0),weapon_components!E65),2)</f>
        <v>150.33000000000001</v>
      </c>
      <c r="F65" s="5">
        <f>ROUND(_xlfn.IFNA(VLOOKUP(A65,'Weapon Formulas'!$E$10:$L$115,8,0),weapon_components!F65),2)</f>
        <v>0</v>
      </c>
      <c r="G65" s="5">
        <f>ROUND(_xlfn.IFNA(VLOOKUP(A65,'Weapon Formulas'!$E$10:$P$115,9,0),weapon_components!G65),2)</f>
        <v>1</v>
      </c>
      <c r="H65" s="5">
        <f>ROUND(_xlfn.IFNA(VLOOKUP(A65,'Weapon Formulas'!$E$10:$L$115,7,0),weapon_components!H65),2)</f>
        <v>-0.74</v>
      </c>
      <c r="I65" s="5">
        <v>2</v>
      </c>
      <c r="J65" s="5">
        <v>23</v>
      </c>
      <c r="K65" s="5">
        <v>25</v>
      </c>
      <c r="L65" s="5">
        <f>ROUND(_xlfn.IFNA(VLOOKUP(A65,'Weapon Formulas'!$E$10:$Z$115,15,0),weapon_components!L65),1)</f>
        <v>67</v>
      </c>
      <c r="M65" s="2">
        <v>0.67</v>
      </c>
      <c r="N65" s="5">
        <f>ROUND(_xlfn.IFNA(VLOOKUP(A65,'Weapon Formulas'!$E$10:$W$115,16,0),weapon_components!N65),2)</f>
        <v>0</v>
      </c>
      <c r="O65" s="5"/>
      <c r="P65" s="6"/>
      <c r="Q65" s="2"/>
    </row>
    <row r="66" spans="1:17" x14ac:dyDescent="0.25">
      <c r="A66" s="15" t="s">
        <v>78</v>
      </c>
      <c r="B66" s="5">
        <v>10</v>
      </c>
      <c r="C66" s="5">
        <f>ROUND(_xlfn.IFNA(VLOOKUP(A66,'Weapon Formulas'!$E$10:$V$115,17,0),weapon_components!C66),2)</f>
        <v>-26.67</v>
      </c>
      <c r="D66" s="5">
        <f>ROUND(_xlfn.IFNA(VLOOKUP(A66,'Weapon Formulas'!$E$10:$Q$115,11,0),weapon_components!D66),2)</f>
        <v>42.24</v>
      </c>
      <c r="E66" s="5">
        <f>ROUND(_xlfn.IFNA(VLOOKUP(A66,'Weapon Formulas'!$E$10:$Q$115,12,0),weapon_components!E66),2)</f>
        <v>70.400000000000006</v>
      </c>
      <c r="F66" s="5">
        <f>ROUND(_xlfn.IFNA(VLOOKUP(A66,'Weapon Formulas'!$E$10:$L$115,8,0),weapon_components!F66),2)</f>
        <v>0</v>
      </c>
      <c r="G66" s="5">
        <f>ROUND(_xlfn.IFNA(VLOOKUP(A66,'Weapon Formulas'!$E$10:$P$115,9,0),weapon_components!G66),2)</f>
        <v>1</v>
      </c>
      <c r="H66" s="5">
        <f>ROUND(_xlfn.IFNA(VLOOKUP(A66,'Weapon Formulas'!$E$10:$L$115,7,0),weapon_components!H66),2)</f>
        <v>-1.75</v>
      </c>
      <c r="I66" s="5">
        <v>2</v>
      </c>
      <c r="J66" s="5">
        <v>23</v>
      </c>
      <c r="K66" s="5">
        <v>25</v>
      </c>
      <c r="L66" s="5">
        <f>ROUND(_xlfn.IFNA(VLOOKUP(A66,'Weapon Formulas'!$E$10:$Z$115,15,0),weapon_components!L66),1)</f>
        <v>49</v>
      </c>
      <c r="M66" s="2">
        <v>0.76</v>
      </c>
      <c r="N66" s="5">
        <f>ROUND(_xlfn.IFNA(VLOOKUP(A66,'Weapon Formulas'!$E$10:$W$115,16,0),weapon_components!N66),2)</f>
        <v>0</v>
      </c>
      <c r="O66" s="5"/>
      <c r="P66" s="6"/>
      <c r="Q66" s="2"/>
    </row>
    <row r="67" spans="1:17" x14ac:dyDescent="0.25">
      <c r="A67" s="15" t="s">
        <v>79</v>
      </c>
      <c r="B67" s="5">
        <v>20</v>
      </c>
      <c r="C67" s="5">
        <f>ROUND(_xlfn.IFNA(VLOOKUP(A67,'Weapon Formulas'!$E$10:$V$115,17,0),weapon_components!C67),2)</f>
        <v>-53.33</v>
      </c>
      <c r="D67" s="5">
        <f>ROUND(_xlfn.IFNA(VLOOKUP(A67,'Weapon Formulas'!$E$10:$Q$115,11,0),weapon_components!D67),2)</f>
        <v>75.52</v>
      </c>
      <c r="E67" s="5">
        <f>ROUND(_xlfn.IFNA(VLOOKUP(A67,'Weapon Formulas'!$E$10:$Q$115,12,0),weapon_components!E67),2)</f>
        <v>125.87</v>
      </c>
      <c r="F67" s="5">
        <f>ROUND(_xlfn.IFNA(VLOOKUP(A67,'Weapon Formulas'!$E$10:$L$115,8,0),weapon_components!F67),2)</f>
        <v>0</v>
      </c>
      <c r="G67" s="5">
        <f>ROUND(_xlfn.IFNA(VLOOKUP(A67,'Weapon Formulas'!$E$10:$P$115,9,0),weapon_components!G67),2)</f>
        <v>1</v>
      </c>
      <c r="H67" s="5">
        <f>ROUND(_xlfn.IFNA(VLOOKUP(A67,'Weapon Formulas'!$E$10:$L$115,7,0),weapon_components!H67),2)</f>
        <v>-1.24</v>
      </c>
      <c r="I67" s="5">
        <v>2</v>
      </c>
      <c r="J67" s="5">
        <v>23</v>
      </c>
      <c r="K67" s="5">
        <v>25</v>
      </c>
      <c r="L67" s="5">
        <f>ROUND(_xlfn.IFNA(VLOOKUP(A67,'Weapon Formulas'!$E$10:$Z$115,15,0),weapon_components!L67),1)</f>
        <v>61.2</v>
      </c>
      <c r="M67" s="2">
        <v>0.72</v>
      </c>
      <c r="N67" s="5">
        <f>ROUND(_xlfn.IFNA(VLOOKUP(A67,'Weapon Formulas'!$E$10:$W$115,16,0),weapon_components!N67),2)</f>
        <v>0</v>
      </c>
      <c r="O67" s="5"/>
      <c r="P67" s="6"/>
      <c r="Q67" s="2"/>
    </row>
    <row r="68" spans="1:17" x14ac:dyDescent="0.25">
      <c r="A68" s="15" t="s">
        <v>80</v>
      </c>
      <c r="B68" s="2">
        <v>40</v>
      </c>
      <c r="C68" s="5">
        <f>ROUND(_xlfn.IFNA(VLOOKUP(A68,'Weapon Formulas'!$E$10:$V$115,17,0),weapon_components!C68),2)</f>
        <v>-106.67</v>
      </c>
      <c r="D68" s="5">
        <f>ROUND(_xlfn.IFNA(VLOOKUP(A68,'Weapon Formulas'!$E$10:$Q$115,11,0),weapon_components!D68),2)</f>
        <v>133.18</v>
      </c>
      <c r="E68" s="5">
        <f>ROUND(_xlfn.IFNA(VLOOKUP(A68,'Weapon Formulas'!$E$10:$Q$115,12,0),weapon_components!E68),2)</f>
        <v>221.97</v>
      </c>
      <c r="F68" s="5">
        <f>ROUND(_xlfn.IFNA(VLOOKUP(A68,'Weapon Formulas'!$E$10:$L$115,8,0),weapon_components!F68),2)</f>
        <v>0</v>
      </c>
      <c r="G68" s="5">
        <f>ROUND(_xlfn.IFNA(VLOOKUP(A68,'Weapon Formulas'!$E$10:$P$115,9,0),weapon_components!G68),2)</f>
        <v>1</v>
      </c>
      <c r="H68" s="5">
        <f>ROUND(_xlfn.IFNA(VLOOKUP(A68,'Weapon Formulas'!$E$10:$L$115,7,0),weapon_components!H68),2)</f>
        <v>-0.5</v>
      </c>
      <c r="I68" s="5">
        <v>2</v>
      </c>
      <c r="J68" s="5">
        <v>23</v>
      </c>
      <c r="K68" s="2">
        <v>25</v>
      </c>
      <c r="L68" s="5">
        <f>ROUND(_xlfn.IFNA(VLOOKUP(A68,'Weapon Formulas'!$E$10:$Z$115,15,0),weapon_components!L68),1)</f>
        <v>73.400000000000006</v>
      </c>
      <c r="M68" s="5">
        <v>0.67</v>
      </c>
      <c r="N68" s="5">
        <f>ROUND(_xlfn.IFNA(VLOOKUP(A68,'Weapon Formulas'!$E$10:$W$115,16,0),weapon_components!N68),2)</f>
        <v>0</v>
      </c>
      <c r="O68" s="2"/>
      <c r="P68" s="6"/>
      <c r="Q68" s="2"/>
    </row>
    <row r="69" spans="1:17" x14ac:dyDescent="0.25">
      <c r="A69" s="15" t="s">
        <v>81</v>
      </c>
      <c r="B69" s="5">
        <v>12.5</v>
      </c>
      <c r="C69" s="5">
        <f>ROUND(_xlfn.IFNA(VLOOKUP(A69,'Weapon Formulas'!$E$10:$V$115,17,0),weapon_components!C69),2)</f>
        <v>-53.33</v>
      </c>
      <c r="D69" s="5">
        <f>ROUND(_xlfn.IFNA(VLOOKUP(A69,'Weapon Formulas'!$E$10:$Q$115,11,0),weapon_components!D69),2)</f>
        <v>59.09</v>
      </c>
      <c r="E69" s="5">
        <f>ROUND(_xlfn.IFNA(VLOOKUP(A69,'Weapon Formulas'!$E$10:$Q$115,12,0),weapon_components!E69),2)</f>
        <v>98.49</v>
      </c>
      <c r="F69" s="5">
        <f>ROUND(_xlfn.IFNA(VLOOKUP(A69,'Weapon Formulas'!$E$10:$L$115,8,0),weapon_components!F69),2)</f>
        <v>0</v>
      </c>
      <c r="G69" s="5">
        <f>ROUND(_xlfn.IFNA(VLOOKUP(A69,'Weapon Formulas'!$E$10:$P$115,9,0),weapon_components!G69),2)</f>
        <v>1</v>
      </c>
      <c r="H69" s="5">
        <f>ROUND(_xlfn.IFNA(VLOOKUP(A69,'Weapon Formulas'!$E$10:$L$115,7,0),weapon_components!H69),2)</f>
        <v>-1.25</v>
      </c>
      <c r="I69" s="5">
        <v>2</v>
      </c>
      <c r="J69" s="5">
        <v>23</v>
      </c>
      <c r="K69" s="5">
        <v>25</v>
      </c>
      <c r="L69" s="5">
        <f>ROUND(_xlfn.IFNA(VLOOKUP(A69,'Weapon Formulas'!$E$10:$Z$115,15,0),weapon_components!L69),1)</f>
        <v>53.3</v>
      </c>
      <c r="M69" s="2">
        <v>0.76</v>
      </c>
      <c r="N69" s="5">
        <f>ROUND(_xlfn.IFNA(VLOOKUP(A69,'Weapon Formulas'!$E$10:$W$115,16,0),weapon_components!N69),2)</f>
        <v>0</v>
      </c>
      <c r="O69" s="5"/>
      <c r="P69" s="6"/>
      <c r="Q69" s="2"/>
    </row>
    <row r="70" spans="1:17" x14ac:dyDescent="0.25">
      <c r="A70" s="15" t="s">
        <v>82</v>
      </c>
      <c r="B70" s="5">
        <v>25</v>
      </c>
      <c r="C70" s="5">
        <f>ROUND(_xlfn.IFNA(VLOOKUP(A70,'Weapon Formulas'!$E$10:$V$115,17,0),weapon_components!C70),2)</f>
        <v>-106.67</v>
      </c>
      <c r="D70" s="5">
        <f>ROUND(_xlfn.IFNA(VLOOKUP(A70,'Weapon Formulas'!$E$10:$Q$115,11,0),weapon_components!D70),2)</f>
        <v>105.7</v>
      </c>
      <c r="E70" s="5">
        <f>ROUND(_xlfn.IFNA(VLOOKUP(A70,'Weapon Formulas'!$E$10:$Q$115,12,0),weapon_components!E70),2)</f>
        <v>176.17</v>
      </c>
      <c r="F70" s="5">
        <f>ROUND(_xlfn.IFNA(VLOOKUP(A70,'Weapon Formulas'!$E$10:$L$115,8,0),weapon_components!F70),2)</f>
        <v>0</v>
      </c>
      <c r="G70" s="5">
        <f>ROUND(_xlfn.IFNA(VLOOKUP(A70,'Weapon Formulas'!$E$10:$P$115,9,0),weapon_components!G70),2)</f>
        <v>1</v>
      </c>
      <c r="H70" s="5">
        <f>ROUND(_xlfn.IFNA(VLOOKUP(A70,'Weapon Formulas'!$E$10:$L$115,7,0),weapon_components!H70),2)</f>
        <v>-0.88</v>
      </c>
      <c r="I70" s="5">
        <v>2</v>
      </c>
      <c r="J70" s="5">
        <v>23</v>
      </c>
      <c r="K70" s="5">
        <v>25</v>
      </c>
      <c r="L70" s="5">
        <f>ROUND(_xlfn.IFNA(VLOOKUP(A70,'Weapon Formulas'!$E$10:$Z$115,15,0),weapon_components!L70),1)</f>
        <v>66.599999999999994</v>
      </c>
      <c r="M70" s="2">
        <v>0.72</v>
      </c>
      <c r="N70" s="5">
        <f>ROUND(_xlfn.IFNA(VLOOKUP(A70,'Weapon Formulas'!$E$10:$W$115,16,0),weapon_components!N70),2)</f>
        <v>0</v>
      </c>
      <c r="O70" s="5"/>
      <c r="P70" s="6"/>
      <c r="Q70" s="2"/>
    </row>
    <row r="71" spans="1:17" x14ac:dyDescent="0.25">
      <c r="A71" s="15" t="s">
        <v>83</v>
      </c>
      <c r="B71" s="2">
        <v>50</v>
      </c>
      <c r="C71" s="5">
        <f>ROUND(_xlfn.IFNA(VLOOKUP(A71,'Weapon Formulas'!$E$10:$V$115,17,0),weapon_components!C71),2)</f>
        <v>-213.33</v>
      </c>
      <c r="D71" s="5">
        <f>ROUND(_xlfn.IFNA(VLOOKUP(A71,'Weapon Formulas'!$E$10:$Q$115,11,0),weapon_components!D71),2)</f>
        <v>186.48</v>
      </c>
      <c r="E71" s="5">
        <f>ROUND(_xlfn.IFNA(VLOOKUP(A71,'Weapon Formulas'!$E$10:$Q$115,12,0),weapon_components!E71),2)</f>
        <v>310.81</v>
      </c>
      <c r="F71" s="5">
        <f>ROUND(_xlfn.IFNA(VLOOKUP(A71,'Weapon Formulas'!$E$10:$L$115,8,0),weapon_components!F71),2)</f>
        <v>0</v>
      </c>
      <c r="G71" s="5">
        <f>ROUND(_xlfn.IFNA(VLOOKUP(A71,'Weapon Formulas'!$E$10:$P$115,9,0),weapon_components!G71),2)</f>
        <v>1</v>
      </c>
      <c r="H71" s="5">
        <f>ROUND(_xlfn.IFNA(VLOOKUP(A71,'Weapon Formulas'!$E$10:$L$115,7,0),weapon_components!H71),2)</f>
        <v>-0.36</v>
      </c>
      <c r="I71" s="5">
        <v>2</v>
      </c>
      <c r="J71" s="5">
        <v>23</v>
      </c>
      <c r="K71" s="2">
        <v>25</v>
      </c>
      <c r="L71" s="5">
        <f>ROUND(_xlfn.IFNA(VLOOKUP(A71,'Weapon Formulas'!$E$10:$Z$115,15,0),weapon_components!L71),1)</f>
        <v>79.900000000000006</v>
      </c>
      <c r="M71" s="5">
        <v>0.67</v>
      </c>
      <c r="N71" s="5">
        <f>ROUND(_xlfn.IFNA(VLOOKUP(A71,'Weapon Formulas'!$E$10:$W$115,16,0),weapon_components!N71),2)</f>
        <v>0</v>
      </c>
      <c r="O71" s="2"/>
      <c r="P71" s="6"/>
      <c r="Q71" s="2"/>
    </row>
    <row r="72" spans="1:17" x14ac:dyDescent="0.25">
      <c r="A72" s="15" t="s">
        <v>150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2"/>
      <c r="N72" s="5"/>
      <c r="O72" s="5"/>
      <c r="P72" s="6"/>
      <c r="Q72" s="2"/>
    </row>
    <row r="73" spans="1:17" x14ac:dyDescent="0.25">
      <c r="A73" s="15" t="s">
        <v>154</v>
      </c>
      <c r="B73" s="5">
        <v>0</v>
      </c>
      <c r="C73" s="5">
        <f>ROUND(_xlfn.IFNA(VLOOKUP(A73,'Weapon Formulas'!$E$10:$V$115,17,0),weapon_components!C73),2)</f>
        <v>0</v>
      </c>
      <c r="D73" s="5">
        <f>ROUND(_xlfn.IFNA(VLOOKUP(A73,'Weapon Formulas'!$E$10:$Q$115,11,0),weapon_components!D73),2)</f>
        <v>3</v>
      </c>
      <c r="E73" s="5">
        <f>ROUND(_xlfn.IFNA(VLOOKUP(A73,'Weapon Formulas'!$E$10:$Q$115,12,0),weapon_components!E73),2)</f>
        <v>15</v>
      </c>
      <c r="F73" s="5">
        <f>ROUND(_xlfn.IFNA(VLOOKUP(A73,'Weapon Formulas'!$E$10:$L$115,8,0),weapon_components!F73),2)</f>
        <v>1</v>
      </c>
      <c r="G73" s="5">
        <f>ROUND(_xlfn.IFNA(VLOOKUP(A73,'Weapon Formulas'!$E$10:$P$115,9,0),weapon_components!G73),2)</f>
        <v>0</v>
      </c>
      <c r="H73" s="5">
        <f>ROUND(_xlfn.IFNA(VLOOKUP(A73,'Weapon Formulas'!$E$10:$L$115,7,0),weapon_components!H73),2)</f>
        <v>0</v>
      </c>
      <c r="I73" s="5">
        <v>2</v>
      </c>
      <c r="J73" s="5">
        <v>18</v>
      </c>
      <c r="K73" s="5">
        <v>25</v>
      </c>
      <c r="L73" s="5">
        <f>ROUND(_xlfn.IFNA(VLOOKUP(A73,'Weapon Formulas'!$E$10:$Z$115,15,0),weapon_components!L73),1)</f>
        <v>20</v>
      </c>
      <c r="M73" s="2">
        <v>0.82</v>
      </c>
      <c r="N73" s="5">
        <f>ROUND(_xlfn.IFNA(VLOOKUP(A73,'Weapon Formulas'!$E$10:$W$115,16,0),weapon_components!N73),2)</f>
        <v>0</v>
      </c>
      <c r="O73" s="5"/>
      <c r="P73" s="6"/>
      <c r="Q73" s="2"/>
    </row>
    <row r="74" spans="1:17" x14ac:dyDescent="0.25">
      <c r="A74" s="15" t="s">
        <v>155</v>
      </c>
      <c r="B74" s="5">
        <v>0</v>
      </c>
      <c r="C74" s="5">
        <f>ROUND(_xlfn.IFNA(VLOOKUP(A74,'Weapon Formulas'!$E$10:$V$115,17,0),weapon_components!C74),2)</f>
        <v>0</v>
      </c>
      <c r="D74" s="5">
        <f>ROUND(_xlfn.IFNA(VLOOKUP(A74,'Weapon Formulas'!$E$10:$Q$115,11,0),weapon_components!D74),2)</f>
        <v>6</v>
      </c>
      <c r="E74" s="5">
        <f>ROUND(_xlfn.IFNA(VLOOKUP(A74,'Weapon Formulas'!$E$10:$Q$115,12,0),weapon_components!E74),2)</f>
        <v>31</v>
      </c>
      <c r="F74" s="5">
        <f>ROUND(_xlfn.IFNA(VLOOKUP(A74,'Weapon Formulas'!$E$10:$L$115,8,0),weapon_components!F74),2)</f>
        <v>1</v>
      </c>
      <c r="G74" s="5">
        <f>ROUND(_xlfn.IFNA(VLOOKUP(A74,'Weapon Formulas'!$E$10:$P$115,9,0),weapon_components!G74),2)</f>
        <v>0</v>
      </c>
      <c r="H74" s="5">
        <f>ROUND(_xlfn.IFNA(VLOOKUP(A74,'Weapon Formulas'!$E$10:$L$115,7,0),weapon_components!H74),2)</f>
        <v>0</v>
      </c>
      <c r="I74" s="5">
        <v>2</v>
      </c>
      <c r="J74" s="5">
        <v>18</v>
      </c>
      <c r="K74" s="5">
        <v>25</v>
      </c>
      <c r="L74" s="5">
        <f>ROUND(_xlfn.IFNA(VLOOKUP(A74,'Weapon Formulas'!$E$10:$Z$115,15,0),weapon_components!L74),1)</f>
        <v>30</v>
      </c>
      <c r="M74" s="2">
        <v>0.8</v>
      </c>
      <c r="N74" s="5">
        <f>ROUND(_xlfn.IFNA(VLOOKUP(A74,'Weapon Formulas'!$E$10:$W$115,16,0),weapon_components!N74),2)</f>
        <v>0</v>
      </c>
      <c r="O74" s="5"/>
      <c r="P74" s="6"/>
      <c r="Q74" s="2"/>
    </row>
    <row r="75" spans="1:17" x14ac:dyDescent="0.25">
      <c r="A75" s="15" t="s">
        <v>156</v>
      </c>
      <c r="B75" s="5">
        <v>0</v>
      </c>
      <c r="C75" s="5">
        <f>ROUND(_xlfn.IFNA(VLOOKUP(A75,'Weapon Formulas'!$E$10:$V$115,17,0),weapon_components!C75),2)</f>
        <v>0</v>
      </c>
      <c r="D75" s="5">
        <f>ROUND(_xlfn.IFNA(VLOOKUP(A75,'Weapon Formulas'!$E$10:$Q$115,11,0),weapon_components!D75),2)</f>
        <v>16</v>
      </c>
      <c r="E75" s="5">
        <f>ROUND(_xlfn.IFNA(VLOOKUP(A75,'Weapon Formulas'!$E$10:$Q$115,12,0),weapon_components!E75),2)</f>
        <v>66</v>
      </c>
      <c r="F75" s="5">
        <f>ROUND(_xlfn.IFNA(VLOOKUP(A75,'Weapon Formulas'!$E$10:$L$115,8,0),weapon_components!F75),2)</f>
        <v>1</v>
      </c>
      <c r="G75" s="5">
        <f>ROUND(_xlfn.IFNA(VLOOKUP(A75,'Weapon Formulas'!$E$10:$P$115,9,0),weapon_components!G75),2)</f>
        <v>0</v>
      </c>
      <c r="H75" s="5">
        <f>ROUND(_xlfn.IFNA(VLOOKUP(A75,'Weapon Formulas'!$E$10:$L$115,7,0),weapon_components!H75),2)</f>
        <v>0</v>
      </c>
      <c r="I75" s="5">
        <v>2</v>
      </c>
      <c r="J75" s="5">
        <v>18</v>
      </c>
      <c r="K75" s="5">
        <v>25</v>
      </c>
      <c r="L75" s="5">
        <f>ROUND(_xlfn.IFNA(VLOOKUP(A75,'Weapon Formulas'!$E$10:$Z$115,15,0),weapon_components!L75),1)</f>
        <v>40</v>
      </c>
      <c r="M75" s="2">
        <v>0.75</v>
      </c>
      <c r="N75" s="5">
        <f>ROUND(_xlfn.IFNA(VLOOKUP(A75,'Weapon Formulas'!$E$10:$W$115,16,0),weapon_components!N75),2)</f>
        <v>0</v>
      </c>
      <c r="O75" s="5"/>
      <c r="P75" s="6"/>
      <c r="Q75" s="2"/>
    </row>
    <row r="76" spans="1:17" x14ac:dyDescent="0.25">
      <c r="A76" s="15" t="s">
        <v>84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2"/>
      <c r="N76" s="5"/>
      <c r="O76" s="5"/>
      <c r="P76" s="6"/>
      <c r="Q76" s="2"/>
    </row>
    <row r="77" spans="1:17" x14ac:dyDescent="0.25">
      <c r="A77" s="15" t="s">
        <v>85</v>
      </c>
      <c r="B77" s="5">
        <v>100</v>
      </c>
      <c r="C77" s="5">
        <f>ROUND(_xlfn.IFNA(VLOOKUP(A77,'Weapon Formulas'!$E$10:$V$115,17,0),weapon_components!C77),2)</f>
        <v>-213.33</v>
      </c>
      <c r="D77" s="5">
        <f>ROUND(_xlfn.IFNA(VLOOKUP(A77,'Weapon Formulas'!$E$10:$Q$115,11,0),weapon_components!D77),2)</f>
        <v>489.8</v>
      </c>
      <c r="E77" s="5">
        <f>ROUND(_xlfn.IFNA(VLOOKUP(A77,'Weapon Formulas'!$E$10:$Q$115,12,0),weapon_components!E77),2)</f>
        <v>816.33</v>
      </c>
      <c r="F77" s="5">
        <f>ROUND(_xlfn.IFNA(VLOOKUP(A77,'Weapon Formulas'!$E$10:$L$115,8,0),weapon_components!F77),2)</f>
        <v>1</v>
      </c>
      <c r="G77" s="5">
        <f>ROUND(_xlfn.IFNA(VLOOKUP(A77,'Weapon Formulas'!$E$10:$P$115,9,0),weapon_components!G77),2)</f>
        <v>1</v>
      </c>
      <c r="H77" s="5">
        <f>ROUND(_xlfn.IFNA(VLOOKUP(A77,'Weapon Formulas'!$E$10:$L$115,7,0),weapon_components!H77),2)</f>
        <v>0</v>
      </c>
      <c r="I77" s="5">
        <v>2</v>
      </c>
      <c r="J77" s="5">
        <v>18</v>
      </c>
      <c r="K77" s="5">
        <v>70</v>
      </c>
      <c r="L77" s="5">
        <f>ROUND(_xlfn.IFNA(VLOOKUP(A77,'Weapon Formulas'!$E$10:$Z$115,15,0),weapon_components!L77),1)</f>
        <v>97.9</v>
      </c>
      <c r="M77" s="2">
        <v>0.7</v>
      </c>
      <c r="N77" s="5">
        <f>ROUND(_xlfn.IFNA(VLOOKUP(A77,'Weapon Formulas'!$E$10:$W$115,16,0),weapon_components!N77),2)</f>
        <v>0</v>
      </c>
      <c r="O77" s="5"/>
      <c r="P77" s="6"/>
      <c r="Q77" s="2"/>
    </row>
    <row r="78" spans="1:17" x14ac:dyDescent="0.25">
      <c r="A78" s="15" t="s">
        <v>86</v>
      </c>
      <c r="B78" s="5">
        <v>120</v>
      </c>
      <c r="C78" s="5">
        <f>ROUND(_xlfn.IFNA(VLOOKUP(A78,'Weapon Formulas'!$E$10:$V$115,17,0),weapon_components!C78),2)</f>
        <v>-426.67</v>
      </c>
      <c r="D78" s="5">
        <f>ROUND(_xlfn.IFNA(VLOOKUP(A78,'Weapon Formulas'!$E$10:$Q$115,11,0),weapon_components!D78),2)</f>
        <v>685.71</v>
      </c>
      <c r="E78" s="5">
        <f>ROUND(_xlfn.IFNA(VLOOKUP(A78,'Weapon Formulas'!$E$10:$Q$115,12,0),weapon_components!E78),2)</f>
        <v>1142.8599999999999</v>
      </c>
      <c r="F78" s="5">
        <f>ROUND(_xlfn.IFNA(VLOOKUP(A78,'Weapon Formulas'!$E$10:$L$115,8,0),weapon_components!F78),2)</f>
        <v>0</v>
      </c>
      <c r="G78" s="5">
        <f>ROUND(_xlfn.IFNA(VLOOKUP(A78,'Weapon Formulas'!$E$10:$P$115,9,0),weapon_components!G78),2)</f>
        <v>1</v>
      </c>
      <c r="H78" s="5">
        <f>ROUND(_xlfn.IFNA(VLOOKUP(A78,'Weapon Formulas'!$E$10:$L$115,7,0),weapon_components!H78),2)</f>
        <v>0</v>
      </c>
      <c r="I78" s="5">
        <v>2</v>
      </c>
      <c r="J78" s="5">
        <v>18</v>
      </c>
      <c r="K78" s="5">
        <v>70</v>
      </c>
      <c r="L78" s="5">
        <f>ROUND(_xlfn.IFNA(VLOOKUP(A78,'Weapon Formulas'!$E$10:$Z$115,15,0),weapon_components!L78),1)</f>
        <v>106.6</v>
      </c>
      <c r="M78" s="2">
        <v>0.7</v>
      </c>
      <c r="N78" s="5">
        <f>ROUND(_xlfn.IFNA(VLOOKUP(A78,'Weapon Formulas'!$E$10:$W$115,16,0),weapon_components!N78),2)</f>
        <v>0</v>
      </c>
      <c r="O78" s="5"/>
      <c r="P78" s="6"/>
      <c r="Q78" s="2"/>
    </row>
    <row r="79" spans="1:17" x14ac:dyDescent="0.25">
      <c r="A79" s="15" t="s">
        <v>87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2"/>
      <c r="N79" s="5"/>
      <c r="O79" s="5"/>
      <c r="P79" s="6"/>
      <c r="Q79" s="2"/>
    </row>
    <row r="80" spans="1:17" x14ac:dyDescent="0.25">
      <c r="A80" s="15" t="s">
        <v>88</v>
      </c>
      <c r="B80" s="5">
        <v>5</v>
      </c>
      <c r="C80" s="5">
        <f>ROUND(_xlfn.IFNA(VLOOKUP(A80,'Weapon Formulas'!$E$10:$V$115,17,0),weapon_components!C80),2)</f>
        <v>-13.33</v>
      </c>
      <c r="D80" s="5">
        <f>ROUND(_xlfn.IFNA(VLOOKUP(A80,'Weapon Formulas'!$E$10:$Q$115,11,0),weapon_components!D80),2)</f>
        <v>12.27</v>
      </c>
      <c r="E80" s="5">
        <f>ROUND(_xlfn.IFNA(VLOOKUP(A80,'Weapon Formulas'!$E$10:$Q$115,12,0),weapon_components!E80),2)</f>
        <v>20.45</v>
      </c>
      <c r="F80" s="5">
        <f>ROUND(_xlfn.IFNA(VLOOKUP(A80,'Weapon Formulas'!$E$10:$L$115,8,0),weapon_components!F80),2)</f>
        <v>0</v>
      </c>
      <c r="G80" s="5">
        <f>ROUND(_xlfn.IFNA(VLOOKUP(A80,'Weapon Formulas'!$E$10:$P$115,9,0),weapon_components!G80),2)</f>
        <v>1</v>
      </c>
      <c r="H80" s="5">
        <f>ROUND(_xlfn.IFNA(VLOOKUP(A80,'Weapon Formulas'!$E$10:$L$115,7,0),weapon_components!H80),2)</f>
        <v>0.94</v>
      </c>
      <c r="I80" s="5">
        <v>2</v>
      </c>
      <c r="J80" s="5">
        <v>25</v>
      </c>
      <c r="K80" s="5">
        <v>18</v>
      </c>
      <c r="L80" s="5">
        <f>ROUND(_xlfn.IFNA(VLOOKUP(A80,'Weapon Formulas'!$E$10:$Z$115,15,0),weapon_components!L80),1)</f>
        <v>44.6</v>
      </c>
      <c r="M80" s="2">
        <v>0.82</v>
      </c>
      <c r="N80" s="5">
        <f>ROUND(_xlfn.IFNA(VLOOKUP(A80,'Weapon Formulas'!$E$10:$W$115,16,0),weapon_components!N80),2)</f>
        <v>0</v>
      </c>
      <c r="O80" s="5"/>
      <c r="P80" s="6"/>
      <c r="Q80" s="2"/>
    </row>
    <row r="81" spans="1:17" x14ac:dyDescent="0.25">
      <c r="A81" s="15" t="s">
        <v>89</v>
      </c>
      <c r="B81" s="2">
        <v>10</v>
      </c>
      <c r="C81" s="5">
        <f>ROUND(_xlfn.IFNA(VLOOKUP(A81,'Weapon Formulas'!$E$10:$V$115,17,0),weapon_components!C81),2)</f>
        <v>-26.67</v>
      </c>
      <c r="D81" s="5">
        <f>ROUND(_xlfn.IFNA(VLOOKUP(A81,'Weapon Formulas'!$E$10:$Q$115,11,0),weapon_components!D81),2)</f>
        <v>18.29</v>
      </c>
      <c r="E81" s="5">
        <f>ROUND(_xlfn.IFNA(VLOOKUP(A81,'Weapon Formulas'!$E$10:$Q$115,12,0),weapon_components!E81),2)</f>
        <v>30.48</v>
      </c>
      <c r="F81" s="5">
        <f>ROUND(_xlfn.IFNA(VLOOKUP(A81,'Weapon Formulas'!$E$10:$L$115,8,0),weapon_components!F81),2)</f>
        <v>0</v>
      </c>
      <c r="G81" s="5">
        <f>ROUND(_xlfn.IFNA(VLOOKUP(A81,'Weapon Formulas'!$E$10:$P$115,9,0),weapon_components!G81),2)</f>
        <v>1</v>
      </c>
      <c r="H81" s="5">
        <f>ROUND(_xlfn.IFNA(VLOOKUP(A81,'Weapon Formulas'!$E$10:$L$115,7,0),weapon_components!H81),2)</f>
        <v>3.88</v>
      </c>
      <c r="I81" s="5">
        <v>2</v>
      </c>
      <c r="J81" s="5">
        <v>25</v>
      </c>
      <c r="K81" s="2">
        <v>18</v>
      </c>
      <c r="L81" s="5">
        <f>ROUND(_xlfn.IFNA(VLOOKUP(A81,'Weapon Formulas'!$E$10:$Z$115,15,0),weapon_components!L81),1)</f>
        <v>55.8</v>
      </c>
      <c r="M81" s="5">
        <v>0.8</v>
      </c>
      <c r="N81" s="5">
        <f>ROUND(_xlfn.IFNA(VLOOKUP(A81,'Weapon Formulas'!$E$10:$W$115,16,0),weapon_components!N81),2)</f>
        <v>0</v>
      </c>
      <c r="O81" s="2"/>
      <c r="P81" s="6"/>
      <c r="Q81" s="2"/>
    </row>
    <row r="82" spans="1:17" x14ac:dyDescent="0.25">
      <c r="A82" s="15" t="s">
        <v>90</v>
      </c>
      <c r="B82" s="5">
        <v>20</v>
      </c>
      <c r="C82" s="5">
        <f>ROUND(_xlfn.IFNA(VLOOKUP(A82,'Weapon Formulas'!$E$10:$V$115,17,0),weapon_components!C82),2)</f>
        <v>-53.33</v>
      </c>
      <c r="D82" s="5">
        <f>ROUND(_xlfn.IFNA(VLOOKUP(A82,'Weapon Formulas'!$E$10:$Q$115,11,0),weapon_components!D82),2)</f>
        <v>24.39</v>
      </c>
      <c r="E82" s="5">
        <f>ROUND(_xlfn.IFNA(VLOOKUP(A82,'Weapon Formulas'!$E$10:$Q$115,12,0),weapon_components!E82),2)</f>
        <v>40.65</v>
      </c>
      <c r="F82" s="5">
        <f>ROUND(_xlfn.IFNA(VLOOKUP(A82,'Weapon Formulas'!$E$10:$L$115,8,0),weapon_components!F82),2)</f>
        <v>0</v>
      </c>
      <c r="G82" s="5">
        <f>ROUND(_xlfn.IFNA(VLOOKUP(A82,'Weapon Formulas'!$E$10:$P$115,9,0),weapon_components!G82),2)</f>
        <v>1</v>
      </c>
      <c r="H82" s="5">
        <f>ROUND(_xlfn.IFNA(VLOOKUP(A82,'Weapon Formulas'!$E$10:$L$115,7,0),weapon_components!H82),2)</f>
        <v>10.33</v>
      </c>
      <c r="I82" s="5">
        <v>2</v>
      </c>
      <c r="J82" s="5">
        <v>25</v>
      </c>
      <c r="K82" s="5">
        <v>18</v>
      </c>
      <c r="L82" s="5">
        <f>ROUND(_xlfn.IFNA(VLOOKUP(A82,'Weapon Formulas'!$E$10:$Z$115,15,0),weapon_components!L82),1)</f>
        <v>67</v>
      </c>
      <c r="M82" s="2">
        <v>0.75</v>
      </c>
      <c r="N82" s="5">
        <f>ROUND(_xlfn.IFNA(VLOOKUP(A82,'Weapon Formulas'!$E$10:$W$115,16,0),weapon_components!N82),2)</f>
        <v>0</v>
      </c>
      <c r="O82" s="5"/>
      <c r="P82" s="6"/>
      <c r="Q82" s="2"/>
    </row>
    <row r="83" spans="1:17" x14ac:dyDescent="0.25">
      <c r="A83" s="15" t="s">
        <v>91</v>
      </c>
      <c r="B83" s="5">
        <v>7.5</v>
      </c>
      <c r="C83" s="5">
        <f>ROUND(_xlfn.IFNA(VLOOKUP(A83,'Weapon Formulas'!$E$10:$V$115,17,0),weapon_components!C83),2)</f>
        <v>-26.67</v>
      </c>
      <c r="D83" s="5">
        <f>ROUND(_xlfn.IFNA(VLOOKUP(A83,'Weapon Formulas'!$E$10:$Q$115,11,0),weapon_components!D83),2)</f>
        <v>18.11</v>
      </c>
      <c r="E83" s="5">
        <f>ROUND(_xlfn.IFNA(VLOOKUP(A83,'Weapon Formulas'!$E$10:$Q$115,12,0),weapon_components!E83),2)</f>
        <v>30.18</v>
      </c>
      <c r="F83" s="5">
        <f>ROUND(_xlfn.IFNA(VLOOKUP(A83,'Weapon Formulas'!$E$10:$L$115,8,0),weapon_components!F83),2)</f>
        <v>0</v>
      </c>
      <c r="G83" s="5">
        <f>ROUND(_xlfn.IFNA(VLOOKUP(A83,'Weapon Formulas'!$E$10:$P$115,9,0),weapon_components!G83),2)</f>
        <v>1</v>
      </c>
      <c r="H83" s="5">
        <f>ROUND(_xlfn.IFNA(VLOOKUP(A83,'Weapon Formulas'!$E$10:$L$115,7,0),weapon_components!H83),2)</f>
        <v>0.64</v>
      </c>
      <c r="I83" s="5">
        <v>2</v>
      </c>
      <c r="J83" s="5">
        <v>25</v>
      </c>
      <c r="K83" s="5">
        <v>18</v>
      </c>
      <c r="L83" s="5">
        <f>ROUND(_xlfn.IFNA(VLOOKUP(A83,'Weapon Formulas'!$E$10:$Z$115,15,0),weapon_components!L83),1)</f>
        <v>49</v>
      </c>
      <c r="M83" s="2">
        <v>0.82</v>
      </c>
      <c r="N83" s="5">
        <f>ROUND(_xlfn.IFNA(VLOOKUP(A83,'Weapon Formulas'!$E$10:$W$115,16,0),weapon_components!N83),2)</f>
        <v>0</v>
      </c>
      <c r="O83" s="5"/>
      <c r="P83" s="6"/>
      <c r="Q83" s="2"/>
    </row>
    <row r="84" spans="1:17" x14ac:dyDescent="0.25">
      <c r="A84" s="15" t="s">
        <v>92</v>
      </c>
      <c r="B84" s="2">
        <v>15</v>
      </c>
      <c r="C84" s="5">
        <f>ROUND(_xlfn.IFNA(VLOOKUP(A84,'Weapon Formulas'!$E$10:$V$115,17,0),weapon_components!C84),2)</f>
        <v>-53.33</v>
      </c>
      <c r="D84" s="5">
        <f>ROUND(_xlfn.IFNA(VLOOKUP(A84,'Weapon Formulas'!$E$10:$Q$115,11,0),weapon_components!D84),2)</f>
        <v>27</v>
      </c>
      <c r="E84" s="5">
        <f>ROUND(_xlfn.IFNA(VLOOKUP(A84,'Weapon Formulas'!$E$10:$Q$115,12,0),weapon_components!E84),2)</f>
        <v>45</v>
      </c>
      <c r="F84" s="5">
        <f>ROUND(_xlfn.IFNA(VLOOKUP(A84,'Weapon Formulas'!$E$10:$L$115,8,0),weapon_components!F84),2)</f>
        <v>0</v>
      </c>
      <c r="G84" s="5">
        <f>ROUND(_xlfn.IFNA(VLOOKUP(A84,'Weapon Formulas'!$E$10:$P$115,9,0),weapon_components!G84),2)</f>
        <v>1</v>
      </c>
      <c r="H84" s="5">
        <f>ROUND(_xlfn.IFNA(VLOOKUP(A84,'Weapon Formulas'!$E$10:$L$115,7,0),weapon_components!H84),2)</f>
        <v>2.63</v>
      </c>
      <c r="I84" s="5">
        <v>2</v>
      </c>
      <c r="J84" s="5">
        <v>25</v>
      </c>
      <c r="K84" s="2">
        <v>18</v>
      </c>
      <c r="L84" s="5">
        <f>ROUND(_xlfn.IFNA(VLOOKUP(A84,'Weapon Formulas'!$E$10:$Z$115,15,0),weapon_components!L84),1)</f>
        <v>61.2</v>
      </c>
      <c r="M84" s="5">
        <v>0.8</v>
      </c>
      <c r="N84" s="5">
        <f>ROUND(_xlfn.IFNA(VLOOKUP(A84,'Weapon Formulas'!$E$10:$W$115,16,0),weapon_components!N84),2)</f>
        <v>0</v>
      </c>
      <c r="O84" s="2"/>
      <c r="P84" s="6"/>
      <c r="Q84" s="2"/>
    </row>
    <row r="85" spans="1:17" x14ac:dyDescent="0.25">
      <c r="A85" s="15" t="s">
        <v>93</v>
      </c>
      <c r="B85" s="5">
        <v>30</v>
      </c>
      <c r="C85" s="5">
        <f>ROUND(_xlfn.IFNA(VLOOKUP(A85,'Weapon Formulas'!$E$10:$V$115,17,0),weapon_components!C85),2)</f>
        <v>-106.67</v>
      </c>
      <c r="D85" s="5">
        <f>ROUND(_xlfn.IFNA(VLOOKUP(A85,'Weapon Formulas'!$E$10:$Q$115,11,0),weapon_components!D85),2)</f>
        <v>36</v>
      </c>
      <c r="E85" s="5">
        <f>ROUND(_xlfn.IFNA(VLOOKUP(A85,'Weapon Formulas'!$E$10:$Q$115,12,0),weapon_components!E85),2)</f>
        <v>60</v>
      </c>
      <c r="F85" s="5">
        <f>ROUND(_xlfn.IFNA(VLOOKUP(A85,'Weapon Formulas'!$E$10:$L$115,8,0),weapon_components!F85),2)</f>
        <v>0</v>
      </c>
      <c r="G85" s="5">
        <f>ROUND(_xlfn.IFNA(VLOOKUP(A85,'Weapon Formulas'!$E$10:$P$115,9,0),weapon_components!G85),2)</f>
        <v>1</v>
      </c>
      <c r="H85" s="5">
        <f>ROUND(_xlfn.IFNA(VLOOKUP(A85,'Weapon Formulas'!$E$10:$L$115,7,0),weapon_components!H85),2)</f>
        <v>7</v>
      </c>
      <c r="I85" s="5">
        <v>2</v>
      </c>
      <c r="J85" s="5">
        <v>25</v>
      </c>
      <c r="K85" s="5">
        <v>18</v>
      </c>
      <c r="L85" s="5">
        <f>ROUND(_xlfn.IFNA(VLOOKUP(A85,'Weapon Formulas'!$E$10:$Z$115,15,0),weapon_components!L85),1)</f>
        <v>73.400000000000006</v>
      </c>
      <c r="M85" s="2">
        <v>0.75</v>
      </c>
      <c r="N85" s="5">
        <f>ROUND(_xlfn.IFNA(VLOOKUP(A85,'Weapon Formulas'!$E$10:$W$115,16,0),weapon_components!N85),2)</f>
        <v>0</v>
      </c>
      <c r="O85" s="5"/>
      <c r="P85" s="6"/>
      <c r="Q85" s="2"/>
    </row>
    <row r="86" spans="1:17" x14ac:dyDescent="0.25">
      <c r="A86" s="15" t="s">
        <v>94</v>
      </c>
      <c r="B86" s="5">
        <v>10</v>
      </c>
      <c r="C86" s="5">
        <f>ROUND(_xlfn.IFNA(VLOOKUP(A86,'Weapon Formulas'!$E$10:$V$115,17,0),weapon_components!C86),2)</f>
        <v>-53.33</v>
      </c>
      <c r="D86" s="5">
        <f>ROUND(_xlfn.IFNA(VLOOKUP(A86,'Weapon Formulas'!$E$10:$Q$115,11,0),weapon_components!D86),2)</f>
        <v>25.35</v>
      </c>
      <c r="E86" s="5">
        <f>ROUND(_xlfn.IFNA(VLOOKUP(A86,'Weapon Formulas'!$E$10:$Q$115,12,0),weapon_components!E86),2)</f>
        <v>42.26</v>
      </c>
      <c r="F86" s="5">
        <f>ROUND(_xlfn.IFNA(VLOOKUP(A86,'Weapon Formulas'!$E$10:$L$115,8,0),weapon_components!F86),2)</f>
        <v>0</v>
      </c>
      <c r="G86" s="5">
        <f>ROUND(_xlfn.IFNA(VLOOKUP(A86,'Weapon Formulas'!$E$10:$P$115,9,0),weapon_components!G86),2)</f>
        <v>1</v>
      </c>
      <c r="H86" s="5">
        <f>ROUND(_xlfn.IFNA(VLOOKUP(A86,'Weapon Formulas'!$E$10:$L$115,7,0),weapon_components!H86),2)</f>
        <v>0.45</v>
      </c>
      <c r="I86" s="5">
        <v>2</v>
      </c>
      <c r="J86" s="5">
        <v>25</v>
      </c>
      <c r="K86" s="5">
        <v>18</v>
      </c>
      <c r="L86" s="5">
        <f>ROUND(_xlfn.IFNA(VLOOKUP(A86,'Weapon Formulas'!$E$10:$Z$115,15,0),weapon_components!L86),1)</f>
        <v>53.3</v>
      </c>
      <c r="M86" s="2">
        <v>0.82</v>
      </c>
      <c r="N86" s="5">
        <f>ROUND(_xlfn.IFNA(VLOOKUP(A86,'Weapon Formulas'!$E$10:$W$115,16,0),weapon_components!N86),2)</f>
        <v>0</v>
      </c>
      <c r="O86" s="5"/>
      <c r="P86" s="6"/>
      <c r="Q86" s="2"/>
    </row>
    <row r="87" spans="1:17" x14ac:dyDescent="0.25">
      <c r="A87" s="15" t="s">
        <v>95</v>
      </c>
      <c r="B87" s="5">
        <v>20</v>
      </c>
      <c r="C87" s="5">
        <f>ROUND(_xlfn.IFNA(VLOOKUP(A87,'Weapon Formulas'!$E$10:$V$115,17,0),weapon_components!C87),2)</f>
        <v>-106.67</v>
      </c>
      <c r="D87" s="5">
        <f>ROUND(_xlfn.IFNA(VLOOKUP(A87,'Weapon Formulas'!$E$10:$Q$115,11,0),weapon_components!D87),2)</f>
        <v>37.799999999999997</v>
      </c>
      <c r="E87" s="5">
        <f>ROUND(_xlfn.IFNA(VLOOKUP(A87,'Weapon Formulas'!$E$10:$Q$115,12,0),weapon_components!E87),2)</f>
        <v>63</v>
      </c>
      <c r="F87" s="5">
        <f>ROUND(_xlfn.IFNA(VLOOKUP(A87,'Weapon Formulas'!$E$10:$L$115,8,0),weapon_components!F87),2)</f>
        <v>0</v>
      </c>
      <c r="G87" s="5">
        <f>ROUND(_xlfn.IFNA(VLOOKUP(A87,'Weapon Formulas'!$E$10:$P$115,9,0),weapon_components!G87),2)</f>
        <v>1</v>
      </c>
      <c r="H87" s="5">
        <f>ROUND(_xlfn.IFNA(VLOOKUP(A87,'Weapon Formulas'!$E$10:$L$115,7,0),weapon_components!H87),2)</f>
        <v>1.88</v>
      </c>
      <c r="I87" s="5">
        <v>2</v>
      </c>
      <c r="J87" s="5">
        <v>25</v>
      </c>
      <c r="K87" s="5">
        <v>18</v>
      </c>
      <c r="L87" s="5">
        <f>ROUND(_xlfn.IFNA(VLOOKUP(A87,'Weapon Formulas'!$E$10:$Z$115,15,0),weapon_components!L87),1)</f>
        <v>66.599999999999994</v>
      </c>
      <c r="M87" s="2">
        <v>0.8</v>
      </c>
      <c r="N87" s="5">
        <f>ROUND(_xlfn.IFNA(VLOOKUP(A87,'Weapon Formulas'!$E$10:$W$115,16,0),weapon_components!N87),2)</f>
        <v>0</v>
      </c>
      <c r="O87" s="5"/>
      <c r="P87" s="6"/>
      <c r="Q87" s="2"/>
    </row>
    <row r="88" spans="1:17" x14ac:dyDescent="0.25">
      <c r="A88" s="15" t="s">
        <v>96</v>
      </c>
      <c r="B88" s="5">
        <v>40</v>
      </c>
      <c r="C88" s="5">
        <f>ROUND(_xlfn.IFNA(VLOOKUP(A88,'Weapon Formulas'!$E$10:$V$115,17,0),weapon_components!C88),2)</f>
        <v>-213.33</v>
      </c>
      <c r="D88" s="5">
        <f>ROUND(_xlfn.IFNA(VLOOKUP(A88,'Weapon Formulas'!$E$10:$Q$115,11,0),weapon_components!D88),2)</f>
        <v>50.4</v>
      </c>
      <c r="E88" s="5">
        <f>ROUND(_xlfn.IFNA(VLOOKUP(A88,'Weapon Formulas'!$E$10:$Q$115,12,0),weapon_components!E88),2)</f>
        <v>84</v>
      </c>
      <c r="F88" s="5">
        <f>ROUND(_xlfn.IFNA(VLOOKUP(A88,'Weapon Formulas'!$E$10:$L$115,8,0),weapon_components!F88),2)</f>
        <v>0</v>
      </c>
      <c r="G88" s="5">
        <f>ROUND(_xlfn.IFNA(VLOOKUP(A88,'Weapon Formulas'!$E$10:$P$115,9,0),weapon_components!G88),2)</f>
        <v>1</v>
      </c>
      <c r="H88" s="5">
        <f>ROUND(_xlfn.IFNA(VLOOKUP(A88,'Weapon Formulas'!$E$10:$L$115,7,0),weapon_components!H88),2)</f>
        <v>5</v>
      </c>
      <c r="I88" s="5">
        <v>2</v>
      </c>
      <c r="J88" s="5">
        <v>25</v>
      </c>
      <c r="K88" s="5">
        <v>18</v>
      </c>
      <c r="L88" s="5">
        <f>ROUND(_xlfn.IFNA(VLOOKUP(A88,'Weapon Formulas'!$E$10:$Z$115,15,0),weapon_components!L88),1)</f>
        <v>79.900000000000006</v>
      </c>
      <c r="M88" s="2">
        <v>0.75</v>
      </c>
      <c r="N88" s="5">
        <f>ROUND(_xlfn.IFNA(VLOOKUP(A88,'Weapon Formulas'!$E$10:$W$115,16,0),weapon_components!N88),2)</f>
        <v>0</v>
      </c>
      <c r="O88" s="5"/>
      <c r="P88" s="6"/>
      <c r="Q88" s="2"/>
    </row>
    <row r="89" spans="1:17" x14ac:dyDescent="0.25">
      <c r="A89" s="15" t="s">
        <v>97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2"/>
      <c r="N89" s="5"/>
      <c r="O89" s="5"/>
      <c r="P89" s="6"/>
      <c r="Q89" s="2"/>
    </row>
    <row r="90" spans="1:17" x14ac:dyDescent="0.25">
      <c r="A90" s="15" t="s">
        <v>98</v>
      </c>
      <c r="B90" s="5">
        <v>50</v>
      </c>
      <c r="C90" s="5">
        <f>ROUND(_xlfn.IFNA(VLOOKUP(A90,'Weapon Formulas'!$E$10:$V$115,17,0),weapon_components!C90),2)</f>
        <v>-106.67</v>
      </c>
      <c r="D90" s="5">
        <v>2</v>
      </c>
      <c r="E90" s="5">
        <v>4</v>
      </c>
      <c r="F90" s="5">
        <f>ROUND(_xlfn.IFNA(VLOOKUP(A90,'Weapon Formulas'!$E$10:$L$115,8,0),weapon_components!F90),2)</f>
        <v>0.1</v>
      </c>
      <c r="G90" s="5">
        <f>ROUND(_xlfn.IFNA(VLOOKUP(A90,'Weapon Formulas'!$E$10:$P$115,9,0),weapon_components!G90),2)</f>
        <v>0</v>
      </c>
      <c r="H90" s="5">
        <f>ROUND(_xlfn.IFNA(VLOOKUP(A90,'Weapon Formulas'!$E$10:$L$115,7,0),weapon_components!H90),2)</f>
        <v>-1</v>
      </c>
      <c r="I90" s="5">
        <v>2</v>
      </c>
      <c r="J90" s="5">
        <v>3</v>
      </c>
      <c r="K90" s="5">
        <v>10</v>
      </c>
      <c r="L90" s="5">
        <f>ROUND(_xlfn.IFNA(VLOOKUP(A90,'Weapon Formulas'!$E$10:$Z$115,15,0),weapon_components!L90),1)</f>
        <v>15</v>
      </c>
      <c r="M90" s="2">
        <v>0.75</v>
      </c>
      <c r="N90" s="5">
        <f>ROUND(_xlfn.IFNA(VLOOKUP(A90,'Weapon Formulas'!$E$10:$W$115,16,0),weapon_components!N90),2)</f>
        <v>0</v>
      </c>
      <c r="O90" s="5"/>
      <c r="P90" s="6"/>
      <c r="Q90" s="2"/>
    </row>
    <row r="91" spans="1:17" x14ac:dyDescent="0.25">
      <c r="A91" s="15" t="s">
        <v>99</v>
      </c>
      <c r="B91" s="5">
        <v>60</v>
      </c>
      <c r="C91" s="5">
        <f>ROUND(_xlfn.IFNA(VLOOKUP(A91,'Weapon Formulas'!$E$10:$V$115,17,0),weapon_components!C91),2)</f>
        <v>-213.33</v>
      </c>
      <c r="D91" s="5">
        <v>2</v>
      </c>
      <c r="E91" s="5">
        <v>4</v>
      </c>
      <c r="F91" s="5">
        <f>ROUND(_xlfn.IFNA(VLOOKUP(A91,'Weapon Formulas'!$E$10:$L$115,8,0),weapon_components!F91),2)</f>
        <v>0.1</v>
      </c>
      <c r="G91" s="5">
        <f>ROUND(_xlfn.IFNA(VLOOKUP(A91,'Weapon Formulas'!$E$10:$P$115,9,0),weapon_components!G91),2)</f>
        <v>0</v>
      </c>
      <c r="H91" s="5">
        <f>ROUND(_xlfn.IFNA(VLOOKUP(A91,'Weapon Formulas'!$E$10:$L$115,7,0),weapon_components!H91),2)</f>
        <v>-1</v>
      </c>
      <c r="I91" s="5">
        <v>2</v>
      </c>
      <c r="J91" s="5">
        <v>8</v>
      </c>
      <c r="K91" s="5">
        <v>10</v>
      </c>
      <c r="L91" s="5">
        <f>ROUND(_xlfn.IFNA(VLOOKUP(A91,'Weapon Formulas'!$E$10:$Z$115,15,0),weapon_components!L91),1)</f>
        <v>20</v>
      </c>
      <c r="M91" s="2">
        <v>0.75</v>
      </c>
      <c r="N91" s="5">
        <f>ROUND(_xlfn.IFNA(VLOOKUP(A91,'Weapon Formulas'!$E$10:$W$115,16,0),weapon_components!N91),2)</f>
        <v>0</v>
      </c>
      <c r="O91" s="5"/>
      <c r="P91" s="6"/>
      <c r="Q91" s="2"/>
    </row>
    <row r="92" spans="1:17" x14ac:dyDescent="0.25">
      <c r="A92" s="15" t="s">
        <v>100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2"/>
      <c r="N92" s="5"/>
      <c r="O92" s="5"/>
      <c r="P92" s="6"/>
      <c r="Q92" s="2"/>
    </row>
    <row r="93" spans="1:17" x14ac:dyDescent="0.25">
      <c r="A93" s="15" t="s">
        <v>101</v>
      </c>
      <c r="B93" s="5">
        <v>2.5</v>
      </c>
      <c r="C93" s="5">
        <f>ROUND(_xlfn.IFNA(VLOOKUP(A93,'Weapon Formulas'!$E$10:$V$115,17,0),weapon_components!C93),2)</f>
        <v>-3.33</v>
      </c>
      <c r="D93" s="5">
        <f>ROUND(_xlfn.IFNA(VLOOKUP(A93,'Weapon Formulas'!$E$10:$Q$115,11,0),weapon_components!D93),2)</f>
        <v>10.31</v>
      </c>
      <c r="E93" s="5">
        <f>ROUND(_xlfn.IFNA(VLOOKUP(A93,'Weapon Formulas'!$E$10:$Q$115,12,0),weapon_components!E93),2)</f>
        <v>17.190000000000001</v>
      </c>
      <c r="F93" s="5">
        <f>ROUND(_xlfn.IFNA(VLOOKUP(A93,'Weapon Formulas'!$E$10:$L$115,8,0),weapon_components!F93),2)</f>
        <v>0</v>
      </c>
      <c r="G93" s="5">
        <f>ROUND(_xlfn.IFNA(VLOOKUP(A93,'Weapon Formulas'!$E$10:$P$115,9,0),weapon_components!G93),2)</f>
        <v>1</v>
      </c>
      <c r="H93" s="5">
        <f>ROUND(_xlfn.IFNA(VLOOKUP(A93,'Weapon Formulas'!$E$10:$L$115,7,0),weapon_components!H93),2)</f>
        <v>-1.67</v>
      </c>
      <c r="I93" s="5">
        <v>20</v>
      </c>
      <c r="J93" s="5">
        <v>30</v>
      </c>
      <c r="K93" s="5">
        <v>30</v>
      </c>
      <c r="L93" s="5">
        <f>ROUND(_xlfn.IFNA(VLOOKUP(A93,'Weapon Formulas'!$E$10:$Z$115,15,0),weapon_components!L93),1)</f>
        <v>48</v>
      </c>
      <c r="M93" s="2">
        <v>1</v>
      </c>
      <c r="N93" s="5">
        <f>ROUND(_xlfn.IFNA(VLOOKUP(A93,'Weapon Formulas'!$E$10:$W$115,16,0),weapon_components!N93),2)</f>
        <v>2.5</v>
      </c>
      <c r="O93" s="5"/>
      <c r="P93" s="6"/>
      <c r="Q93" s="2"/>
    </row>
    <row r="94" spans="1:17" x14ac:dyDescent="0.25">
      <c r="A94" s="15" t="s">
        <v>102</v>
      </c>
      <c r="B94" s="5">
        <v>5</v>
      </c>
      <c r="C94" s="5">
        <f>ROUND(_xlfn.IFNA(VLOOKUP(A94,'Weapon Formulas'!$E$10:$V$115,17,0),weapon_components!C94),2)</f>
        <v>-6.67</v>
      </c>
      <c r="D94" s="5">
        <f>ROUND(_xlfn.IFNA(VLOOKUP(A94,'Weapon Formulas'!$E$10:$Q$115,11,0),weapon_components!D94),2)</f>
        <v>22.69</v>
      </c>
      <c r="E94" s="5">
        <f>ROUND(_xlfn.IFNA(VLOOKUP(A94,'Weapon Formulas'!$E$10:$Q$115,12,0),weapon_components!E94),2)</f>
        <v>37.81</v>
      </c>
      <c r="F94" s="5">
        <f>ROUND(_xlfn.IFNA(VLOOKUP(A94,'Weapon Formulas'!$E$10:$L$115,8,0),weapon_components!F94),2)</f>
        <v>0</v>
      </c>
      <c r="G94" s="5">
        <f>ROUND(_xlfn.IFNA(VLOOKUP(A94,'Weapon Formulas'!$E$10:$P$115,9,0),weapon_components!G94),2)</f>
        <v>1</v>
      </c>
      <c r="H94" s="5">
        <f>ROUND(_xlfn.IFNA(VLOOKUP(A94,'Weapon Formulas'!$E$10:$L$115,7,0),weapon_components!H94),2)</f>
        <v>-3.61</v>
      </c>
      <c r="I94" s="5">
        <v>20</v>
      </c>
      <c r="J94" s="5">
        <v>30</v>
      </c>
      <c r="K94" s="5">
        <v>30</v>
      </c>
      <c r="L94" s="5">
        <f>ROUND(_xlfn.IFNA(VLOOKUP(A94,'Weapon Formulas'!$E$10:$Z$115,15,0),weapon_components!L94),1)</f>
        <v>60</v>
      </c>
      <c r="M94" s="2">
        <v>1</v>
      </c>
      <c r="N94" s="5">
        <f>ROUND(_xlfn.IFNA(VLOOKUP(A94,'Weapon Formulas'!$E$10:$W$115,16,0),weapon_components!N94),2)</f>
        <v>2.5</v>
      </c>
      <c r="O94" s="5"/>
      <c r="P94" s="6"/>
      <c r="Q94" s="2"/>
    </row>
    <row r="95" spans="1:17" x14ac:dyDescent="0.25">
      <c r="A95" s="15" t="s">
        <v>103</v>
      </c>
      <c r="B95" s="5">
        <v>10</v>
      </c>
      <c r="C95" s="5">
        <f>ROUND(_xlfn.IFNA(VLOOKUP(A95,'Weapon Formulas'!$E$10:$V$115,17,0),weapon_components!C95),2)</f>
        <v>-13.33</v>
      </c>
      <c r="D95" s="5">
        <f>ROUND(_xlfn.IFNA(VLOOKUP(A95,'Weapon Formulas'!$E$10:$Q$115,11,0),weapon_components!D95),2)</f>
        <v>49.5</v>
      </c>
      <c r="E95" s="5">
        <f>ROUND(_xlfn.IFNA(VLOOKUP(A95,'Weapon Formulas'!$E$10:$Q$115,12,0),weapon_components!E95),2)</f>
        <v>82.5</v>
      </c>
      <c r="F95" s="5">
        <f>ROUND(_xlfn.IFNA(VLOOKUP(A95,'Weapon Formulas'!$E$10:$L$115,8,0),weapon_components!F95),2)</f>
        <v>0</v>
      </c>
      <c r="G95" s="5">
        <f>ROUND(_xlfn.IFNA(VLOOKUP(A95,'Weapon Formulas'!$E$10:$P$115,9,0),weapon_components!G95),2)</f>
        <v>1</v>
      </c>
      <c r="H95" s="5">
        <f>ROUND(_xlfn.IFNA(VLOOKUP(A95,'Weapon Formulas'!$E$10:$L$115,7,0),weapon_components!H95),2)</f>
        <v>-5.22</v>
      </c>
      <c r="I95" s="5">
        <v>20</v>
      </c>
      <c r="J95" s="5">
        <v>30</v>
      </c>
      <c r="K95" s="5">
        <v>30</v>
      </c>
      <c r="L95" s="5">
        <f>ROUND(_xlfn.IFNA(VLOOKUP(A95,'Weapon Formulas'!$E$10:$Z$115,15,0),weapon_components!L95),1)</f>
        <v>72</v>
      </c>
      <c r="M95" s="2">
        <v>1</v>
      </c>
      <c r="N95" s="5">
        <f>ROUND(_xlfn.IFNA(VLOOKUP(A95,'Weapon Formulas'!$E$10:$W$115,16,0),weapon_components!N95),2)</f>
        <v>2.5</v>
      </c>
      <c r="O95" s="5"/>
      <c r="P95" s="6"/>
      <c r="Q95" s="2"/>
    </row>
    <row r="96" spans="1:17" x14ac:dyDescent="0.25">
      <c r="A96" s="15" t="s">
        <v>104</v>
      </c>
      <c r="B96" s="5">
        <v>5</v>
      </c>
      <c r="C96" s="5">
        <f>ROUND(_xlfn.IFNA(VLOOKUP(A96,'Weapon Formulas'!$E$10:$V$115,17,0),weapon_components!C96),2)</f>
        <v>-6.67</v>
      </c>
      <c r="D96" s="5">
        <f>ROUND(_xlfn.IFNA(VLOOKUP(A96,'Weapon Formulas'!$E$10:$Q$115,11,0),weapon_components!D96),2)</f>
        <v>22.69</v>
      </c>
      <c r="E96" s="5">
        <f>ROUND(_xlfn.IFNA(VLOOKUP(A96,'Weapon Formulas'!$E$10:$Q$115,12,0),weapon_components!E96),2)</f>
        <v>37.81</v>
      </c>
      <c r="F96" s="5">
        <f>ROUND(_xlfn.IFNA(VLOOKUP(A96,'Weapon Formulas'!$E$10:$L$115,8,0),weapon_components!F96),2)</f>
        <v>0</v>
      </c>
      <c r="G96" s="5">
        <f>ROUND(_xlfn.IFNA(VLOOKUP(A96,'Weapon Formulas'!$E$10:$P$115,9,0),weapon_components!G96),2)</f>
        <v>1</v>
      </c>
      <c r="H96" s="5">
        <f>ROUND(_xlfn.IFNA(VLOOKUP(A96,'Weapon Formulas'!$E$10:$L$115,7,0),weapon_components!H96),2)</f>
        <v>-1.3</v>
      </c>
      <c r="I96" s="5">
        <v>20</v>
      </c>
      <c r="J96" s="5">
        <v>30</v>
      </c>
      <c r="K96" s="5">
        <v>30</v>
      </c>
      <c r="L96" s="5">
        <f>ROUND(_xlfn.IFNA(VLOOKUP(A96,'Weapon Formulas'!$E$10:$Z$115,15,0),weapon_components!L96),1)</f>
        <v>53.8</v>
      </c>
      <c r="M96" s="2">
        <v>1</v>
      </c>
      <c r="N96" s="5">
        <f>ROUND(_xlfn.IFNA(VLOOKUP(A96,'Weapon Formulas'!$E$10:$W$115,16,0),weapon_components!N96),2)</f>
        <v>3.75</v>
      </c>
      <c r="O96" s="5"/>
      <c r="P96" s="6"/>
      <c r="Q96" s="2"/>
    </row>
    <row r="97" spans="1:17" x14ac:dyDescent="0.25">
      <c r="A97" s="15" t="s">
        <v>105</v>
      </c>
      <c r="B97" s="5">
        <v>10</v>
      </c>
      <c r="C97" s="5">
        <f>ROUND(_xlfn.IFNA(VLOOKUP(A97,'Weapon Formulas'!$E$10:$V$115,17,0),weapon_components!C97),2)</f>
        <v>-13.33</v>
      </c>
      <c r="D97" s="5">
        <f>ROUND(_xlfn.IFNA(VLOOKUP(A97,'Weapon Formulas'!$E$10:$Q$115,11,0),weapon_components!D97),2)</f>
        <v>49.5</v>
      </c>
      <c r="E97" s="5">
        <f>ROUND(_xlfn.IFNA(VLOOKUP(A97,'Weapon Formulas'!$E$10:$Q$115,12,0),weapon_components!E97),2)</f>
        <v>82.5</v>
      </c>
      <c r="F97" s="5">
        <f>ROUND(_xlfn.IFNA(VLOOKUP(A97,'Weapon Formulas'!$E$10:$L$115,8,0),weapon_components!F97),2)</f>
        <v>0</v>
      </c>
      <c r="G97" s="5">
        <f>ROUND(_xlfn.IFNA(VLOOKUP(A97,'Weapon Formulas'!$E$10:$P$115,9,0),weapon_components!G97),2)</f>
        <v>1</v>
      </c>
      <c r="H97" s="5">
        <f>ROUND(_xlfn.IFNA(VLOOKUP(A97,'Weapon Formulas'!$E$10:$L$115,7,0),weapon_components!H97),2)</f>
        <v>-2.11</v>
      </c>
      <c r="I97" s="5">
        <v>20</v>
      </c>
      <c r="J97" s="5">
        <v>30</v>
      </c>
      <c r="K97" s="5">
        <v>30</v>
      </c>
      <c r="L97" s="5">
        <f>ROUND(_xlfn.IFNA(VLOOKUP(A97,'Weapon Formulas'!$E$10:$Z$115,15,0),weapon_components!L97),1)</f>
        <v>67.2</v>
      </c>
      <c r="M97" s="2">
        <v>1</v>
      </c>
      <c r="N97" s="5">
        <f>ROUND(_xlfn.IFNA(VLOOKUP(A97,'Weapon Formulas'!$E$10:$W$115,16,0),weapon_components!N97),2)</f>
        <v>3.75</v>
      </c>
      <c r="O97" s="5"/>
      <c r="P97" s="6"/>
      <c r="Q97" s="2"/>
    </row>
    <row r="98" spans="1:17" x14ac:dyDescent="0.25">
      <c r="A98" s="15" t="s">
        <v>106</v>
      </c>
      <c r="B98" s="5">
        <v>20</v>
      </c>
      <c r="C98" s="5">
        <f>ROUND(_xlfn.IFNA(VLOOKUP(A98,'Weapon Formulas'!$E$10:$V$115,17,0),weapon_components!C98),2)</f>
        <v>-26.67</v>
      </c>
      <c r="D98" s="5">
        <f>ROUND(_xlfn.IFNA(VLOOKUP(A98,'Weapon Formulas'!$E$10:$Q$115,11,0),weapon_components!D98),2)</f>
        <v>107.25</v>
      </c>
      <c r="E98" s="5">
        <f>ROUND(_xlfn.IFNA(VLOOKUP(A98,'Weapon Formulas'!$E$10:$Q$115,12,0),weapon_components!E98),2)</f>
        <v>178.75</v>
      </c>
      <c r="F98" s="5">
        <f>ROUND(_xlfn.IFNA(VLOOKUP(A98,'Weapon Formulas'!$E$10:$L$115,8,0),weapon_components!F98),2)</f>
        <v>0</v>
      </c>
      <c r="G98" s="5">
        <f>ROUND(_xlfn.IFNA(VLOOKUP(A98,'Weapon Formulas'!$E$10:$P$115,9,0),weapon_components!G98),2)</f>
        <v>1</v>
      </c>
      <c r="H98" s="5">
        <f>ROUND(_xlfn.IFNA(VLOOKUP(A98,'Weapon Formulas'!$E$10:$L$115,7,0),weapon_components!H98),2)</f>
        <v>-2.79</v>
      </c>
      <c r="I98" s="5">
        <v>20</v>
      </c>
      <c r="J98" s="5">
        <v>30</v>
      </c>
      <c r="K98" s="5">
        <v>30</v>
      </c>
      <c r="L98" s="5">
        <f>ROUND(_xlfn.IFNA(VLOOKUP(A98,'Weapon Formulas'!$E$10:$Z$115,15,0),weapon_components!L98),1)</f>
        <v>80.599999999999994</v>
      </c>
      <c r="M98" s="2">
        <v>1</v>
      </c>
      <c r="N98" s="5">
        <f>ROUND(_xlfn.IFNA(VLOOKUP(A98,'Weapon Formulas'!$E$10:$W$115,16,0),weapon_components!N98),2)</f>
        <v>3.75</v>
      </c>
      <c r="O98" s="5"/>
      <c r="P98" s="6"/>
      <c r="Q98" s="2"/>
    </row>
    <row r="99" spans="1:17" x14ac:dyDescent="0.25">
      <c r="A99" s="15" t="s">
        <v>107</v>
      </c>
      <c r="B99" s="5">
        <v>7.5</v>
      </c>
      <c r="C99" s="5">
        <f>ROUND(_xlfn.IFNA(VLOOKUP(A99,'Weapon Formulas'!$E$10:$V$115,17,0),weapon_components!C99),2)</f>
        <v>-13.33</v>
      </c>
      <c r="D99" s="5">
        <f>ROUND(_xlfn.IFNA(VLOOKUP(A99,'Weapon Formulas'!$E$10:$Q$115,11,0),weapon_components!D99),2)</f>
        <v>37.130000000000003</v>
      </c>
      <c r="E99" s="5">
        <f>ROUND(_xlfn.IFNA(VLOOKUP(A99,'Weapon Formulas'!$E$10:$Q$115,12,0),weapon_components!E99),2)</f>
        <v>61.88</v>
      </c>
      <c r="F99" s="5">
        <f>ROUND(_xlfn.IFNA(VLOOKUP(A99,'Weapon Formulas'!$E$10:$L$115,8,0),weapon_components!F99),2)</f>
        <v>0</v>
      </c>
      <c r="G99" s="5">
        <f>ROUND(_xlfn.IFNA(VLOOKUP(A99,'Weapon Formulas'!$E$10:$P$115,9,0),weapon_components!G99),2)</f>
        <v>1</v>
      </c>
      <c r="H99" s="5">
        <f>ROUND(_xlfn.IFNA(VLOOKUP(A99,'Weapon Formulas'!$E$10:$L$115,7,0),weapon_components!H99),2)</f>
        <v>-1.07</v>
      </c>
      <c r="I99" s="5">
        <v>20</v>
      </c>
      <c r="J99" s="5">
        <v>30</v>
      </c>
      <c r="K99" s="5">
        <v>30</v>
      </c>
      <c r="L99" s="5">
        <f>ROUND(_xlfn.IFNA(VLOOKUP(A99,'Weapon Formulas'!$E$10:$Z$115,15,0),weapon_components!L99),1)</f>
        <v>59.5</v>
      </c>
      <c r="M99" s="2">
        <v>1</v>
      </c>
      <c r="N99" s="5">
        <f>ROUND(_xlfn.IFNA(VLOOKUP(A99,'Weapon Formulas'!$E$10:$W$115,16,0),weapon_components!N99),2)</f>
        <v>5</v>
      </c>
      <c r="O99" s="5"/>
      <c r="P99" s="6"/>
      <c r="Q99" s="2"/>
    </row>
    <row r="100" spans="1:17" x14ac:dyDescent="0.25">
      <c r="A100" s="15" t="s">
        <v>108</v>
      </c>
      <c r="B100" s="2">
        <v>15</v>
      </c>
      <c r="C100" s="5">
        <f>ROUND(_xlfn.IFNA(VLOOKUP(A100,'Weapon Formulas'!$E$10:$V$115,17,0),weapon_components!C100),2)</f>
        <v>-26.67</v>
      </c>
      <c r="D100" s="5">
        <f>ROUND(_xlfn.IFNA(VLOOKUP(A100,'Weapon Formulas'!$E$10:$Q$115,11,0),weapon_components!D100),2)</f>
        <v>80.44</v>
      </c>
      <c r="E100" s="5">
        <f>ROUND(_xlfn.IFNA(VLOOKUP(A100,'Weapon Formulas'!$E$10:$Q$115,12,0),weapon_components!E100),2)</f>
        <v>134.06</v>
      </c>
      <c r="F100" s="5">
        <f>ROUND(_xlfn.IFNA(VLOOKUP(A100,'Weapon Formulas'!$E$10:$L$115,8,0),weapon_components!F100),2)</f>
        <v>0</v>
      </c>
      <c r="G100" s="5">
        <f>ROUND(_xlfn.IFNA(VLOOKUP(A100,'Weapon Formulas'!$E$10:$P$115,9,0),weapon_components!G100),2)</f>
        <v>1</v>
      </c>
      <c r="H100" s="5">
        <f>ROUND(_xlfn.IFNA(VLOOKUP(A100,'Weapon Formulas'!$E$10:$L$115,7,0),weapon_components!H100),2)</f>
        <v>-1.53</v>
      </c>
      <c r="I100" s="5">
        <v>20</v>
      </c>
      <c r="J100" s="5">
        <v>30</v>
      </c>
      <c r="K100" s="2">
        <v>30</v>
      </c>
      <c r="L100" s="5">
        <f>ROUND(_xlfn.IFNA(VLOOKUP(A100,'Weapon Formulas'!$E$10:$Z$115,15,0),weapon_components!L100),1)</f>
        <v>74.400000000000006</v>
      </c>
      <c r="M100" s="5">
        <v>1</v>
      </c>
      <c r="N100" s="5">
        <f>ROUND(_xlfn.IFNA(VLOOKUP(A100,'Weapon Formulas'!$E$10:$W$115,16,0),weapon_components!N100),2)</f>
        <v>5</v>
      </c>
      <c r="O100" s="2"/>
      <c r="P100" s="6"/>
      <c r="Q100" s="2"/>
    </row>
    <row r="101" spans="1:17" x14ac:dyDescent="0.25">
      <c r="A101" s="15" t="s">
        <v>109</v>
      </c>
      <c r="B101" s="5">
        <v>30</v>
      </c>
      <c r="C101" s="5">
        <f>ROUND(_xlfn.IFNA(VLOOKUP(A101,'Weapon Formulas'!$E$10:$V$115,17,0),weapon_components!C101),2)</f>
        <v>-53.33</v>
      </c>
      <c r="D101" s="5">
        <f>ROUND(_xlfn.IFNA(VLOOKUP(A101,'Weapon Formulas'!$E$10:$Q$115,11,0),weapon_components!D101),2)</f>
        <v>173.25</v>
      </c>
      <c r="E101" s="5">
        <f>ROUND(_xlfn.IFNA(VLOOKUP(A101,'Weapon Formulas'!$E$10:$Q$115,12,0),weapon_components!E101),2)</f>
        <v>288.75</v>
      </c>
      <c r="F101" s="5">
        <f>ROUND(_xlfn.IFNA(VLOOKUP(A101,'Weapon Formulas'!$E$10:$L$115,8,0),weapon_components!F101),2)</f>
        <v>0</v>
      </c>
      <c r="G101" s="5">
        <f>ROUND(_xlfn.IFNA(VLOOKUP(A101,'Weapon Formulas'!$E$10:$P$115,9,0),weapon_components!G101),2)</f>
        <v>1</v>
      </c>
      <c r="H101" s="5">
        <f>ROUND(_xlfn.IFNA(VLOOKUP(A101,'Weapon Formulas'!$E$10:$L$115,7,0),weapon_components!H101),2)</f>
        <v>-1.92</v>
      </c>
      <c r="I101" s="5">
        <v>20</v>
      </c>
      <c r="J101" s="5">
        <v>30</v>
      </c>
      <c r="K101" s="5">
        <v>30</v>
      </c>
      <c r="L101" s="5">
        <f>ROUND(_xlfn.IFNA(VLOOKUP(A101,'Weapon Formulas'!$E$10:$Z$115,15,0),weapon_components!L101),1)</f>
        <v>89.3</v>
      </c>
      <c r="M101" s="2">
        <v>1</v>
      </c>
      <c r="N101" s="5">
        <f>ROUND(_xlfn.IFNA(VLOOKUP(A101,'Weapon Formulas'!$E$10:$W$115,16,0),weapon_components!N101),2)</f>
        <v>5</v>
      </c>
      <c r="O101" s="5"/>
      <c r="P101" s="6"/>
      <c r="Q101" s="2"/>
    </row>
    <row r="102" spans="1:17" x14ac:dyDescent="0.25">
      <c r="A102" s="15" t="s">
        <v>110</v>
      </c>
      <c r="B102" s="5">
        <v>10</v>
      </c>
      <c r="C102" s="5">
        <f>ROUND(_xlfn.IFNA(VLOOKUP(A102,'Weapon Formulas'!$E$10:$V$115,17,0),weapon_components!C102),2)</f>
        <v>-26.67</v>
      </c>
      <c r="D102" s="5">
        <f>ROUND(_xlfn.IFNA(VLOOKUP(A102,'Weapon Formulas'!$E$10:$Q$115,11,0),weapon_components!D102),2)</f>
        <v>53.63</v>
      </c>
      <c r="E102" s="5">
        <f>ROUND(_xlfn.IFNA(VLOOKUP(A102,'Weapon Formulas'!$E$10:$Q$115,12,0),weapon_components!E102),2)</f>
        <v>89.38</v>
      </c>
      <c r="F102" s="5">
        <f>ROUND(_xlfn.IFNA(VLOOKUP(A102,'Weapon Formulas'!$E$10:$L$115,8,0),weapon_components!F102),2)</f>
        <v>0</v>
      </c>
      <c r="G102" s="5">
        <f>ROUND(_xlfn.IFNA(VLOOKUP(A102,'Weapon Formulas'!$E$10:$P$115,9,0),weapon_components!G102),2)</f>
        <v>1</v>
      </c>
      <c r="H102" s="5">
        <f>ROUND(_xlfn.IFNA(VLOOKUP(A102,'Weapon Formulas'!$E$10:$L$115,7,0),weapon_components!H102),2)</f>
        <v>-0.9</v>
      </c>
      <c r="I102" s="5">
        <v>20</v>
      </c>
      <c r="J102" s="5">
        <v>30</v>
      </c>
      <c r="K102" s="5">
        <v>30</v>
      </c>
      <c r="L102" s="5">
        <f>ROUND(_xlfn.IFNA(VLOOKUP(A102,'Weapon Formulas'!$E$10:$Z$115,15,0),weapon_components!L102),1)</f>
        <v>65.3</v>
      </c>
      <c r="M102" s="2">
        <v>1</v>
      </c>
      <c r="N102" s="5">
        <f>ROUND(_xlfn.IFNA(VLOOKUP(A102,'Weapon Formulas'!$E$10:$W$115,16,0),weapon_components!N102),2)</f>
        <v>7.5</v>
      </c>
      <c r="O102" s="5"/>
      <c r="P102" s="6"/>
      <c r="Q102" s="2"/>
    </row>
    <row r="103" spans="1:17" x14ac:dyDescent="0.25">
      <c r="A103" s="15" t="s">
        <v>111</v>
      </c>
      <c r="B103" s="5">
        <v>20</v>
      </c>
      <c r="C103" s="5">
        <f>ROUND(_xlfn.IFNA(VLOOKUP(A103,'Weapon Formulas'!$E$10:$V$115,17,0),weapon_components!C103),2)</f>
        <v>-53.33</v>
      </c>
      <c r="D103" s="5">
        <f>ROUND(_xlfn.IFNA(VLOOKUP(A103,'Weapon Formulas'!$E$10:$Q$115,11,0),weapon_components!D103),2)</f>
        <v>115.5</v>
      </c>
      <c r="E103" s="5">
        <f>ROUND(_xlfn.IFNA(VLOOKUP(A103,'Weapon Formulas'!$E$10:$Q$115,12,0),weapon_components!E103),2)</f>
        <v>192.5</v>
      </c>
      <c r="F103" s="5">
        <f>ROUND(_xlfn.IFNA(VLOOKUP(A103,'Weapon Formulas'!$E$10:$L$115,8,0),weapon_components!F103),2)</f>
        <v>0</v>
      </c>
      <c r="G103" s="5">
        <f>ROUND(_xlfn.IFNA(VLOOKUP(A103,'Weapon Formulas'!$E$10:$P$115,9,0),weapon_components!G103),2)</f>
        <v>1</v>
      </c>
      <c r="H103" s="5">
        <f>ROUND(_xlfn.IFNA(VLOOKUP(A103,'Weapon Formulas'!$E$10:$L$115,7,0),weapon_components!H103),2)</f>
        <v>-1.19</v>
      </c>
      <c r="I103" s="5">
        <v>20</v>
      </c>
      <c r="J103" s="5">
        <v>30</v>
      </c>
      <c r="K103" s="5">
        <v>30</v>
      </c>
      <c r="L103" s="5">
        <f>ROUND(_xlfn.IFNA(VLOOKUP(A103,'Weapon Formulas'!$E$10:$Z$115,15,0),weapon_components!L103),1)</f>
        <v>81.599999999999994</v>
      </c>
      <c r="M103" s="2">
        <v>1</v>
      </c>
      <c r="N103" s="5">
        <f>ROUND(_xlfn.IFNA(VLOOKUP(A103,'Weapon Formulas'!$E$10:$W$115,16,0),weapon_components!N103),2)</f>
        <v>7.5</v>
      </c>
      <c r="O103" s="5"/>
      <c r="P103" s="6"/>
      <c r="Q103" s="2"/>
    </row>
    <row r="104" spans="1:17" x14ac:dyDescent="0.25">
      <c r="A104" s="15" t="s">
        <v>112</v>
      </c>
      <c r="B104" s="5">
        <v>40</v>
      </c>
      <c r="C104" s="5">
        <f>ROUND(_xlfn.IFNA(VLOOKUP(A104,'Weapon Formulas'!$E$10:$V$115,17,0),weapon_components!C104),2)</f>
        <v>-106.67</v>
      </c>
      <c r="D104" s="5">
        <f>ROUND(_xlfn.IFNA(VLOOKUP(A104,'Weapon Formulas'!$E$10:$Q$115,11,0),weapon_components!D104),2)</f>
        <v>247.5</v>
      </c>
      <c r="E104" s="5">
        <f>ROUND(_xlfn.IFNA(VLOOKUP(A104,'Weapon Formulas'!$E$10:$Q$115,12,0),weapon_components!E104),2)</f>
        <v>412.5</v>
      </c>
      <c r="F104" s="5">
        <f>ROUND(_xlfn.IFNA(VLOOKUP(A104,'Weapon Formulas'!$E$10:$L$115,8,0),weapon_components!F104),2)</f>
        <v>0</v>
      </c>
      <c r="G104" s="5">
        <f>ROUND(_xlfn.IFNA(VLOOKUP(A104,'Weapon Formulas'!$E$10:$P$115,9,0),weapon_components!G104),2)</f>
        <v>1</v>
      </c>
      <c r="H104" s="5">
        <f>ROUND(_xlfn.IFNA(VLOOKUP(A104,'Weapon Formulas'!$E$10:$L$115,7,0),weapon_components!H104),2)</f>
        <v>-1.44</v>
      </c>
      <c r="I104" s="5">
        <v>20</v>
      </c>
      <c r="J104" s="5">
        <v>30</v>
      </c>
      <c r="K104" s="5">
        <v>30</v>
      </c>
      <c r="L104" s="5">
        <f>ROUND(_xlfn.IFNA(VLOOKUP(A104,'Weapon Formulas'!$E$10:$Z$115,15,0),weapon_components!L104),1)</f>
        <v>97.9</v>
      </c>
      <c r="M104" s="2">
        <v>1</v>
      </c>
      <c r="N104" s="5">
        <f>ROUND(_xlfn.IFNA(VLOOKUP(A104,'Weapon Formulas'!$E$10:$W$115,16,0),weapon_components!N104),2)</f>
        <v>7.5</v>
      </c>
      <c r="O104" s="5"/>
      <c r="P104" s="6"/>
      <c r="Q104" s="2"/>
    </row>
    <row r="105" spans="1:17" x14ac:dyDescent="0.25">
      <c r="A105" s="15" t="s">
        <v>113</v>
      </c>
      <c r="B105" s="5">
        <v>12.5</v>
      </c>
      <c r="C105" s="5">
        <f>ROUND(_xlfn.IFNA(VLOOKUP(A105,'Weapon Formulas'!$E$10:$V$115,17,0),weapon_components!C105),2)</f>
        <v>-53.33</v>
      </c>
      <c r="D105" s="5">
        <f>ROUND(_xlfn.IFNA(VLOOKUP(A105,'Weapon Formulas'!$E$10:$Q$115,11,0),weapon_components!D105),2)</f>
        <v>72.19</v>
      </c>
      <c r="E105" s="5">
        <f>ROUND(_xlfn.IFNA(VLOOKUP(A105,'Weapon Formulas'!$E$10:$Q$115,12,0),weapon_components!E105),2)</f>
        <v>120.31</v>
      </c>
      <c r="F105" s="5">
        <f>ROUND(_xlfn.IFNA(VLOOKUP(A105,'Weapon Formulas'!$E$10:$L$115,8,0),weapon_components!F105),2)</f>
        <v>0</v>
      </c>
      <c r="G105" s="5">
        <f>ROUND(_xlfn.IFNA(VLOOKUP(A105,'Weapon Formulas'!$E$10:$P$115,9,0),weapon_components!G105),2)</f>
        <v>1</v>
      </c>
      <c r="H105" s="5">
        <f>ROUND(_xlfn.IFNA(VLOOKUP(A105,'Weapon Formulas'!$E$10:$L$115,7,0),weapon_components!H105),2)</f>
        <v>-0.75</v>
      </c>
      <c r="I105" s="5">
        <v>20</v>
      </c>
      <c r="J105" s="5">
        <v>30</v>
      </c>
      <c r="K105" s="5">
        <v>30</v>
      </c>
      <c r="L105" s="5">
        <f>ROUND(_xlfn.IFNA(VLOOKUP(A105,'Weapon Formulas'!$E$10:$Z$115,15,0),weapon_components!L105),1)</f>
        <v>71</v>
      </c>
      <c r="M105" s="2">
        <v>1</v>
      </c>
      <c r="N105" s="5">
        <f>ROUND(_xlfn.IFNA(VLOOKUP(A105,'Weapon Formulas'!$E$10:$W$115,16,0),weapon_components!N105),2)</f>
        <v>10</v>
      </c>
      <c r="O105" s="5"/>
      <c r="P105" s="6"/>
      <c r="Q105" s="2"/>
    </row>
    <row r="106" spans="1:17" x14ac:dyDescent="0.25">
      <c r="A106" s="15" t="s">
        <v>114</v>
      </c>
      <c r="B106" s="5">
        <v>25</v>
      </c>
      <c r="C106" s="5">
        <f>ROUND(_xlfn.IFNA(VLOOKUP(A106,'Weapon Formulas'!$E$10:$V$115,17,0),weapon_components!C106),2)</f>
        <v>-106.67</v>
      </c>
      <c r="D106" s="5">
        <f>ROUND(_xlfn.IFNA(VLOOKUP(A106,'Weapon Formulas'!$E$10:$Q$115,11,0),weapon_components!D106),2)</f>
        <v>154.69</v>
      </c>
      <c r="E106" s="5">
        <f>ROUND(_xlfn.IFNA(VLOOKUP(A106,'Weapon Formulas'!$E$10:$Q$115,12,0),weapon_components!E106),2)</f>
        <v>257.81</v>
      </c>
      <c r="F106" s="5">
        <f>ROUND(_xlfn.IFNA(VLOOKUP(A106,'Weapon Formulas'!$E$10:$L$115,8,0),weapon_components!F106),2)</f>
        <v>0</v>
      </c>
      <c r="G106" s="5">
        <f>ROUND(_xlfn.IFNA(VLOOKUP(A106,'Weapon Formulas'!$E$10:$P$115,9,0),weapon_components!G106),2)</f>
        <v>1</v>
      </c>
      <c r="H106" s="5">
        <f>ROUND(_xlfn.IFNA(VLOOKUP(A106,'Weapon Formulas'!$E$10:$L$115,7,0),weapon_components!H106),2)</f>
        <v>-0.96</v>
      </c>
      <c r="I106" s="5">
        <v>20</v>
      </c>
      <c r="J106" s="5">
        <v>30</v>
      </c>
      <c r="K106" s="5">
        <v>30</v>
      </c>
      <c r="L106" s="5">
        <f>ROUND(_xlfn.IFNA(VLOOKUP(A106,'Weapon Formulas'!$E$10:$Z$115,15,0),weapon_components!L106),1)</f>
        <v>88.8</v>
      </c>
      <c r="M106" s="2">
        <v>1</v>
      </c>
      <c r="N106" s="5">
        <f>ROUND(_xlfn.IFNA(VLOOKUP(A106,'Weapon Formulas'!$E$10:$W$115,16,0),weapon_components!N106),2)</f>
        <v>10</v>
      </c>
      <c r="O106" s="5"/>
      <c r="P106" s="6"/>
      <c r="Q106" s="2"/>
    </row>
    <row r="107" spans="1:17" x14ac:dyDescent="0.25">
      <c r="A107" s="15" t="s">
        <v>115</v>
      </c>
      <c r="B107" s="5">
        <v>50</v>
      </c>
      <c r="C107" s="5">
        <f>ROUND(_xlfn.IFNA(VLOOKUP(A107,'Weapon Formulas'!$E$10:$V$115,17,0),weapon_components!C107),2)</f>
        <v>-213.33</v>
      </c>
      <c r="D107" s="5">
        <f>ROUND(_xlfn.IFNA(VLOOKUP(A107,'Weapon Formulas'!$E$10:$Q$115,11,0),weapon_components!D107),2)</f>
        <v>330</v>
      </c>
      <c r="E107" s="5">
        <f>ROUND(_xlfn.IFNA(VLOOKUP(A107,'Weapon Formulas'!$E$10:$Q$115,12,0),weapon_components!E107),2)</f>
        <v>550</v>
      </c>
      <c r="F107" s="5">
        <f>ROUND(_xlfn.IFNA(VLOOKUP(A107,'Weapon Formulas'!$E$10:$L$115,8,0),weapon_components!F107),2)</f>
        <v>0</v>
      </c>
      <c r="G107" s="5">
        <f>ROUND(_xlfn.IFNA(VLOOKUP(A107,'Weapon Formulas'!$E$10:$P$115,9,0),weapon_components!G107),2)</f>
        <v>1</v>
      </c>
      <c r="H107" s="5">
        <f>ROUND(_xlfn.IFNA(VLOOKUP(A107,'Weapon Formulas'!$E$10:$L$115,7,0),weapon_components!H107),2)</f>
        <v>-1.1299999999999999</v>
      </c>
      <c r="I107" s="5">
        <v>20</v>
      </c>
      <c r="J107" s="5">
        <v>30</v>
      </c>
      <c r="K107" s="5">
        <v>30</v>
      </c>
      <c r="L107" s="5">
        <f>ROUND(_xlfn.IFNA(VLOOKUP(A107,'Weapon Formulas'!$E$10:$Z$115,15,0),weapon_components!L107),1)</f>
        <v>106.6</v>
      </c>
      <c r="M107" s="2">
        <v>1</v>
      </c>
      <c r="N107" s="5">
        <f>ROUND(_xlfn.IFNA(VLOOKUP(A107,'Weapon Formulas'!$E$10:$W$115,16,0),weapon_components!N107),2)</f>
        <v>10</v>
      </c>
      <c r="O107" s="5"/>
      <c r="P107" s="6"/>
      <c r="Q107" s="2"/>
    </row>
    <row r="108" spans="1:17" x14ac:dyDescent="0.25">
      <c r="A108" s="15" t="s">
        <v>157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2"/>
      <c r="N108" s="5"/>
      <c r="O108" s="5"/>
      <c r="P108" s="6"/>
      <c r="Q108" s="2"/>
    </row>
    <row r="109" spans="1:17" x14ac:dyDescent="0.25">
      <c r="A109" s="15" t="s">
        <v>158</v>
      </c>
      <c r="B109" s="5">
        <v>0</v>
      </c>
      <c r="C109" s="5">
        <f>ROUND(_xlfn.IFNA(VLOOKUP(A109,'Weapon Formulas'!$E$10:$V$115,17,0),weapon_components!C109),2)</f>
        <v>0</v>
      </c>
      <c r="D109" s="5">
        <f>ROUND(_xlfn.IFNA(VLOOKUP(A109,'Weapon Formulas'!$E$10:$Q$115,11,0),weapon_components!D109),2)</f>
        <v>8</v>
      </c>
      <c r="E109" s="5">
        <f>ROUND(_xlfn.IFNA(VLOOKUP(A109,'Weapon Formulas'!$E$10:$Q$115,12,0),weapon_components!E109),2)</f>
        <v>13</v>
      </c>
      <c r="F109" s="5">
        <f>ROUND(_xlfn.IFNA(VLOOKUP(A109,'Weapon Formulas'!$E$10:$L$115,8,0),weapon_components!F109),2)</f>
        <v>1</v>
      </c>
      <c r="G109" s="5">
        <f>ROUND(_xlfn.IFNA(VLOOKUP(A109,'Weapon Formulas'!$E$10:$P$115,9,0),weapon_components!G109),2)</f>
        <v>0</v>
      </c>
      <c r="H109" s="5">
        <f>ROUND(_xlfn.IFNA(VLOOKUP(A109,'Weapon Formulas'!$E$10:$L$115,7,0),weapon_components!H109),2)</f>
        <v>0</v>
      </c>
      <c r="I109" s="5">
        <v>2</v>
      </c>
      <c r="J109" s="5">
        <v>25</v>
      </c>
      <c r="K109" s="5">
        <v>40</v>
      </c>
      <c r="L109" s="5">
        <f>ROUND(_xlfn.IFNA(VLOOKUP(A109,'Weapon Formulas'!$E$10:$Z$115,15,0),weapon_components!L109),1)</f>
        <v>26</v>
      </c>
      <c r="M109" s="2">
        <v>1</v>
      </c>
      <c r="N109" s="5">
        <f>ROUND(_xlfn.IFNA(VLOOKUP(A109,'Weapon Formulas'!$E$10:$W$115,16,0),weapon_components!N109),2)</f>
        <v>5</v>
      </c>
      <c r="O109" s="5"/>
      <c r="P109" s="6"/>
      <c r="Q109" s="2"/>
    </row>
    <row r="110" spans="1:17" x14ac:dyDescent="0.25">
      <c r="A110" s="15" t="s">
        <v>159</v>
      </c>
      <c r="B110" s="2">
        <v>0</v>
      </c>
      <c r="C110" s="5">
        <f>ROUND(_xlfn.IFNA(VLOOKUP(A110,'Weapon Formulas'!$E$10:$V$115,17,0),weapon_components!C110),2)</f>
        <v>0</v>
      </c>
      <c r="D110" s="5">
        <f>ROUND(_xlfn.IFNA(VLOOKUP(A110,'Weapon Formulas'!$E$10:$Q$115,11,0),weapon_components!D110),2)</f>
        <v>13</v>
      </c>
      <c r="E110" s="5">
        <f>ROUND(_xlfn.IFNA(VLOOKUP(A110,'Weapon Formulas'!$E$10:$Q$115,12,0),weapon_components!E110),2)</f>
        <v>29</v>
      </c>
      <c r="F110" s="5">
        <f>ROUND(_xlfn.IFNA(VLOOKUP(A110,'Weapon Formulas'!$E$10:$L$115,8,0),weapon_components!F110),2)</f>
        <v>1</v>
      </c>
      <c r="G110" s="5">
        <f>ROUND(_xlfn.IFNA(VLOOKUP(A110,'Weapon Formulas'!$E$10:$P$115,9,0),weapon_components!G110),2)</f>
        <v>0</v>
      </c>
      <c r="H110" s="5">
        <f>ROUND(_xlfn.IFNA(VLOOKUP(A110,'Weapon Formulas'!$E$10:$L$115,7,0),weapon_components!H110),2)</f>
        <v>0</v>
      </c>
      <c r="I110" s="5">
        <v>2</v>
      </c>
      <c r="J110" s="5">
        <v>25</v>
      </c>
      <c r="K110" s="2">
        <v>40</v>
      </c>
      <c r="L110" s="5">
        <f>ROUND(_xlfn.IFNA(VLOOKUP(A110,'Weapon Formulas'!$E$10:$Z$115,15,0),weapon_components!L110),1)</f>
        <v>36</v>
      </c>
      <c r="M110" s="5">
        <v>1</v>
      </c>
      <c r="N110" s="5">
        <f>ROUND(_xlfn.IFNA(VLOOKUP(A110,'Weapon Formulas'!$E$10:$W$115,16,0),weapon_components!N110),2)</f>
        <v>5</v>
      </c>
      <c r="O110" s="2"/>
      <c r="P110" s="6"/>
      <c r="Q110" s="2"/>
    </row>
    <row r="111" spans="1:17" x14ac:dyDescent="0.25">
      <c r="A111" s="15" t="s">
        <v>160</v>
      </c>
      <c r="B111" s="5">
        <v>0</v>
      </c>
      <c r="C111" s="5">
        <f>ROUND(_xlfn.IFNA(VLOOKUP(A111,'Weapon Formulas'!$E$10:$V$115,17,0),weapon_components!C111),2)</f>
        <v>0</v>
      </c>
      <c r="D111" s="5">
        <f>ROUND(_xlfn.IFNA(VLOOKUP(A111,'Weapon Formulas'!$E$10:$Q$115,11,0),weapon_components!D111),2)</f>
        <v>34</v>
      </c>
      <c r="E111" s="5">
        <f>ROUND(_xlfn.IFNA(VLOOKUP(A111,'Weapon Formulas'!$E$10:$Q$115,12,0),weapon_components!E111),2)</f>
        <v>50</v>
      </c>
      <c r="F111" s="5">
        <f>ROUND(_xlfn.IFNA(VLOOKUP(A111,'Weapon Formulas'!$E$10:$L$115,8,0),weapon_components!F111),2)</f>
        <v>1</v>
      </c>
      <c r="G111" s="5">
        <f>ROUND(_xlfn.IFNA(VLOOKUP(A111,'Weapon Formulas'!$E$10:$P$115,9,0),weapon_components!G111),2)</f>
        <v>0</v>
      </c>
      <c r="H111" s="5">
        <f>ROUND(_xlfn.IFNA(VLOOKUP(A111,'Weapon Formulas'!$E$10:$L$115,7,0),weapon_components!H111),2)</f>
        <v>0</v>
      </c>
      <c r="I111" s="5">
        <v>2</v>
      </c>
      <c r="J111" s="5">
        <v>25</v>
      </c>
      <c r="K111" s="5">
        <v>40</v>
      </c>
      <c r="L111" s="5">
        <f>ROUND(_xlfn.IFNA(VLOOKUP(A111,'Weapon Formulas'!$E$10:$Z$115,15,0),weapon_components!L111),1)</f>
        <v>46</v>
      </c>
      <c r="M111" s="2">
        <v>1</v>
      </c>
      <c r="N111" s="5">
        <f>ROUND(_xlfn.IFNA(VLOOKUP(A111,'Weapon Formulas'!$E$10:$W$115,16,0),weapon_components!N111),2)</f>
        <v>5</v>
      </c>
      <c r="O111" s="5"/>
      <c r="P111" s="6"/>
      <c r="Q111" s="2"/>
    </row>
    <row r="112" spans="1:17" x14ac:dyDescent="0.25">
      <c r="A112" s="15" t="s">
        <v>116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2"/>
      <c r="N112" s="5"/>
      <c r="O112" s="5"/>
      <c r="P112" s="6"/>
      <c r="Q112" s="2"/>
    </row>
    <row r="113" spans="1:14" x14ac:dyDescent="0.25">
      <c r="A113" s="15" t="s">
        <v>117</v>
      </c>
      <c r="B113">
        <v>7.5</v>
      </c>
      <c r="C113" s="5">
        <f>ROUND(_xlfn.IFNA(VLOOKUP(A113,'Weapon Formulas'!$E$10:$V$115,17,0),weapon_components!C113),2)</f>
        <v>-13.33</v>
      </c>
      <c r="D113" s="5">
        <f>ROUND(_xlfn.IFNA(VLOOKUP(A113,'Weapon Formulas'!$E$10:$Q$115,11,0),weapon_components!D113),2)</f>
        <v>56.36</v>
      </c>
      <c r="E113" s="5">
        <f>ROUND(_xlfn.IFNA(VLOOKUP(A113,'Weapon Formulas'!$E$10:$Q$115,12,0),weapon_components!E113),2)</f>
        <v>93.94</v>
      </c>
      <c r="F113" s="5">
        <f>ROUND(_xlfn.IFNA(VLOOKUP(A113,'Weapon Formulas'!$E$10:$L$115,8,0),weapon_components!F113),2)</f>
        <v>0</v>
      </c>
      <c r="G113" s="5">
        <f>ROUND(_xlfn.IFNA(VLOOKUP(A113,'Weapon Formulas'!$E$10:$P$115,9,0),weapon_components!G113),2)</f>
        <v>1</v>
      </c>
      <c r="H113" s="5">
        <f>ROUND(_xlfn.IFNA(VLOOKUP(A113,'Weapon Formulas'!$E$10:$L$115,7,0),weapon_components!H113),2)</f>
        <v>-0.33</v>
      </c>
      <c r="I113">
        <v>2</v>
      </c>
      <c r="J113">
        <v>15</v>
      </c>
      <c r="K113">
        <v>75</v>
      </c>
      <c r="L113" s="5">
        <f>ROUND(_xlfn.IFNA(VLOOKUP(A113,'Weapon Formulas'!$E$10:$Z$115,15,0),weapon_components!L113),1)</f>
        <v>59.5</v>
      </c>
      <c r="M113">
        <v>1</v>
      </c>
      <c r="N113" s="5">
        <f>ROUND(_xlfn.IFNA(VLOOKUP(A113,'Weapon Formulas'!$E$10:$W$115,16,0),weapon_components!N113),2)</f>
        <v>5</v>
      </c>
    </row>
    <row r="114" spans="1:14" x14ac:dyDescent="0.25">
      <c r="A114" s="15" t="s">
        <v>118</v>
      </c>
      <c r="B114">
        <v>15</v>
      </c>
      <c r="C114" s="5">
        <f>ROUND(_xlfn.IFNA(VLOOKUP(A114,'Weapon Formulas'!$E$10:$V$115,17,0),weapon_components!C114),2)</f>
        <v>-26.67</v>
      </c>
      <c r="D114" s="5">
        <f>ROUND(_xlfn.IFNA(VLOOKUP(A114,'Weapon Formulas'!$E$10:$Q$115,11,0),weapon_components!D114),2)</f>
        <v>122.12</v>
      </c>
      <c r="E114" s="5">
        <f>ROUND(_xlfn.IFNA(VLOOKUP(A114,'Weapon Formulas'!$E$10:$Q$115,12,0),weapon_components!E114),2)</f>
        <v>203.53</v>
      </c>
      <c r="F114" s="5">
        <f>ROUND(_xlfn.IFNA(VLOOKUP(A114,'Weapon Formulas'!$E$10:$L$115,8,0),weapon_components!F114),2)</f>
        <v>0</v>
      </c>
      <c r="G114" s="5">
        <f>ROUND(_xlfn.IFNA(VLOOKUP(A114,'Weapon Formulas'!$E$10:$P$115,9,0),weapon_components!G114),2)</f>
        <v>1</v>
      </c>
      <c r="H114" s="5">
        <f>ROUND(_xlfn.IFNA(VLOOKUP(A114,'Weapon Formulas'!$E$10:$L$115,7,0),weapon_components!H114),2)</f>
        <v>-0.85</v>
      </c>
      <c r="I114">
        <v>2</v>
      </c>
      <c r="J114">
        <v>15</v>
      </c>
      <c r="K114">
        <v>75</v>
      </c>
      <c r="L114" s="5">
        <f>ROUND(_xlfn.IFNA(VLOOKUP(A114,'Weapon Formulas'!$E$10:$Z$115,15,0),weapon_components!L114),1)</f>
        <v>74.400000000000006</v>
      </c>
      <c r="M114">
        <v>1</v>
      </c>
      <c r="N114" s="5">
        <f>ROUND(_xlfn.IFNA(VLOOKUP(A114,'Weapon Formulas'!$E$10:$W$115,16,0),weapon_components!N114),2)</f>
        <v>5</v>
      </c>
    </row>
    <row r="115" spans="1:14" x14ac:dyDescent="0.25">
      <c r="A115" s="15" t="s">
        <v>119</v>
      </c>
      <c r="B115">
        <v>30</v>
      </c>
      <c r="C115" s="5">
        <f>ROUND(_xlfn.IFNA(VLOOKUP(A115,'Weapon Formulas'!$E$10:$V$115,17,0),weapon_components!C115),2)</f>
        <v>-53.33</v>
      </c>
      <c r="D115" s="5">
        <f>ROUND(_xlfn.IFNA(VLOOKUP(A115,'Weapon Formulas'!$E$10:$Q$115,11,0),weapon_components!D115),2)</f>
        <v>263.02999999999997</v>
      </c>
      <c r="E115" s="5">
        <f>ROUND(_xlfn.IFNA(VLOOKUP(A115,'Weapon Formulas'!$E$10:$Q$115,12,0),weapon_components!E115),2)</f>
        <v>438.38</v>
      </c>
      <c r="F115" s="5">
        <f>ROUND(_xlfn.IFNA(VLOOKUP(A115,'Weapon Formulas'!$E$10:$L$115,8,0),weapon_components!F115),2)</f>
        <v>0</v>
      </c>
      <c r="G115" s="5">
        <f>ROUND(_xlfn.IFNA(VLOOKUP(A115,'Weapon Formulas'!$E$10:$P$115,9,0),weapon_components!G115),2)</f>
        <v>1</v>
      </c>
      <c r="H115" s="5">
        <f>ROUND(_xlfn.IFNA(VLOOKUP(A115,'Weapon Formulas'!$E$10:$L$115,7,0),weapon_components!H115),2)</f>
        <v>-1.29</v>
      </c>
      <c r="I115">
        <v>2</v>
      </c>
      <c r="J115">
        <v>15</v>
      </c>
      <c r="K115">
        <v>75</v>
      </c>
      <c r="L115" s="5">
        <f>ROUND(_xlfn.IFNA(VLOOKUP(A115,'Weapon Formulas'!$E$10:$Z$115,15,0),weapon_components!L115),1)</f>
        <v>89.3</v>
      </c>
      <c r="M115">
        <v>1</v>
      </c>
      <c r="N115" s="5">
        <f>ROUND(_xlfn.IFNA(VLOOKUP(A115,'Weapon Formulas'!$E$10:$W$115,16,0),weapon_components!N115),2)</f>
        <v>5</v>
      </c>
    </row>
    <row r="116" spans="1:14" x14ac:dyDescent="0.25">
      <c r="A116" s="15" t="s">
        <v>120</v>
      </c>
      <c r="B116">
        <v>10</v>
      </c>
      <c r="C116" s="5">
        <f>ROUND(_xlfn.IFNA(VLOOKUP(A116,'Weapon Formulas'!$E$10:$V$115,17,0),weapon_components!C116),2)</f>
        <v>-26.67</v>
      </c>
      <c r="D116" s="5">
        <f>ROUND(_xlfn.IFNA(VLOOKUP(A116,'Weapon Formulas'!$E$10:$Q$115,11,0),weapon_components!D116),2)</f>
        <v>81.41</v>
      </c>
      <c r="E116" s="5">
        <f>ROUND(_xlfn.IFNA(VLOOKUP(A116,'Weapon Formulas'!$E$10:$Q$115,12,0),weapon_components!E116),2)</f>
        <v>135.69</v>
      </c>
      <c r="F116" s="5">
        <f>ROUND(_xlfn.IFNA(VLOOKUP(A116,'Weapon Formulas'!$E$10:$L$115,8,0),weapon_components!F116),2)</f>
        <v>0</v>
      </c>
      <c r="G116" s="5">
        <f>ROUND(_xlfn.IFNA(VLOOKUP(A116,'Weapon Formulas'!$E$10:$P$115,9,0),weapon_components!G116),2)</f>
        <v>1</v>
      </c>
      <c r="H116" s="5">
        <f>ROUND(_xlfn.IFNA(VLOOKUP(A116,'Weapon Formulas'!$E$10:$L$115,7,0),weapon_components!H116),2)</f>
        <v>-0.38</v>
      </c>
      <c r="I116">
        <v>2</v>
      </c>
      <c r="J116">
        <v>15</v>
      </c>
      <c r="K116">
        <v>75</v>
      </c>
      <c r="L116" s="5">
        <f>ROUND(_xlfn.IFNA(VLOOKUP(A116,'Weapon Formulas'!$E$10:$Z$115,15,0),weapon_components!L116),1)</f>
        <v>65.3</v>
      </c>
      <c r="M116">
        <v>1</v>
      </c>
      <c r="N116" s="5">
        <f>ROUND(_xlfn.IFNA(VLOOKUP(A116,'Weapon Formulas'!$E$10:$W$115,16,0),weapon_components!N116),2)</f>
        <v>7.5</v>
      </c>
    </row>
    <row r="117" spans="1:14" x14ac:dyDescent="0.25">
      <c r="A117" s="15" t="s">
        <v>121</v>
      </c>
      <c r="B117">
        <v>20</v>
      </c>
      <c r="C117" s="5">
        <f>ROUND(_xlfn.IFNA(VLOOKUP(A117,'Weapon Formulas'!$E$10:$V$115,17,0),weapon_components!C117),2)</f>
        <v>-53.33</v>
      </c>
      <c r="D117" s="5">
        <f>ROUND(_xlfn.IFNA(VLOOKUP(A117,'Weapon Formulas'!$E$10:$Q$115,11,0),weapon_components!D117),2)</f>
        <v>175.35</v>
      </c>
      <c r="E117" s="5">
        <f>ROUND(_xlfn.IFNA(VLOOKUP(A117,'Weapon Formulas'!$E$10:$Q$115,12,0),weapon_components!E117),2)</f>
        <v>292.25</v>
      </c>
      <c r="F117" s="5">
        <f>ROUND(_xlfn.IFNA(VLOOKUP(A117,'Weapon Formulas'!$E$10:$L$115,8,0),weapon_components!F117),2)</f>
        <v>0</v>
      </c>
      <c r="G117" s="5">
        <f>ROUND(_xlfn.IFNA(VLOOKUP(A117,'Weapon Formulas'!$E$10:$P$115,9,0),weapon_components!G117),2)</f>
        <v>1</v>
      </c>
      <c r="H117" s="5">
        <f>ROUND(_xlfn.IFNA(VLOOKUP(A117,'Weapon Formulas'!$E$10:$L$115,7,0),weapon_components!H117),2)</f>
        <v>-0.71</v>
      </c>
      <c r="I117">
        <v>2</v>
      </c>
      <c r="J117">
        <v>15</v>
      </c>
      <c r="K117">
        <v>75</v>
      </c>
      <c r="L117" s="5">
        <f>ROUND(_xlfn.IFNA(VLOOKUP(A117,'Weapon Formulas'!$E$10:$Z$115,15,0),weapon_components!L117),1)</f>
        <v>81.599999999999994</v>
      </c>
      <c r="M117">
        <v>1</v>
      </c>
      <c r="N117" s="5">
        <f>ROUND(_xlfn.IFNA(VLOOKUP(A117,'Weapon Formulas'!$E$10:$W$115,16,0),weapon_components!N117),2)</f>
        <v>7.5</v>
      </c>
    </row>
    <row r="118" spans="1:14" x14ac:dyDescent="0.25">
      <c r="A118" s="15" t="s">
        <v>122</v>
      </c>
      <c r="B118">
        <v>40</v>
      </c>
      <c r="C118" s="5">
        <f>ROUND(_xlfn.IFNA(VLOOKUP(A118,'Weapon Formulas'!$E$10:$V$115,17,0),weapon_components!C118),2)</f>
        <v>-106.67</v>
      </c>
      <c r="D118" s="5">
        <f>ROUND(_xlfn.IFNA(VLOOKUP(A118,'Weapon Formulas'!$E$10:$Q$115,11,0),weapon_components!D118),2)</f>
        <v>375.75</v>
      </c>
      <c r="E118" s="5">
        <f>ROUND(_xlfn.IFNA(VLOOKUP(A118,'Weapon Formulas'!$E$10:$Q$115,12,0),weapon_components!E118),2)</f>
        <v>626.25</v>
      </c>
      <c r="F118" s="5">
        <f>ROUND(_xlfn.IFNA(VLOOKUP(A118,'Weapon Formulas'!$E$10:$L$115,8,0),weapon_components!F118),2)</f>
        <v>0</v>
      </c>
      <c r="G118" s="5">
        <f>ROUND(_xlfn.IFNA(VLOOKUP(A118,'Weapon Formulas'!$E$10:$P$115,9,0),weapon_components!G118),2)</f>
        <v>1</v>
      </c>
      <c r="H118" s="5">
        <f>ROUND(_xlfn.IFNA(VLOOKUP(A118,'Weapon Formulas'!$E$10:$L$115,7,0),weapon_components!H118),2)</f>
        <v>-1</v>
      </c>
      <c r="I118">
        <v>2</v>
      </c>
      <c r="J118">
        <v>15</v>
      </c>
      <c r="K118">
        <v>75</v>
      </c>
      <c r="L118" s="5">
        <f>ROUND(_xlfn.IFNA(VLOOKUP(A118,'Weapon Formulas'!$E$10:$Z$115,15,0),weapon_components!L118),1)</f>
        <v>97.9</v>
      </c>
      <c r="M118">
        <v>1</v>
      </c>
      <c r="N118" s="5">
        <f>ROUND(_xlfn.IFNA(VLOOKUP(A118,'Weapon Formulas'!$E$10:$W$115,16,0),weapon_components!N118),2)</f>
        <v>7.5</v>
      </c>
    </row>
    <row r="119" spans="1:14" x14ac:dyDescent="0.25">
      <c r="A119" s="15" t="s">
        <v>123</v>
      </c>
      <c r="B119">
        <v>12.5</v>
      </c>
      <c r="C119" s="5">
        <f>ROUND(_xlfn.IFNA(VLOOKUP(A119,'Weapon Formulas'!$E$10:$V$115,17,0),weapon_components!C119),2)</f>
        <v>-53.33</v>
      </c>
      <c r="D119" s="5">
        <f>ROUND(_xlfn.IFNA(VLOOKUP(A119,'Weapon Formulas'!$E$10:$Q$115,11,0),weapon_components!D119),2)</f>
        <v>109.59</v>
      </c>
      <c r="E119" s="5">
        <f>ROUND(_xlfn.IFNA(VLOOKUP(A119,'Weapon Formulas'!$E$10:$Q$115,12,0),weapon_components!E119),2)</f>
        <v>182.66</v>
      </c>
      <c r="F119" s="5">
        <f>ROUND(_xlfn.IFNA(VLOOKUP(A119,'Weapon Formulas'!$E$10:$L$115,8,0),weapon_components!F119),2)</f>
        <v>0</v>
      </c>
      <c r="G119" s="5">
        <f>ROUND(_xlfn.IFNA(VLOOKUP(A119,'Weapon Formulas'!$E$10:$P$115,9,0),weapon_components!G119),2)</f>
        <v>1</v>
      </c>
      <c r="H119" s="5">
        <f>ROUND(_xlfn.IFNA(VLOOKUP(A119,'Weapon Formulas'!$E$10:$L$115,7,0),weapon_components!H119),2)</f>
        <v>-0.37</v>
      </c>
      <c r="I119">
        <v>2</v>
      </c>
      <c r="J119">
        <v>15</v>
      </c>
      <c r="K119">
        <v>75</v>
      </c>
      <c r="L119" s="5">
        <f>ROUND(_xlfn.IFNA(VLOOKUP(A119,'Weapon Formulas'!$E$10:$Z$115,15,0),weapon_components!L119),1)</f>
        <v>71</v>
      </c>
      <c r="M119">
        <v>1</v>
      </c>
      <c r="N119" s="5">
        <f>ROUND(_xlfn.IFNA(VLOOKUP(A119,'Weapon Formulas'!$E$10:$W$115,16,0),weapon_components!N119),2)</f>
        <v>10</v>
      </c>
    </row>
    <row r="120" spans="1:14" x14ac:dyDescent="0.25">
      <c r="A120" s="15" t="s">
        <v>124</v>
      </c>
      <c r="B120">
        <v>25</v>
      </c>
      <c r="C120" s="5">
        <f>ROUND(_xlfn.IFNA(VLOOKUP(A120,'Weapon Formulas'!$E$10:$V$115,17,0),weapon_components!C120),2)</f>
        <v>-106.67</v>
      </c>
      <c r="D120" s="5">
        <f>ROUND(_xlfn.IFNA(VLOOKUP(A120,'Weapon Formulas'!$E$10:$Q$115,11,0),weapon_components!D120),2)</f>
        <v>234.84</v>
      </c>
      <c r="E120" s="5">
        <f>ROUND(_xlfn.IFNA(VLOOKUP(A120,'Weapon Formulas'!$E$10:$Q$115,12,0),weapon_components!E120),2)</f>
        <v>391.41</v>
      </c>
      <c r="F120" s="5">
        <f>ROUND(_xlfn.IFNA(VLOOKUP(A120,'Weapon Formulas'!$E$10:$L$115,8,0),weapon_components!F120),2)</f>
        <v>0</v>
      </c>
      <c r="G120" s="5">
        <f>ROUND(_xlfn.IFNA(VLOOKUP(A120,'Weapon Formulas'!$E$10:$P$115,9,0),weapon_components!G120),2)</f>
        <v>1</v>
      </c>
      <c r="H120" s="5">
        <f>ROUND(_xlfn.IFNA(VLOOKUP(A120,'Weapon Formulas'!$E$10:$L$115,7,0),weapon_components!H120),2)</f>
        <v>-0.6</v>
      </c>
      <c r="I120">
        <v>2</v>
      </c>
      <c r="J120">
        <v>15</v>
      </c>
      <c r="K120">
        <v>75</v>
      </c>
      <c r="L120" s="5">
        <f>ROUND(_xlfn.IFNA(VLOOKUP(A120,'Weapon Formulas'!$E$10:$Z$115,15,0),weapon_components!L120),1)</f>
        <v>88.8</v>
      </c>
      <c r="M120">
        <v>1</v>
      </c>
      <c r="N120" s="5">
        <f>ROUND(_xlfn.IFNA(VLOOKUP(A120,'Weapon Formulas'!$E$10:$W$115,16,0),weapon_components!N120),2)</f>
        <v>10</v>
      </c>
    </row>
    <row r="121" spans="1:14" x14ac:dyDescent="0.25">
      <c r="A121" s="15" t="s">
        <v>125</v>
      </c>
      <c r="B121">
        <v>50</v>
      </c>
      <c r="C121" s="5">
        <f>ROUND(_xlfn.IFNA(VLOOKUP(A121,'Weapon Formulas'!$E$10:$V$115,17,0),weapon_components!C121),2)</f>
        <v>-213.33</v>
      </c>
      <c r="D121" s="5">
        <f>ROUND(_xlfn.IFNA(VLOOKUP(A121,'Weapon Formulas'!$E$10:$Q$115,11,0),weapon_components!D121),2)</f>
        <v>501</v>
      </c>
      <c r="E121" s="5">
        <f>ROUND(_xlfn.IFNA(VLOOKUP(A121,'Weapon Formulas'!$E$10:$Q$115,12,0),weapon_components!E121),2)</f>
        <v>835</v>
      </c>
      <c r="F121" s="5">
        <f>ROUND(_xlfn.IFNA(VLOOKUP(A121,'Weapon Formulas'!$E$10:$L$115,8,0),weapon_components!F121),2)</f>
        <v>0</v>
      </c>
      <c r="G121" s="5">
        <f>ROUND(_xlfn.IFNA(VLOOKUP(A121,'Weapon Formulas'!$E$10:$P$115,9,0),weapon_components!G121),2)</f>
        <v>1</v>
      </c>
      <c r="H121" s="5">
        <f>ROUND(_xlfn.IFNA(VLOOKUP(A121,'Weapon Formulas'!$E$10:$L$115,7,0),weapon_components!H121),2)</f>
        <v>-0.8</v>
      </c>
      <c r="I121">
        <v>2</v>
      </c>
      <c r="J121">
        <v>15</v>
      </c>
      <c r="K121">
        <v>75</v>
      </c>
      <c r="L121" s="5">
        <f>ROUND(_xlfn.IFNA(VLOOKUP(A121,'Weapon Formulas'!$E$10:$Z$115,15,0),weapon_components!L121),1)</f>
        <v>106.6</v>
      </c>
      <c r="M121">
        <v>1</v>
      </c>
      <c r="N121" s="5">
        <f>ROUND(_xlfn.IFNA(VLOOKUP(A121,'Weapon Formulas'!$E$10:$W$115,16,0),weapon_components!N121),2)</f>
        <v>10</v>
      </c>
    </row>
    <row r="122" spans="1:14" x14ac:dyDescent="0.25">
      <c r="A122" s="15" t="s">
        <v>126</v>
      </c>
      <c r="C122" s="5"/>
      <c r="D122" s="5"/>
      <c r="E122" s="5"/>
      <c r="F122" s="5"/>
      <c r="G122" s="5"/>
      <c r="H122" s="5"/>
      <c r="L122" s="5"/>
      <c r="N122" s="5"/>
    </row>
    <row r="123" spans="1:14" x14ac:dyDescent="0.25">
      <c r="A123" s="15" t="s">
        <v>127</v>
      </c>
      <c r="B123">
        <v>40</v>
      </c>
      <c r="C123" s="5">
        <f>ROUND(_xlfn.IFNA(VLOOKUP(A123,'Weapon Formulas'!$E$10:$V$115,17,0),weapon_components!C123),2)</f>
        <v>-106.67</v>
      </c>
      <c r="D123" s="5">
        <f>ROUND(_xlfn.IFNA(VLOOKUP(A123,'Weapon Formulas'!$E$10:$Q$115,11,0),weapon_components!D123),2)</f>
        <v>105</v>
      </c>
      <c r="E123" s="5">
        <f>ROUND(_xlfn.IFNA(VLOOKUP(A123,'Weapon Formulas'!$E$10:$Q$115,12,0),weapon_components!E123),2)</f>
        <v>175</v>
      </c>
      <c r="F123" s="5">
        <f>ROUND(_xlfn.IFNA(VLOOKUP(A123,'Weapon Formulas'!$E$10:$L$115,8,0),weapon_components!F123),2)</f>
        <v>0</v>
      </c>
      <c r="G123" s="5">
        <f>ROUND(_xlfn.IFNA(VLOOKUP(A123,'Weapon Formulas'!$E$10:$P$115,9,0),weapon_components!G123),2)</f>
        <v>1</v>
      </c>
      <c r="H123" s="5">
        <f>ROUND(_xlfn.IFNA(VLOOKUP(A123,'Weapon Formulas'!$E$10:$L$115,7,0),weapon_components!H123),2)</f>
        <v>-1.19</v>
      </c>
      <c r="I123">
        <v>2</v>
      </c>
      <c r="J123">
        <v>8</v>
      </c>
      <c r="K123">
        <v>20</v>
      </c>
      <c r="L123" s="5">
        <f>ROUND(_xlfn.IFNA(VLOOKUP(A123,'Weapon Formulas'!$E$10:$Z$115,15,0),weapon_components!L123),1)</f>
        <v>81.599999999999994</v>
      </c>
      <c r="M123">
        <v>1</v>
      </c>
      <c r="N123" s="5">
        <f>ROUND(_xlfn.IFNA(VLOOKUP(A123,'Weapon Formulas'!$E$10:$W$115,16,0),weapon_components!N123),2)</f>
        <v>7.5</v>
      </c>
    </row>
    <row r="124" spans="1:14" x14ac:dyDescent="0.25">
      <c r="A124" s="15" t="s">
        <v>128</v>
      </c>
      <c r="B124">
        <v>50</v>
      </c>
      <c r="C124" s="5">
        <f>ROUND(_xlfn.IFNA(VLOOKUP(A124,'Weapon Formulas'!$E$10:$V$115,17,0),weapon_components!C124),2)</f>
        <v>-213.33</v>
      </c>
      <c r="D124" s="5">
        <f>ROUND(_xlfn.IFNA(VLOOKUP(A124,'Weapon Formulas'!$E$10:$Q$115,11,0),weapon_components!D124),2)</f>
        <v>140.63</v>
      </c>
      <c r="E124" s="5">
        <f>ROUND(_xlfn.IFNA(VLOOKUP(A124,'Weapon Formulas'!$E$10:$Q$115,12,0),weapon_components!E124),2)</f>
        <v>234.38</v>
      </c>
      <c r="F124" s="5">
        <f>ROUND(_xlfn.IFNA(VLOOKUP(A124,'Weapon Formulas'!$E$10:$L$115,8,0),weapon_components!F124),2)</f>
        <v>0</v>
      </c>
      <c r="G124" s="5">
        <f>ROUND(_xlfn.IFNA(VLOOKUP(A124,'Weapon Formulas'!$E$10:$P$115,9,0),weapon_components!G124),2)</f>
        <v>1</v>
      </c>
      <c r="H124" s="5">
        <f>ROUND(_xlfn.IFNA(VLOOKUP(A124,'Weapon Formulas'!$E$10:$L$115,7,0),weapon_components!H124),2)</f>
        <v>-0.96</v>
      </c>
      <c r="I124">
        <v>2</v>
      </c>
      <c r="J124">
        <v>8</v>
      </c>
      <c r="K124">
        <v>20</v>
      </c>
      <c r="L124" s="5">
        <f>ROUND(_xlfn.IFNA(VLOOKUP(A124,'Weapon Formulas'!$E$10:$Z$115,15,0),weapon_components!L124),1)</f>
        <v>88.8</v>
      </c>
      <c r="M124">
        <v>1</v>
      </c>
      <c r="N124" s="5">
        <f>ROUND(_xlfn.IFNA(VLOOKUP(A124,'Weapon Formulas'!$E$10:$W$115,16,0),weapon_components!N124),2)</f>
        <v>10</v>
      </c>
    </row>
    <row r="125" spans="1:14" x14ac:dyDescent="0.25">
      <c r="A125" s="15" t="s">
        <v>161</v>
      </c>
      <c r="C125" s="5"/>
      <c r="D125" s="5"/>
      <c r="E125" s="5"/>
      <c r="F125" s="5"/>
      <c r="G125" s="5"/>
      <c r="H125" s="5"/>
      <c r="L125" s="5"/>
      <c r="N125" s="5"/>
    </row>
    <row r="126" spans="1:14" x14ac:dyDescent="0.25">
      <c r="A126" s="15" t="s">
        <v>162</v>
      </c>
      <c r="B126">
        <v>5</v>
      </c>
      <c r="C126" s="5">
        <f>ROUND(_xlfn.IFNA(VLOOKUP(A126,'Weapon Formulas'!$E$10:$V$115,17,0),weapon_components!C126),2)</f>
        <v>-5</v>
      </c>
      <c r="D126" s="5">
        <f>ROUND(_xlfn.IFNA(VLOOKUP(A126,'Weapon Formulas'!$E$10:$Q$115,11,0),weapon_components!D126),2)</f>
        <v>6</v>
      </c>
      <c r="E126" s="5">
        <f>ROUND(_xlfn.IFNA(VLOOKUP(A126,'Weapon Formulas'!$E$10:$Q$115,12,0),weapon_components!E126),2)</f>
        <v>12</v>
      </c>
      <c r="F126" s="5">
        <f>ROUND(_xlfn.IFNA(VLOOKUP(A126,'Weapon Formulas'!$E$10:$L$115,8,0),weapon_components!F126),2)</f>
        <v>1</v>
      </c>
      <c r="G126" s="5">
        <f>ROUND(_xlfn.IFNA(VLOOKUP(A126,'Weapon Formulas'!$E$10:$P$115,9,0),weapon_components!G126),2)</f>
        <v>0</v>
      </c>
      <c r="H126" s="5">
        <f>ROUND(_xlfn.IFNA(VLOOKUP(A126,'Weapon Formulas'!$E$10:$L$115,7,0),weapon_components!H126),2)</f>
        <v>0.5</v>
      </c>
      <c r="I126">
        <v>2</v>
      </c>
      <c r="J126">
        <v>25</v>
      </c>
      <c r="K126">
        <v>30</v>
      </c>
      <c r="L126" s="5">
        <f>ROUND(_xlfn.IFNA(VLOOKUP(A126,'Weapon Formulas'!$E$10:$Z$115,15,0),weapon_components!L126),1)</f>
        <v>20</v>
      </c>
      <c r="M126">
        <v>0.75</v>
      </c>
      <c r="N126" s="5">
        <f>ROUND(_xlfn.IFNA(VLOOKUP(A126,'Weapon Formulas'!$E$10:$W$115,16,0),weapon_components!N126),2)</f>
        <v>0</v>
      </c>
    </row>
    <row r="127" spans="1:14" x14ac:dyDescent="0.25">
      <c r="A127" s="15" t="s">
        <v>163</v>
      </c>
      <c r="B127">
        <v>20</v>
      </c>
      <c r="C127" s="5">
        <f>ROUND(_xlfn.IFNA(VLOOKUP(A127,'Weapon Formulas'!$E$10:$V$115,17,0),weapon_components!C127),2)</f>
        <v>-20</v>
      </c>
      <c r="D127" s="5">
        <f>ROUND(_xlfn.IFNA(VLOOKUP(A127,'Weapon Formulas'!$E$10:$Q$115,11,0),weapon_components!D127),2)</f>
        <v>32</v>
      </c>
      <c r="E127" s="5">
        <f>ROUND(_xlfn.IFNA(VLOOKUP(A127,'Weapon Formulas'!$E$10:$Q$115,12,0),weapon_components!E127),2)</f>
        <v>47</v>
      </c>
      <c r="F127" s="5">
        <f>ROUND(_xlfn.IFNA(VLOOKUP(A127,'Weapon Formulas'!$E$10:$L$115,8,0),weapon_components!F127),2)</f>
        <v>1</v>
      </c>
      <c r="G127" s="5">
        <f>ROUND(_xlfn.IFNA(VLOOKUP(A127,'Weapon Formulas'!$E$10:$P$115,9,0),weapon_components!G127),2)</f>
        <v>0</v>
      </c>
      <c r="H127" s="5">
        <f>ROUND(_xlfn.IFNA(VLOOKUP(A127,'Weapon Formulas'!$E$10:$L$115,7,0),weapon_components!H127),2)</f>
        <v>0.5</v>
      </c>
      <c r="I127">
        <v>2</v>
      </c>
      <c r="J127">
        <v>25</v>
      </c>
      <c r="K127">
        <v>30</v>
      </c>
      <c r="L127" s="5">
        <f>ROUND(_xlfn.IFNA(VLOOKUP(A127,'Weapon Formulas'!$E$10:$Z$115,15,0),weapon_components!L127),1)</f>
        <v>40</v>
      </c>
      <c r="M127">
        <v>0.7</v>
      </c>
      <c r="N127" s="5">
        <f>ROUND(_xlfn.IFNA(VLOOKUP(A127,'Weapon Formulas'!$E$10:$W$115,16,0),weapon_components!N127),2)</f>
        <v>0</v>
      </c>
    </row>
    <row r="128" spans="1:14" x14ac:dyDescent="0.25">
      <c r="A128" s="15" t="s">
        <v>164</v>
      </c>
      <c r="C128" s="5"/>
      <c r="D128" s="5"/>
      <c r="E128" s="5"/>
      <c r="F128" s="5"/>
      <c r="G128" s="5"/>
      <c r="H128" s="5"/>
      <c r="L128" s="5"/>
      <c r="N128" s="5"/>
    </row>
    <row r="129" spans="1:14" x14ac:dyDescent="0.25">
      <c r="A129" s="15" t="s">
        <v>165</v>
      </c>
      <c r="B129">
        <v>2.5</v>
      </c>
      <c r="C129" s="5">
        <f>ROUND(_xlfn.IFNA(VLOOKUP(A129,'Weapon Formulas'!$E$10:$V$115,17,0),weapon_components!C129),2)</f>
        <v>-2.5</v>
      </c>
      <c r="D129" s="5">
        <f>ROUND(_xlfn.IFNA(VLOOKUP(A129,'Weapon Formulas'!$E$10:$Q$115,11,0),weapon_components!D129),2)</f>
        <v>5</v>
      </c>
      <c r="E129" s="5">
        <f>ROUND(_xlfn.IFNA(VLOOKUP(A129,'Weapon Formulas'!$E$10:$Q$115,12,0),weapon_components!E129),2)</f>
        <v>11</v>
      </c>
      <c r="F129" s="5">
        <f>ROUND(_xlfn.IFNA(VLOOKUP(A129,'Weapon Formulas'!$E$10:$L$115,8,0),weapon_components!F129),2)</f>
        <v>1</v>
      </c>
      <c r="G129" s="5">
        <f>ROUND(_xlfn.IFNA(VLOOKUP(A129,'Weapon Formulas'!$E$10:$P$115,9,0),weapon_components!G129),2)</f>
        <v>0</v>
      </c>
      <c r="H129" s="5">
        <f>ROUND(_xlfn.IFNA(VLOOKUP(A129,'Weapon Formulas'!$E$10:$L$115,7,0),weapon_components!H129),2)</f>
        <v>0.5</v>
      </c>
      <c r="I129">
        <v>2</v>
      </c>
      <c r="J129">
        <v>25</v>
      </c>
      <c r="K129">
        <v>30</v>
      </c>
      <c r="L129" s="5">
        <f>ROUND(_xlfn.IFNA(VLOOKUP(A129,'Weapon Formulas'!$E$10:$Z$115,15,0),weapon_components!L129),1)</f>
        <v>10</v>
      </c>
      <c r="M129">
        <v>0.75</v>
      </c>
      <c r="N129" s="5">
        <f>ROUND(_xlfn.IFNA(VLOOKUP(A129,'Weapon Formulas'!$E$10:$W$115,16,0),weapon_components!N129),2)</f>
        <v>0</v>
      </c>
    </row>
    <row r="130" spans="1:14" x14ac:dyDescent="0.25">
      <c r="A130" s="15" t="s">
        <v>166</v>
      </c>
      <c r="B130">
        <v>5</v>
      </c>
      <c r="C130" s="5">
        <f>ROUND(_xlfn.IFNA(VLOOKUP(A130,'Weapon Formulas'!$E$10:$V$115,17,0),weapon_components!C130),2)</f>
        <v>-5</v>
      </c>
      <c r="D130" s="5">
        <f>ROUND(_xlfn.IFNA(VLOOKUP(A130,'Weapon Formulas'!$E$10:$Q$115,11,0),weapon_components!D130),2)</f>
        <v>13</v>
      </c>
      <c r="E130" s="5">
        <f>ROUND(_xlfn.IFNA(VLOOKUP(A130,'Weapon Formulas'!$E$10:$Q$115,12,0),weapon_components!E130),2)</f>
        <v>19</v>
      </c>
      <c r="F130" s="5">
        <f>ROUND(_xlfn.IFNA(VLOOKUP(A130,'Weapon Formulas'!$E$10:$L$115,8,0),weapon_components!F130),2)</f>
        <v>1</v>
      </c>
      <c r="G130" s="5">
        <f>ROUND(_xlfn.IFNA(VLOOKUP(A130,'Weapon Formulas'!$E$10:$P$115,9,0),weapon_components!G130),2)</f>
        <v>0</v>
      </c>
      <c r="H130" s="5">
        <f>ROUND(_xlfn.IFNA(VLOOKUP(A130,'Weapon Formulas'!$E$10:$L$115,7,0),weapon_components!H130),2)</f>
        <v>0.5</v>
      </c>
      <c r="I130">
        <v>2</v>
      </c>
      <c r="J130">
        <v>25</v>
      </c>
      <c r="K130">
        <v>30</v>
      </c>
      <c r="L130" s="5">
        <f>ROUND(_xlfn.IFNA(VLOOKUP(A130,'Weapon Formulas'!$E$10:$Z$115,15,0),weapon_components!L130),1)</f>
        <v>30</v>
      </c>
      <c r="M130">
        <v>0.7</v>
      </c>
      <c r="N130" s="5">
        <f>ROUND(_xlfn.IFNA(VLOOKUP(A130,'Weapon Formulas'!$E$10:$W$115,16,0),weapon_components!N130),2)</f>
        <v>0</v>
      </c>
    </row>
    <row r="131" spans="1:14" x14ac:dyDescent="0.25">
      <c r="A131" s="15" t="s">
        <v>167</v>
      </c>
      <c r="B131">
        <v>10</v>
      </c>
      <c r="C131" s="5">
        <f>ROUND(_xlfn.IFNA(VLOOKUP(A131,'Weapon Formulas'!$E$10:$V$115,17,0),weapon_components!C131),2)</f>
        <v>-10</v>
      </c>
      <c r="D131" s="5">
        <f>ROUND(_xlfn.IFNA(VLOOKUP(A131,'Weapon Formulas'!$E$10:$Q$115,11,0),weapon_components!D131),2)</f>
        <v>25</v>
      </c>
      <c r="E131" s="5">
        <f>ROUND(_xlfn.IFNA(VLOOKUP(A131,'Weapon Formulas'!$E$10:$Q$115,12,0),weapon_components!E131),2)</f>
        <v>43</v>
      </c>
      <c r="F131" s="5">
        <f>ROUND(_xlfn.IFNA(VLOOKUP(A131,'Weapon Formulas'!$E$10:$L$115,8,0),weapon_components!F131),2)</f>
        <v>1</v>
      </c>
      <c r="G131" s="5">
        <f>ROUND(_xlfn.IFNA(VLOOKUP(A131,'Weapon Formulas'!$E$10:$P$115,9,0),weapon_components!G131),2)</f>
        <v>0</v>
      </c>
      <c r="H131" s="5">
        <f>ROUND(_xlfn.IFNA(VLOOKUP(A131,'Weapon Formulas'!$E$10:$L$115,7,0),weapon_components!H131),2)</f>
        <v>0.5</v>
      </c>
      <c r="I131">
        <v>2</v>
      </c>
      <c r="J131">
        <v>25</v>
      </c>
      <c r="K131">
        <v>30</v>
      </c>
      <c r="L131" s="5">
        <f>ROUND(_xlfn.IFNA(VLOOKUP(A131,'Weapon Formulas'!$E$10:$Z$115,15,0),weapon_components!L131),1)</f>
        <v>40</v>
      </c>
      <c r="M131">
        <v>0.65</v>
      </c>
      <c r="N131" s="5">
        <f>ROUND(_xlfn.IFNA(VLOOKUP(A131,'Weapon Formulas'!$E$10:$W$115,16,0),weapon_components!N131),2)</f>
        <v>0</v>
      </c>
    </row>
    <row r="132" spans="1:14" x14ac:dyDescent="0.25">
      <c r="A132" s="15" t="s">
        <v>168</v>
      </c>
      <c r="B132">
        <v>5</v>
      </c>
      <c r="C132" s="5">
        <f>ROUND(_xlfn.IFNA(VLOOKUP(A132,'Weapon Formulas'!$E$10:$V$115,17,0),weapon_components!C132),2)</f>
        <v>-5</v>
      </c>
      <c r="D132" s="5">
        <f>ROUND(_xlfn.IFNA(VLOOKUP(A132,'Weapon Formulas'!$E$10:$Q$115,11,0),weapon_components!D132),2)</f>
        <v>6</v>
      </c>
      <c r="E132" s="5">
        <f>ROUND(_xlfn.IFNA(VLOOKUP(A132,'Weapon Formulas'!$E$10:$Q$115,12,0),weapon_components!E132),2)</f>
        <v>13</v>
      </c>
      <c r="F132" s="5">
        <f>ROUND(_xlfn.IFNA(VLOOKUP(A132,'Weapon Formulas'!$E$10:$L$115,8,0),weapon_components!F132),2)</f>
        <v>1</v>
      </c>
      <c r="G132" s="5">
        <f>ROUND(_xlfn.IFNA(VLOOKUP(A132,'Weapon Formulas'!$E$10:$P$115,9,0),weapon_components!G132),2)</f>
        <v>0</v>
      </c>
      <c r="H132" s="5">
        <f>ROUND(_xlfn.IFNA(VLOOKUP(A132,'Weapon Formulas'!$E$10:$L$115,7,0),weapon_components!H132),2)</f>
        <v>0.5</v>
      </c>
      <c r="I132">
        <v>2</v>
      </c>
      <c r="J132">
        <v>25</v>
      </c>
      <c r="K132">
        <v>30</v>
      </c>
      <c r="L132" s="5">
        <f>ROUND(_xlfn.IFNA(VLOOKUP(A132,'Weapon Formulas'!$E$10:$Z$115,15,0),weapon_components!L132),1)</f>
        <v>10</v>
      </c>
      <c r="M132">
        <v>0.75</v>
      </c>
      <c r="N132" s="5">
        <f>ROUND(_xlfn.IFNA(VLOOKUP(A132,'Weapon Formulas'!$E$10:$W$115,16,0),weapon_components!N132),2)</f>
        <v>0</v>
      </c>
    </row>
    <row r="133" spans="1:14" x14ac:dyDescent="0.25">
      <c r="A133" s="15" t="s">
        <v>169</v>
      </c>
      <c r="B133">
        <v>10</v>
      </c>
      <c r="C133" s="5">
        <f>ROUND(_xlfn.IFNA(VLOOKUP(A133,'Weapon Formulas'!$E$10:$V$115,17,0),weapon_components!C133),2)</f>
        <v>-10</v>
      </c>
      <c r="D133" s="5">
        <f>ROUND(_xlfn.IFNA(VLOOKUP(A133,'Weapon Formulas'!$E$10:$Q$115,11,0),weapon_components!D133),2)</f>
        <v>15</v>
      </c>
      <c r="E133" s="5">
        <f>ROUND(_xlfn.IFNA(VLOOKUP(A133,'Weapon Formulas'!$E$10:$Q$115,12,0),weapon_components!E133),2)</f>
        <v>23</v>
      </c>
      <c r="F133" s="5">
        <f>ROUND(_xlfn.IFNA(VLOOKUP(A133,'Weapon Formulas'!$E$10:$L$115,8,0),weapon_components!F133),2)</f>
        <v>1</v>
      </c>
      <c r="G133" s="5">
        <f>ROUND(_xlfn.IFNA(VLOOKUP(A133,'Weapon Formulas'!$E$10:$P$115,9,0),weapon_components!G133),2)</f>
        <v>0</v>
      </c>
      <c r="H133" s="5">
        <f>ROUND(_xlfn.IFNA(VLOOKUP(A133,'Weapon Formulas'!$E$10:$L$115,7,0),weapon_components!H133),2)</f>
        <v>0.5</v>
      </c>
      <c r="I133">
        <v>2</v>
      </c>
      <c r="J133">
        <v>25</v>
      </c>
      <c r="K133">
        <v>30</v>
      </c>
      <c r="L133" s="5">
        <f>ROUND(_xlfn.IFNA(VLOOKUP(A133,'Weapon Formulas'!$E$10:$Z$115,15,0),weapon_components!L133),1)</f>
        <v>30</v>
      </c>
      <c r="M133">
        <v>0.7</v>
      </c>
      <c r="N133" s="5">
        <f>ROUND(_xlfn.IFNA(VLOOKUP(A133,'Weapon Formulas'!$E$10:$W$115,16,0),weapon_components!N133),2)</f>
        <v>0</v>
      </c>
    </row>
    <row r="134" spans="1:14" x14ac:dyDescent="0.25">
      <c r="A134" s="15" t="s">
        <v>170</v>
      </c>
      <c r="B134">
        <v>20</v>
      </c>
      <c r="C134" s="5">
        <f>ROUND(_xlfn.IFNA(VLOOKUP(A134,'Weapon Formulas'!$E$10:$V$115,17,0),weapon_components!C134),2)</f>
        <v>-20</v>
      </c>
      <c r="D134" s="5">
        <f>ROUND(_xlfn.IFNA(VLOOKUP(A134,'Weapon Formulas'!$E$10:$Q$115,11,0),weapon_components!D134),2)</f>
        <v>32</v>
      </c>
      <c r="E134" s="5">
        <f>ROUND(_xlfn.IFNA(VLOOKUP(A134,'Weapon Formulas'!$E$10:$Q$115,12,0),weapon_components!E134),2)</f>
        <v>49</v>
      </c>
      <c r="F134" s="5">
        <f>ROUND(_xlfn.IFNA(VLOOKUP(A134,'Weapon Formulas'!$E$10:$L$115,8,0),weapon_components!F134),2)</f>
        <v>1</v>
      </c>
      <c r="G134" s="5">
        <f>ROUND(_xlfn.IFNA(VLOOKUP(A134,'Weapon Formulas'!$E$10:$P$115,9,0),weapon_components!G134),2)</f>
        <v>0</v>
      </c>
      <c r="H134" s="5">
        <f>ROUND(_xlfn.IFNA(VLOOKUP(A134,'Weapon Formulas'!$E$10:$L$115,7,0),weapon_components!H134),2)</f>
        <v>0.5</v>
      </c>
      <c r="I134">
        <v>2</v>
      </c>
      <c r="J134">
        <v>25</v>
      </c>
      <c r="K134">
        <v>30</v>
      </c>
      <c r="L134" s="5">
        <f>ROUND(_xlfn.IFNA(VLOOKUP(A134,'Weapon Formulas'!$E$10:$Z$115,15,0),weapon_components!L134),1)</f>
        <v>40</v>
      </c>
      <c r="M134">
        <v>0.65</v>
      </c>
      <c r="N134" s="5">
        <f>ROUND(_xlfn.IFNA(VLOOKUP(A134,'Weapon Formulas'!$E$10:$W$115,16,0),weapon_components!N134),2)</f>
        <v>0</v>
      </c>
    </row>
    <row r="135" spans="1:14" x14ac:dyDescent="0.25">
      <c r="A135" s="15" t="s">
        <v>171</v>
      </c>
      <c r="B135">
        <v>7.5</v>
      </c>
      <c r="C135" s="5">
        <f>ROUND(_xlfn.IFNA(VLOOKUP(A135,'Weapon Formulas'!$E$10:$V$115,17,0),weapon_components!C135),2)</f>
        <v>-7.5</v>
      </c>
      <c r="D135" s="5">
        <f>ROUND(_xlfn.IFNA(VLOOKUP(A135,'Weapon Formulas'!$E$10:$Q$115,11,0),weapon_components!D135),2)</f>
        <v>8</v>
      </c>
      <c r="E135" s="5">
        <f>ROUND(_xlfn.IFNA(VLOOKUP(A135,'Weapon Formulas'!$E$10:$Q$115,12,0),weapon_components!E135),2)</f>
        <v>14</v>
      </c>
      <c r="F135" s="5">
        <f>ROUND(_xlfn.IFNA(VLOOKUP(A135,'Weapon Formulas'!$E$10:$L$115,8,0),weapon_components!F135),2)</f>
        <v>1</v>
      </c>
      <c r="G135" s="5">
        <f>ROUND(_xlfn.IFNA(VLOOKUP(A135,'Weapon Formulas'!$E$10:$P$115,9,0),weapon_components!G135),2)</f>
        <v>0</v>
      </c>
      <c r="H135" s="5">
        <f>ROUND(_xlfn.IFNA(VLOOKUP(A135,'Weapon Formulas'!$E$10:$L$115,7,0),weapon_components!H135),2)</f>
        <v>0.5</v>
      </c>
      <c r="I135">
        <v>2</v>
      </c>
      <c r="J135">
        <v>25</v>
      </c>
      <c r="K135">
        <v>30</v>
      </c>
      <c r="L135" s="5">
        <f>ROUND(_xlfn.IFNA(VLOOKUP(A135,'Weapon Formulas'!$E$10:$Z$115,15,0),weapon_components!L135),1)</f>
        <v>10</v>
      </c>
      <c r="M135">
        <v>0.75</v>
      </c>
      <c r="N135" s="5">
        <f>ROUND(_xlfn.IFNA(VLOOKUP(A135,'Weapon Formulas'!$E$10:$W$115,16,0),weapon_components!N135),2)</f>
        <v>0</v>
      </c>
    </row>
    <row r="136" spans="1:14" x14ac:dyDescent="0.25">
      <c r="A136" s="15" t="s">
        <v>172</v>
      </c>
      <c r="B136">
        <v>15</v>
      </c>
      <c r="C136" s="5">
        <f>ROUND(_xlfn.IFNA(VLOOKUP(A136,'Weapon Formulas'!$E$10:$V$115,17,0),weapon_components!C136),2)</f>
        <v>-15</v>
      </c>
      <c r="D136" s="5">
        <f>ROUND(_xlfn.IFNA(VLOOKUP(A136,'Weapon Formulas'!$E$10:$Q$115,11,0),weapon_components!D136),2)</f>
        <v>16</v>
      </c>
      <c r="E136" s="5">
        <f>ROUND(_xlfn.IFNA(VLOOKUP(A136,'Weapon Formulas'!$E$10:$Q$115,12,0),weapon_components!E136),2)</f>
        <v>28</v>
      </c>
      <c r="F136" s="5">
        <f>ROUND(_xlfn.IFNA(VLOOKUP(A136,'Weapon Formulas'!$E$10:$L$115,8,0),weapon_components!F136),2)</f>
        <v>1</v>
      </c>
      <c r="G136" s="5">
        <f>ROUND(_xlfn.IFNA(VLOOKUP(A136,'Weapon Formulas'!$E$10:$P$115,9,0),weapon_components!G136),2)</f>
        <v>0</v>
      </c>
      <c r="H136" s="5">
        <f>ROUND(_xlfn.IFNA(VLOOKUP(A136,'Weapon Formulas'!$E$10:$L$115,7,0),weapon_components!H136),2)</f>
        <v>0.5</v>
      </c>
      <c r="I136">
        <v>2</v>
      </c>
      <c r="J136">
        <v>25</v>
      </c>
      <c r="K136">
        <v>30</v>
      </c>
      <c r="L136" s="5">
        <f>ROUND(_xlfn.IFNA(VLOOKUP(A136,'Weapon Formulas'!$E$10:$Z$115,15,0),weapon_components!L136),1)</f>
        <v>30</v>
      </c>
      <c r="M136">
        <v>0.7</v>
      </c>
      <c r="N136" s="5">
        <f>ROUND(_xlfn.IFNA(VLOOKUP(A136,'Weapon Formulas'!$E$10:$W$115,16,0),weapon_components!N136),2)</f>
        <v>0</v>
      </c>
    </row>
    <row r="137" spans="1:14" x14ac:dyDescent="0.25">
      <c r="A137" s="15" t="s">
        <v>173</v>
      </c>
      <c r="B137">
        <v>30</v>
      </c>
      <c r="C137" s="5">
        <f>ROUND(_xlfn.IFNA(VLOOKUP(A137,'Weapon Formulas'!$E$10:$V$115,17,0),weapon_components!C137),2)</f>
        <v>-30</v>
      </c>
      <c r="D137" s="5">
        <f>ROUND(_xlfn.IFNA(VLOOKUP(A137,'Weapon Formulas'!$E$10:$Q$115,11,0),weapon_components!D137),2)</f>
        <v>35</v>
      </c>
      <c r="E137" s="5">
        <f>ROUND(_xlfn.IFNA(VLOOKUP(A137,'Weapon Formulas'!$E$10:$Q$115,12,0),weapon_components!E137),2)</f>
        <v>59</v>
      </c>
      <c r="F137" s="5">
        <f>ROUND(_xlfn.IFNA(VLOOKUP(A137,'Weapon Formulas'!$E$10:$L$115,8,0),weapon_components!F137),2)</f>
        <v>1</v>
      </c>
      <c r="G137" s="5">
        <f>ROUND(_xlfn.IFNA(VLOOKUP(A137,'Weapon Formulas'!$E$10:$P$115,9,0),weapon_components!G137),2)</f>
        <v>0</v>
      </c>
      <c r="H137" s="5">
        <f>ROUND(_xlfn.IFNA(VLOOKUP(A137,'Weapon Formulas'!$E$10:$L$115,7,0),weapon_components!H137),2)</f>
        <v>0.5</v>
      </c>
      <c r="I137">
        <v>2</v>
      </c>
      <c r="J137">
        <v>25</v>
      </c>
      <c r="K137">
        <v>30</v>
      </c>
      <c r="L137" s="5">
        <f>ROUND(_xlfn.IFNA(VLOOKUP(A137,'Weapon Formulas'!$E$10:$Z$115,15,0),weapon_components!L137),1)</f>
        <v>40</v>
      </c>
      <c r="M137">
        <v>0.65</v>
      </c>
      <c r="N137" s="5">
        <f>ROUND(_xlfn.IFNA(VLOOKUP(A137,'Weapon Formulas'!$E$10:$W$115,16,0),weapon_components!N137),2)</f>
        <v>0</v>
      </c>
    </row>
    <row r="138" spans="1:14" x14ac:dyDescent="0.25">
      <c r="A138" s="15" t="s">
        <v>174</v>
      </c>
      <c r="B138">
        <v>10</v>
      </c>
      <c r="C138" s="5">
        <f>ROUND(_xlfn.IFNA(VLOOKUP(A138,'Weapon Formulas'!$E$10:$V$115,17,0),weapon_components!C138),2)</f>
        <v>-10</v>
      </c>
      <c r="D138" s="5">
        <f>ROUND(_xlfn.IFNA(VLOOKUP(A138,'Weapon Formulas'!$E$10:$Q$115,11,0),weapon_components!D138),2)</f>
        <v>9</v>
      </c>
      <c r="E138" s="5">
        <f>ROUND(_xlfn.IFNA(VLOOKUP(A138,'Weapon Formulas'!$E$10:$Q$115,12,0),weapon_components!E138),2)</f>
        <v>16</v>
      </c>
      <c r="F138" s="5">
        <f>ROUND(_xlfn.IFNA(VLOOKUP(A138,'Weapon Formulas'!$E$10:$L$115,8,0),weapon_components!F138),2)</f>
        <v>1</v>
      </c>
      <c r="G138" s="5">
        <f>ROUND(_xlfn.IFNA(VLOOKUP(A138,'Weapon Formulas'!$E$10:$P$115,9,0),weapon_components!G138),2)</f>
        <v>0</v>
      </c>
      <c r="H138" s="5">
        <f>ROUND(_xlfn.IFNA(VLOOKUP(A138,'Weapon Formulas'!$E$10:$L$115,7,0),weapon_components!H138),2)</f>
        <v>0.5</v>
      </c>
      <c r="I138">
        <v>2</v>
      </c>
      <c r="J138">
        <v>25</v>
      </c>
      <c r="K138">
        <v>30</v>
      </c>
      <c r="L138" s="5">
        <f>ROUND(_xlfn.IFNA(VLOOKUP(A138,'Weapon Formulas'!$E$10:$Z$115,15,0),weapon_components!L138),1)</f>
        <v>10</v>
      </c>
      <c r="M138">
        <v>0.75</v>
      </c>
      <c r="N138" s="5">
        <f>ROUND(_xlfn.IFNA(VLOOKUP(A138,'Weapon Formulas'!$E$10:$W$115,16,0),weapon_components!N138),2)</f>
        <v>0</v>
      </c>
    </row>
    <row r="139" spans="1:14" x14ac:dyDescent="0.25">
      <c r="A139" s="15" t="s">
        <v>175</v>
      </c>
      <c r="B139">
        <v>20</v>
      </c>
      <c r="C139" s="5">
        <f>ROUND(_xlfn.IFNA(VLOOKUP(A139,'Weapon Formulas'!$E$10:$V$115,17,0),weapon_components!C139),2)</f>
        <v>-20</v>
      </c>
      <c r="D139" s="5">
        <f>ROUND(_xlfn.IFNA(VLOOKUP(A139,'Weapon Formulas'!$E$10:$Q$115,11,0),weapon_components!D139),2)</f>
        <v>18</v>
      </c>
      <c r="E139" s="5">
        <f>ROUND(_xlfn.IFNA(VLOOKUP(A139,'Weapon Formulas'!$E$10:$Q$115,12,0),weapon_components!E139),2)</f>
        <v>32</v>
      </c>
      <c r="F139" s="5">
        <f>ROUND(_xlfn.IFNA(VLOOKUP(A139,'Weapon Formulas'!$E$10:$L$115,8,0),weapon_components!F139),2)</f>
        <v>1</v>
      </c>
      <c r="G139" s="5">
        <f>ROUND(_xlfn.IFNA(VLOOKUP(A139,'Weapon Formulas'!$E$10:$P$115,9,0),weapon_components!G139),2)</f>
        <v>0</v>
      </c>
      <c r="H139" s="5">
        <f>ROUND(_xlfn.IFNA(VLOOKUP(A139,'Weapon Formulas'!$E$10:$L$115,7,0),weapon_components!H139),2)</f>
        <v>0.5</v>
      </c>
      <c r="I139">
        <v>2</v>
      </c>
      <c r="J139">
        <v>25</v>
      </c>
      <c r="K139">
        <v>30</v>
      </c>
      <c r="L139" s="5">
        <f>ROUND(_xlfn.IFNA(VLOOKUP(A139,'Weapon Formulas'!$E$10:$Z$115,15,0),weapon_components!L139),1)</f>
        <v>30</v>
      </c>
      <c r="M139">
        <v>0.7</v>
      </c>
      <c r="N139" s="5">
        <f>ROUND(_xlfn.IFNA(VLOOKUP(A139,'Weapon Formulas'!$E$10:$W$115,16,0),weapon_components!N139),2)</f>
        <v>0</v>
      </c>
    </row>
    <row r="140" spans="1:14" x14ac:dyDescent="0.25">
      <c r="A140" s="15" t="s">
        <v>176</v>
      </c>
      <c r="B140">
        <v>40</v>
      </c>
      <c r="C140" s="5">
        <f>ROUND(_xlfn.IFNA(VLOOKUP(A140,'Weapon Formulas'!$E$10:$V$115,17,0),weapon_components!C140),2)</f>
        <v>-40</v>
      </c>
      <c r="D140" s="5">
        <f>ROUND(_xlfn.IFNA(VLOOKUP(A140,'Weapon Formulas'!$E$10:$Q$115,11,0),weapon_components!D140),2)</f>
        <v>39</v>
      </c>
      <c r="E140" s="5">
        <f>ROUND(_xlfn.IFNA(VLOOKUP(A140,'Weapon Formulas'!$E$10:$Q$115,12,0),weapon_components!E140),2)</f>
        <v>68</v>
      </c>
      <c r="F140" s="5">
        <f>ROUND(_xlfn.IFNA(VLOOKUP(A140,'Weapon Formulas'!$E$10:$L$115,8,0),weapon_components!F140),2)</f>
        <v>1</v>
      </c>
      <c r="G140" s="5">
        <f>ROUND(_xlfn.IFNA(VLOOKUP(A140,'Weapon Formulas'!$E$10:$P$115,9,0),weapon_components!G140),2)</f>
        <v>0</v>
      </c>
      <c r="H140" s="5">
        <f>ROUND(_xlfn.IFNA(VLOOKUP(A140,'Weapon Formulas'!$E$10:$L$115,7,0),weapon_components!H140),2)</f>
        <v>0.5</v>
      </c>
      <c r="I140">
        <v>2</v>
      </c>
      <c r="J140">
        <v>25</v>
      </c>
      <c r="K140">
        <v>30</v>
      </c>
      <c r="L140" s="5">
        <f>ROUND(_xlfn.IFNA(VLOOKUP(A140,'Weapon Formulas'!$E$10:$Z$115,15,0),weapon_components!L140),1)</f>
        <v>40</v>
      </c>
      <c r="M140">
        <v>0.65</v>
      </c>
      <c r="N140" s="5">
        <f>ROUND(_xlfn.IFNA(VLOOKUP(A140,'Weapon Formulas'!$E$10:$W$115,16,0),weapon_components!N140),2)</f>
        <v>0</v>
      </c>
    </row>
    <row r="141" spans="1:14" x14ac:dyDescent="0.25">
      <c r="A141" s="15" t="s">
        <v>177</v>
      </c>
      <c r="B141">
        <v>2.5</v>
      </c>
      <c r="C141" s="5">
        <f>ROUND(_xlfn.IFNA(VLOOKUP(A141,'Weapon Formulas'!$E$10:$V$115,17,0),weapon_components!C141),2)</f>
        <v>-2.5</v>
      </c>
      <c r="D141" s="5">
        <f>ROUND(_xlfn.IFNA(VLOOKUP(A141,'Weapon Formulas'!$E$10:$Q$115,11,0),weapon_components!D141),2)</f>
        <v>6</v>
      </c>
      <c r="E141" s="5">
        <f>ROUND(_xlfn.IFNA(VLOOKUP(A141,'Weapon Formulas'!$E$10:$Q$115,12,0),weapon_components!E141),2)</f>
        <v>13</v>
      </c>
      <c r="F141" s="5">
        <f>ROUND(_xlfn.IFNA(VLOOKUP(A141,'Weapon Formulas'!$E$10:$L$115,8,0),weapon_components!F141),2)</f>
        <v>1</v>
      </c>
      <c r="G141" s="5">
        <f>ROUND(_xlfn.IFNA(VLOOKUP(A141,'Weapon Formulas'!$E$10:$P$115,9,0),weapon_components!G141),2)</f>
        <v>0</v>
      </c>
      <c r="H141" s="5">
        <f>ROUND(_xlfn.IFNA(VLOOKUP(A141,'Weapon Formulas'!$E$10:$L$115,7,0),weapon_components!H141),2)</f>
        <v>0.5</v>
      </c>
      <c r="I141">
        <v>2</v>
      </c>
      <c r="J141">
        <v>25</v>
      </c>
      <c r="K141">
        <v>30</v>
      </c>
      <c r="L141" s="5">
        <f>ROUND(_xlfn.IFNA(VLOOKUP(A141,'Weapon Formulas'!$E$10:$Z$115,15,0),weapon_components!L141),1)</f>
        <v>10</v>
      </c>
      <c r="M141">
        <v>0.75</v>
      </c>
      <c r="N141" s="5">
        <f>ROUND(_xlfn.IFNA(VLOOKUP(A141,'Weapon Formulas'!$E$10:$W$115,16,0),weapon_components!N141),2)</f>
        <v>0</v>
      </c>
    </row>
    <row r="142" spans="1:14" x14ac:dyDescent="0.25">
      <c r="A142" s="15" t="s">
        <v>178</v>
      </c>
      <c r="B142">
        <v>5</v>
      </c>
      <c r="C142" s="5">
        <f>ROUND(_xlfn.IFNA(VLOOKUP(A142,'Weapon Formulas'!$E$10:$V$115,17,0),weapon_components!C142),2)</f>
        <v>-5</v>
      </c>
      <c r="D142" s="5">
        <f>ROUND(_xlfn.IFNA(VLOOKUP(A142,'Weapon Formulas'!$E$10:$Q$115,11,0),weapon_components!D142),2)</f>
        <v>15</v>
      </c>
      <c r="E142" s="5">
        <f>ROUND(_xlfn.IFNA(VLOOKUP(A142,'Weapon Formulas'!$E$10:$Q$115,12,0),weapon_components!E142),2)</f>
        <v>23</v>
      </c>
      <c r="F142" s="5">
        <f>ROUND(_xlfn.IFNA(VLOOKUP(A142,'Weapon Formulas'!$E$10:$L$115,8,0),weapon_components!F142),2)</f>
        <v>1</v>
      </c>
      <c r="G142" s="5">
        <f>ROUND(_xlfn.IFNA(VLOOKUP(A142,'Weapon Formulas'!$E$10:$P$115,9,0),weapon_components!G142),2)</f>
        <v>0</v>
      </c>
      <c r="H142" s="5">
        <f>ROUND(_xlfn.IFNA(VLOOKUP(A142,'Weapon Formulas'!$E$10:$L$115,7,0),weapon_components!H142),2)</f>
        <v>0.5</v>
      </c>
      <c r="I142">
        <v>2</v>
      </c>
      <c r="J142">
        <v>25</v>
      </c>
      <c r="K142">
        <v>30</v>
      </c>
      <c r="L142" s="5">
        <f>ROUND(_xlfn.IFNA(VLOOKUP(A142,'Weapon Formulas'!$E$10:$Z$115,15,0),weapon_components!L142),1)</f>
        <v>30</v>
      </c>
      <c r="M142">
        <v>0.7</v>
      </c>
      <c r="N142" s="5">
        <f>ROUND(_xlfn.IFNA(VLOOKUP(A142,'Weapon Formulas'!$E$10:$W$115,16,0),weapon_components!N142),2)</f>
        <v>0</v>
      </c>
    </row>
    <row r="143" spans="1:14" x14ac:dyDescent="0.25">
      <c r="A143" s="15" t="s">
        <v>179</v>
      </c>
      <c r="B143">
        <v>10</v>
      </c>
      <c r="C143" s="5">
        <f>ROUND(_xlfn.IFNA(VLOOKUP(A143,'Weapon Formulas'!$E$10:$V$115,17,0),weapon_components!C143),2)</f>
        <v>-10</v>
      </c>
      <c r="D143" s="5">
        <f>ROUND(_xlfn.IFNA(VLOOKUP(A143,'Weapon Formulas'!$E$10:$Q$115,11,0),weapon_components!D143),2)</f>
        <v>32</v>
      </c>
      <c r="E143" s="5">
        <f>ROUND(_xlfn.IFNA(VLOOKUP(A143,'Weapon Formulas'!$E$10:$Q$115,12,0),weapon_components!E143),2)</f>
        <v>49</v>
      </c>
      <c r="F143" s="5">
        <f>ROUND(_xlfn.IFNA(VLOOKUP(A143,'Weapon Formulas'!$E$10:$L$115,8,0),weapon_components!F143),2)</f>
        <v>1</v>
      </c>
      <c r="G143" s="5">
        <f>ROUND(_xlfn.IFNA(VLOOKUP(A143,'Weapon Formulas'!$E$10:$P$115,9,0),weapon_components!G143),2)</f>
        <v>0</v>
      </c>
      <c r="H143" s="5">
        <f>ROUND(_xlfn.IFNA(VLOOKUP(A143,'Weapon Formulas'!$E$10:$L$115,7,0),weapon_components!H143),2)</f>
        <v>0.5</v>
      </c>
      <c r="I143">
        <v>2</v>
      </c>
      <c r="J143">
        <v>25</v>
      </c>
      <c r="K143">
        <v>30</v>
      </c>
      <c r="L143" s="5">
        <f>ROUND(_xlfn.IFNA(VLOOKUP(A143,'Weapon Formulas'!$E$10:$Z$115,15,0),weapon_components!L143),1)</f>
        <v>40</v>
      </c>
      <c r="M143">
        <v>0.65</v>
      </c>
      <c r="N143" s="5">
        <f>ROUND(_xlfn.IFNA(VLOOKUP(A143,'Weapon Formulas'!$E$10:$W$115,16,0),weapon_components!N143),2)</f>
        <v>0</v>
      </c>
    </row>
    <row r="144" spans="1:14" x14ac:dyDescent="0.25">
      <c r="A144" s="15" t="s">
        <v>180</v>
      </c>
      <c r="B144">
        <v>5</v>
      </c>
      <c r="C144" s="5">
        <f>ROUND(_xlfn.IFNA(VLOOKUP(A144,'Weapon Formulas'!$E$10:$V$115,17,0),weapon_components!C144),2)</f>
        <v>-5</v>
      </c>
      <c r="D144" s="5">
        <f>ROUND(_xlfn.IFNA(VLOOKUP(A144,'Weapon Formulas'!$E$10:$Q$115,11,0),weapon_components!D144),2)</f>
        <v>8</v>
      </c>
      <c r="E144" s="5">
        <f>ROUND(_xlfn.IFNA(VLOOKUP(A144,'Weapon Formulas'!$E$10:$Q$115,12,0),weapon_components!E144),2)</f>
        <v>14</v>
      </c>
      <c r="F144" s="5">
        <f>ROUND(_xlfn.IFNA(VLOOKUP(A144,'Weapon Formulas'!$E$10:$L$115,8,0),weapon_components!F144),2)</f>
        <v>1</v>
      </c>
      <c r="G144" s="5">
        <f>ROUND(_xlfn.IFNA(VLOOKUP(A144,'Weapon Formulas'!$E$10:$P$115,9,0),weapon_components!G144),2)</f>
        <v>0</v>
      </c>
      <c r="H144" s="5">
        <f>ROUND(_xlfn.IFNA(VLOOKUP(A144,'Weapon Formulas'!$E$10:$L$115,7,0),weapon_components!H144),2)</f>
        <v>0.5</v>
      </c>
      <c r="I144">
        <v>2</v>
      </c>
      <c r="J144">
        <v>25</v>
      </c>
      <c r="K144">
        <v>30</v>
      </c>
      <c r="L144" s="5">
        <f>ROUND(_xlfn.IFNA(VLOOKUP(A144,'Weapon Formulas'!$E$10:$Z$115,15,0),weapon_components!L144),1)</f>
        <v>10</v>
      </c>
      <c r="M144">
        <v>0.75</v>
      </c>
      <c r="N144" s="5">
        <f>ROUND(_xlfn.IFNA(VLOOKUP(A144,'Weapon Formulas'!$E$10:$W$115,16,0),weapon_components!N144),2)</f>
        <v>0</v>
      </c>
    </row>
    <row r="145" spans="1:14" x14ac:dyDescent="0.25">
      <c r="A145" s="15" t="s">
        <v>181</v>
      </c>
      <c r="B145">
        <v>10</v>
      </c>
      <c r="C145" s="5">
        <f>ROUND(_xlfn.IFNA(VLOOKUP(A145,'Weapon Formulas'!$E$10:$V$115,17,0),weapon_components!C145),2)</f>
        <v>-10</v>
      </c>
      <c r="D145" s="5">
        <f>ROUND(_xlfn.IFNA(VLOOKUP(A145,'Weapon Formulas'!$E$10:$Q$115,11,0),weapon_components!D145),2)</f>
        <v>16</v>
      </c>
      <c r="E145" s="5">
        <f>ROUND(_xlfn.IFNA(VLOOKUP(A145,'Weapon Formulas'!$E$10:$Q$115,12,0),weapon_components!E145),2)</f>
        <v>28</v>
      </c>
      <c r="F145" s="5">
        <f>ROUND(_xlfn.IFNA(VLOOKUP(A145,'Weapon Formulas'!$E$10:$L$115,8,0),weapon_components!F145),2)</f>
        <v>1</v>
      </c>
      <c r="G145" s="5">
        <f>ROUND(_xlfn.IFNA(VLOOKUP(A145,'Weapon Formulas'!$E$10:$P$115,9,0),weapon_components!G145),2)</f>
        <v>0</v>
      </c>
      <c r="H145" s="5">
        <f>ROUND(_xlfn.IFNA(VLOOKUP(A145,'Weapon Formulas'!$E$10:$L$115,7,0),weapon_components!H145),2)</f>
        <v>0.5</v>
      </c>
      <c r="I145">
        <v>2</v>
      </c>
      <c r="J145">
        <v>25</v>
      </c>
      <c r="K145">
        <v>30</v>
      </c>
      <c r="L145" s="5">
        <f>ROUND(_xlfn.IFNA(VLOOKUP(A145,'Weapon Formulas'!$E$10:$Z$115,15,0),weapon_components!L145),1)</f>
        <v>30</v>
      </c>
      <c r="M145">
        <v>0.7</v>
      </c>
      <c r="N145" s="5">
        <f>ROUND(_xlfn.IFNA(VLOOKUP(A145,'Weapon Formulas'!$E$10:$W$115,16,0),weapon_components!N145),2)</f>
        <v>0</v>
      </c>
    </row>
    <row r="146" spans="1:14" x14ac:dyDescent="0.25">
      <c r="A146" s="15" t="s">
        <v>182</v>
      </c>
      <c r="B146">
        <v>20</v>
      </c>
      <c r="C146" s="5">
        <f>ROUND(_xlfn.IFNA(VLOOKUP(A146,'Weapon Formulas'!$E$10:$V$115,17,0),weapon_components!C146),2)</f>
        <v>-20</v>
      </c>
      <c r="D146" s="5">
        <f>ROUND(_xlfn.IFNA(VLOOKUP(A146,'Weapon Formulas'!$E$10:$Q$115,11,0),weapon_components!D146),2)</f>
        <v>35</v>
      </c>
      <c r="E146" s="5">
        <f>ROUND(_xlfn.IFNA(VLOOKUP(A146,'Weapon Formulas'!$E$10:$Q$115,12,0),weapon_components!E146),2)</f>
        <v>59</v>
      </c>
      <c r="F146" s="5">
        <f>ROUND(_xlfn.IFNA(VLOOKUP(A146,'Weapon Formulas'!$E$10:$L$115,8,0),weapon_components!F146),2)</f>
        <v>1</v>
      </c>
      <c r="G146" s="5">
        <f>ROUND(_xlfn.IFNA(VLOOKUP(A146,'Weapon Formulas'!$E$10:$P$115,9,0),weapon_components!G146),2)</f>
        <v>0</v>
      </c>
      <c r="H146" s="5">
        <f>ROUND(_xlfn.IFNA(VLOOKUP(A146,'Weapon Formulas'!$E$10:$L$115,7,0),weapon_components!H146),2)</f>
        <v>0.5</v>
      </c>
      <c r="I146">
        <v>2</v>
      </c>
      <c r="J146">
        <v>25</v>
      </c>
      <c r="K146">
        <v>30</v>
      </c>
      <c r="L146" s="5">
        <f>ROUND(_xlfn.IFNA(VLOOKUP(A146,'Weapon Formulas'!$E$10:$Z$115,15,0),weapon_components!L146),1)</f>
        <v>40</v>
      </c>
      <c r="M146">
        <v>0.65</v>
      </c>
      <c r="N146" s="5">
        <f>ROUND(_xlfn.IFNA(VLOOKUP(A146,'Weapon Formulas'!$E$10:$W$115,16,0),weapon_components!N146),2)</f>
        <v>0</v>
      </c>
    </row>
    <row r="147" spans="1:14" x14ac:dyDescent="0.25">
      <c r="A147" s="15" t="s">
        <v>183</v>
      </c>
      <c r="B147">
        <v>7.5</v>
      </c>
      <c r="C147" s="5">
        <f>ROUND(_xlfn.IFNA(VLOOKUP(A147,'Weapon Formulas'!$E$10:$V$115,17,0),weapon_components!C147),2)</f>
        <v>-7.5</v>
      </c>
      <c r="D147" s="5">
        <f>ROUND(_xlfn.IFNA(VLOOKUP(A147,'Weapon Formulas'!$E$10:$Q$115,11,0),weapon_components!D147),2)</f>
        <v>9</v>
      </c>
      <c r="E147" s="5">
        <f>ROUND(_xlfn.IFNA(VLOOKUP(A147,'Weapon Formulas'!$E$10:$Q$115,12,0),weapon_components!E147),2)</f>
        <v>16</v>
      </c>
      <c r="F147" s="5">
        <f>ROUND(_xlfn.IFNA(VLOOKUP(A147,'Weapon Formulas'!$E$10:$L$115,8,0),weapon_components!F147),2)</f>
        <v>1</v>
      </c>
      <c r="G147" s="5">
        <f>ROUND(_xlfn.IFNA(VLOOKUP(A147,'Weapon Formulas'!$E$10:$P$115,9,0),weapon_components!G147),2)</f>
        <v>0</v>
      </c>
      <c r="H147" s="5">
        <f>ROUND(_xlfn.IFNA(VLOOKUP(A147,'Weapon Formulas'!$E$10:$L$115,7,0),weapon_components!H147),2)</f>
        <v>0.5</v>
      </c>
      <c r="I147">
        <v>2</v>
      </c>
      <c r="J147">
        <v>25</v>
      </c>
      <c r="K147">
        <v>30</v>
      </c>
      <c r="L147" s="5">
        <f>ROUND(_xlfn.IFNA(VLOOKUP(A147,'Weapon Formulas'!$E$10:$Z$115,15,0),weapon_components!L147),1)</f>
        <v>10</v>
      </c>
      <c r="M147">
        <v>0.75</v>
      </c>
      <c r="N147" s="5">
        <f>ROUND(_xlfn.IFNA(VLOOKUP(A147,'Weapon Formulas'!$E$10:$W$115,16,0),weapon_components!N147),2)</f>
        <v>0</v>
      </c>
    </row>
    <row r="148" spans="1:14" x14ac:dyDescent="0.25">
      <c r="A148" s="15" t="s">
        <v>184</v>
      </c>
      <c r="B148">
        <v>15</v>
      </c>
      <c r="C148" s="5">
        <f>ROUND(_xlfn.IFNA(VLOOKUP(A148,'Weapon Formulas'!$E$10:$V$115,17,0),weapon_components!C148),2)</f>
        <v>-15</v>
      </c>
      <c r="D148" s="5">
        <f>ROUND(_xlfn.IFNA(VLOOKUP(A148,'Weapon Formulas'!$E$10:$Q$115,11,0),weapon_components!D148),2)</f>
        <v>18</v>
      </c>
      <c r="E148" s="5">
        <f>ROUND(_xlfn.IFNA(VLOOKUP(A148,'Weapon Formulas'!$E$10:$Q$115,12,0),weapon_components!E148),2)</f>
        <v>32</v>
      </c>
      <c r="F148" s="5">
        <f>ROUND(_xlfn.IFNA(VLOOKUP(A148,'Weapon Formulas'!$E$10:$L$115,8,0),weapon_components!F148),2)</f>
        <v>1</v>
      </c>
      <c r="G148" s="5">
        <f>ROUND(_xlfn.IFNA(VLOOKUP(A148,'Weapon Formulas'!$E$10:$P$115,9,0),weapon_components!G148),2)</f>
        <v>0</v>
      </c>
      <c r="H148" s="5">
        <f>ROUND(_xlfn.IFNA(VLOOKUP(A148,'Weapon Formulas'!$E$10:$L$115,7,0),weapon_components!H148),2)</f>
        <v>0.5</v>
      </c>
      <c r="I148">
        <v>2</v>
      </c>
      <c r="J148">
        <v>25</v>
      </c>
      <c r="K148">
        <v>30</v>
      </c>
      <c r="L148" s="5">
        <f>ROUND(_xlfn.IFNA(VLOOKUP(A148,'Weapon Formulas'!$E$10:$Z$115,15,0),weapon_components!L148),1)</f>
        <v>30</v>
      </c>
      <c r="M148">
        <v>0.7</v>
      </c>
      <c r="N148" s="5">
        <f>ROUND(_xlfn.IFNA(VLOOKUP(A148,'Weapon Formulas'!$E$10:$W$115,16,0),weapon_components!N148),2)</f>
        <v>0</v>
      </c>
    </row>
    <row r="149" spans="1:14" x14ac:dyDescent="0.25">
      <c r="A149" s="15" t="s">
        <v>185</v>
      </c>
      <c r="B149">
        <v>30</v>
      </c>
      <c r="C149" s="5">
        <f>ROUND(_xlfn.IFNA(VLOOKUP(A149,'Weapon Formulas'!$E$10:$V$115,17,0),weapon_components!C149),2)</f>
        <v>-30</v>
      </c>
      <c r="D149" s="5">
        <f>ROUND(_xlfn.IFNA(VLOOKUP(A149,'Weapon Formulas'!$E$10:$Q$115,11,0),weapon_components!D149),2)</f>
        <v>39</v>
      </c>
      <c r="E149" s="5">
        <f>ROUND(_xlfn.IFNA(VLOOKUP(A149,'Weapon Formulas'!$E$10:$Q$115,12,0),weapon_components!E149),2)</f>
        <v>68</v>
      </c>
      <c r="F149" s="5">
        <f>ROUND(_xlfn.IFNA(VLOOKUP(A149,'Weapon Formulas'!$E$10:$L$115,8,0),weapon_components!F149),2)</f>
        <v>1</v>
      </c>
      <c r="G149" s="5">
        <f>ROUND(_xlfn.IFNA(VLOOKUP(A149,'Weapon Formulas'!$E$10:$P$115,9,0),weapon_components!G149),2)</f>
        <v>0</v>
      </c>
      <c r="H149" s="5">
        <f>ROUND(_xlfn.IFNA(VLOOKUP(A149,'Weapon Formulas'!$E$10:$L$115,7,0),weapon_components!H149),2)</f>
        <v>0.5</v>
      </c>
      <c r="I149">
        <v>2</v>
      </c>
      <c r="J149">
        <v>25</v>
      </c>
      <c r="K149">
        <v>30</v>
      </c>
      <c r="L149" s="5">
        <f>ROUND(_xlfn.IFNA(VLOOKUP(A149,'Weapon Formulas'!$E$10:$Z$115,15,0),weapon_components!L149),1)</f>
        <v>40</v>
      </c>
      <c r="M149">
        <v>0.65</v>
      </c>
      <c r="N149" s="5">
        <f>ROUND(_xlfn.IFNA(VLOOKUP(A149,'Weapon Formulas'!$E$10:$W$115,16,0),weapon_components!N149),2)</f>
        <v>0</v>
      </c>
    </row>
    <row r="150" spans="1:14" x14ac:dyDescent="0.25">
      <c r="A150" s="15" t="s">
        <v>186</v>
      </c>
      <c r="B150">
        <v>10</v>
      </c>
      <c r="C150" s="5">
        <f>ROUND(_xlfn.IFNA(VLOOKUP(A150,'Weapon Formulas'!$E$10:$V$115,17,0),weapon_components!C150),2)</f>
        <v>-10</v>
      </c>
      <c r="D150" s="5">
        <f>ROUND(_xlfn.IFNA(VLOOKUP(A150,'Weapon Formulas'!$E$10:$Q$115,11,0),weapon_components!D150),2)</f>
        <v>10</v>
      </c>
      <c r="E150" s="5">
        <f>ROUND(_xlfn.IFNA(VLOOKUP(A150,'Weapon Formulas'!$E$10:$Q$115,12,0),weapon_components!E150),2)</f>
        <v>18</v>
      </c>
      <c r="F150" s="5">
        <f>ROUND(_xlfn.IFNA(VLOOKUP(A150,'Weapon Formulas'!$E$10:$L$115,8,0),weapon_components!F150),2)</f>
        <v>1</v>
      </c>
      <c r="G150" s="5">
        <f>ROUND(_xlfn.IFNA(VLOOKUP(A150,'Weapon Formulas'!$E$10:$P$115,9,0),weapon_components!G150),2)</f>
        <v>0</v>
      </c>
      <c r="H150" s="5">
        <f>ROUND(_xlfn.IFNA(VLOOKUP(A150,'Weapon Formulas'!$E$10:$L$115,7,0),weapon_components!H150),2)</f>
        <v>0.5</v>
      </c>
      <c r="I150">
        <v>2</v>
      </c>
      <c r="J150">
        <v>25</v>
      </c>
      <c r="K150">
        <v>30</v>
      </c>
      <c r="L150" s="5">
        <f>ROUND(_xlfn.IFNA(VLOOKUP(A150,'Weapon Formulas'!$E$10:$Z$115,15,0),weapon_components!L150),1)</f>
        <v>10</v>
      </c>
      <c r="M150">
        <v>0.75</v>
      </c>
      <c r="N150" s="5">
        <f>ROUND(_xlfn.IFNA(VLOOKUP(A150,'Weapon Formulas'!$E$10:$W$115,16,0),weapon_components!N150),2)</f>
        <v>0</v>
      </c>
    </row>
    <row r="151" spans="1:14" x14ac:dyDescent="0.25">
      <c r="A151" s="15" t="s">
        <v>187</v>
      </c>
      <c r="B151">
        <v>20</v>
      </c>
      <c r="C151" s="5">
        <f>ROUND(_xlfn.IFNA(VLOOKUP(A151,'Weapon Formulas'!$E$10:$V$115,17,0),weapon_components!C151),2)</f>
        <v>-20</v>
      </c>
      <c r="D151" s="5">
        <f>ROUND(_xlfn.IFNA(VLOOKUP(A151,'Weapon Formulas'!$E$10:$Q$115,11,0),weapon_components!D151),2)</f>
        <v>20</v>
      </c>
      <c r="E151" s="5">
        <f>ROUND(_xlfn.IFNA(VLOOKUP(A151,'Weapon Formulas'!$E$10:$Q$115,12,0),weapon_components!E151),2)</f>
        <v>36</v>
      </c>
      <c r="F151" s="5">
        <f>ROUND(_xlfn.IFNA(VLOOKUP(A151,'Weapon Formulas'!$E$10:$L$115,8,0),weapon_components!F151),2)</f>
        <v>1</v>
      </c>
      <c r="G151" s="5">
        <f>ROUND(_xlfn.IFNA(VLOOKUP(A151,'Weapon Formulas'!$E$10:$P$115,9,0),weapon_components!G151),2)</f>
        <v>0</v>
      </c>
      <c r="H151" s="5">
        <f>ROUND(_xlfn.IFNA(VLOOKUP(A151,'Weapon Formulas'!$E$10:$L$115,7,0),weapon_components!H151),2)</f>
        <v>0.5</v>
      </c>
      <c r="I151">
        <v>2</v>
      </c>
      <c r="J151">
        <v>25</v>
      </c>
      <c r="K151">
        <v>30</v>
      </c>
      <c r="L151" s="5">
        <f>ROUND(_xlfn.IFNA(VLOOKUP(A151,'Weapon Formulas'!$E$10:$Z$115,15,0),weapon_components!L151),1)</f>
        <v>30</v>
      </c>
      <c r="M151">
        <v>0.7</v>
      </c>
      <c r="N151" s="5">
        <f>ROUND(_xlfn.IFNA(VLOOKUP(A151,'Weapon Formulas'!$E$10:$W$115,16,0),weapon_components!N151),2)</f>
        <v>0</v>
      </c>
    </row>
    <row r="152" spans="1:14" x14ac:dyDescent="0.25">
      <c r="A152" s="15" t="s">
        <v>188</v>
      </c>
      <c r="B152">
        <v>40</v>
      </c>
      <c r="C152" s="5">
        <f>ROUND(_xlfn.IFNA(VLOOKUP(A152,'Weapon Formulas'!$E$10:$V$115,17,0),weapon_components!C152),2)</f>
        <v>-40</v>
      </c>
      <c r="D152" s="5">
        <f>ROUND(_xlfn.IFNA(VLOOKUP(A152,'Weapon Formulas'!$E$10:$Q$115,11,0),weapon_components!D152),2)</f>
        <v>43</v>
      </c>
      <c r="E152" s="5">
        <f>ROUND(_xlfn.IFNA(VLOOKUP(A152,'Weapon Formulas'!$E$10:$Q$115,12,0),weapon_components!E152),2)</f>
        <v>78</v>
      </c>
      <c r="F152" s="5">
        <f>ROUND(_xlfn.IFNA(VLOOKUP(A152,'Weapon Formulas'!$E$10:$L$115,8,0),weapon_components!F152),2)</f>
        <v>1</v>
      </c>
      <c r="G152" s="5">
        <f>ROUND(_xlfn.IFNA(VLOOKUP(A152,'Weapon Formulas'!$E$10:$P$115,9,0),weapon_components!G152),2)</f>
        <v>0</v>
      </c>
      <c r="H152" s="5">
        <f>ROUND(_xlfn.IFNA(VLOOKUP(A152,'Weapon Formulas'!$E$10:$L$115,7,0),weapon_components!H152),2)</f>
        <v>0.5</v>
      </c>
      <c r="I152">
        <v>2</v>
      </c>
      <c r="J152">
        <v>25</v>
      </c>
      <c r="K152">
        <v>30</v>
      </c>
      <c r="L152" s="5">
        <f>ROUND(_xlfn.IFNA(VLOOKUP(A152,'Weapon Formulas'!$E$10:$Z$115,15,0),weapon_components!L152),1)</f>
        <v>40</v>
      </c>
      <c r="M152">
        <v>0.65</v>
      </c>
      <c r="N152" s="5">
        <f>ROUND(_xlfn.IFNA(VLOOKUP(A152,'Weapon Formulas'!$E$10:$W$115,16,0),weapon_components!N152),2)</f>
        <v>0</v>
      </c>
    </row>
    <row r="153" spans="1:14" x14ac:dyDescent="0.25">
      <c r="A153" s="15" t="s">
        <v>189</v>
      </c>
      <c r="C153" s="5"/>
      <c r="D153" s="5"/>
      <c r="E153" s="5"/>
      <c r="F153" s="5"/>
      <c r="G153" s="5"/>
      <c r="H153" s="5"/>
      <c r="L153" s="5"/>
      <c r="N153" s="5"/>
    </row>
    <row r="154" spans="1:14" x14ac:dyDescent="0.25">
      <c r="A154" s="15" t="s">
        <v>190</v>
      </c>
      <c r="B154">
        <v>15</v>
      </c>
      <c r="C154" s="5">
        <f>ROUND(_xlfn.IFNA(VLOOKUP(A154,'Weapon Formulas'!$E$10:$V$115,17,0),weapon_components!C154),2)</f>
        <v>-15</v>
      </c>
      <c r="D154" s="5">
        <f>ROUND(_xlfn.IFNA(VLOOKUP(A154,'Weapon Formulas'!$E$10:$Q$115,11,0),weapon_components!D154),2)</f>
        <v>19</v>
      </c>
      <c r="E154" s="5">
        <f>ROUND(_xlfn.IFNA(VLOOKUP(A154,'Weapon Formulas'!$E$10:$Q$115,12,0),weapon_components!E154),2)</f>
        <v>29</v>
      </c>
      <c r="F154" s="5">
        <f>ROUND(_xlfn.IFNA(VLOOKUP(A154,'Weapon Formulas'!$E$10:$L$115,8,0),weapon_components!F154),2)</f>
        <v>1</v>
      </c>
      <c r="G154" s="5">
        <f>ROUND(_xlfn.IFNA(VLOOKUP(A154,'Weapon Formulas'!$E$10:$P$115,9,0),weapon_components!G154),2)</f>
        <v>0</v>
      </c>
      <c r="H154" s="5">
        <f>ROUND(_xlfn.IFNA(VLOOKUP(A154,'Weapon Formulas'!$E$10:$L$115,7,0),weapon_components!H154),2)</f>
        <v>1</v>
      </c>
      <c r="I154">
        <v>2</v>
      </c>
      <c r="J154">
        <v>25</v>
      </c>
      <c r="K154">
        <v>30</v>
      </c>
      <c r="L154" s="5">
        <f>ROUND(_xlfn.IFNA(VLOOKUP(A154,'Weapon Formulas'!$E$10:$Z$115,15,0),weapon_components!L154),1)</f>
        <v>30</v>
      </c>
      <c r="M154">
        <v>0.85</v>
      </c>
      <c r="N154" s="5">
        <f>ROUND(_xlfn.IFNA(VLOOKUP(A154,'Weapon Formulas'!$E$10:$W$115,16,0),weapon_components!N154),2)</f>
        <v>0</v>
      </c>
    </row>
    <row r="155" spans="1:14" x14ac:dyDescent="0.25">
      <c r="A155" s="15" t="s">
        <v>191</v>
      </c>
      <c r="B155">
        <v>5</v>
      </c>
      <c r="C155" s="5">
        <f>ROUND(_xlfn.IFNA(VLOOKUP(A155,'Weapon Formulas'!$E$10:$V$115,17,0),weapon_components!C155),2)</f>
        <v>-5</v>
      </c>
      <c r="D155" s="5">
        <f>ROUND(_xlfn.IFNA(VLOOKUP(A155,'Weapon Formulas'!$E$10:$Q$115,11,0),weapon_components!D155),2)</f>
        <v>7</v>
      </c>
      <c r="E155" s="5">
        <f>ROUND(_xlfn.IFNA(VLOOKUP(A155,'Weapon Formulas'!$E$10:$Q$115,12,0),weapon_components!E155),2)</f>
        <v>12</v>
      </c>
      <c r="F155" s="5">
        <f>ROUND(_xlfn.IFNA(VLOOKUP(A155,'Weapon Formulas'!$E$10:$L$115,8,0),weapon_components!F155),2)</f>
        <v>1</v>
      </c>
      <c r="G155" s="5">
        <f>ROUND(_xlfn.IFNA(VLOOKUP(A155,'Weapon Formulas'!$E$10:$P$115,9,0),weapon_components!G155),2)</f>
        <v>0</v>
      </c>
      <c r="H155" s="5">
        <f>ROUND(_xlfn.IFNA(VLOOKUP(A155,'Weapon Formulas'!$E$10:$L$115,7,0),weapon_components!H155),2)</f>
        <v>0.5</v>
      </c>
      <c r="I155">
        <v>2</v>
      </c>
      <c r="J155">
        <v>25</v>
      </c>
      <c r="K155">
        <v>30</v>
      </c>
      <c r="L155" s="5">
        <f>ROUND(_xlfn.IFNA(VLOOKUP(A155,'Weapon Formulas'!$E$10:$Z$115,15,0),weapon_components!L155),1)</f>
        <v>30</v>
      </c>
      <c r="M155">
        <v>0.75</v>
      </c>
      <c r="N155" s="5">
        <f>ROUND(_xlfn.IFNA(VLOOKUP(A155,'Weapon Formulas'!$E$10:$W$115,16,0),weapon_components!N155),2)</f>
        <v>0</v>
      </c>
    </row>
    <row r="156" spans="1:14" x14ac:dyDescent="0.25">
      <c r="A156" s="15" t="s">
        <v>192</v>
      </c>
      <c r="B156">
        <v>10</v>
      </c>
      <c r="C156" s="5">
        <f>ROUND(_xlfn.IFNA(VLOOKUP(A156,'Weapon Formulas'!$E$10:$V$115,17,0),weapon_components!C156),2)</f>
        <v>-10</v>
      </c>
      <c r="D156" s="5">
        <f>ROUND(_xlfn.IFNA(VLOOKUP(A156,'Weapon Formulas'!$E$10:$Q$115,11,0),weapon_components!D156),2)</f>
        <v>16</v>
      </c>
      <c r="E156" s="5">
        <f>ROUND(_xlfn.IFNA(VLOOKUP(A156,'Weapon Formulas'!$E$10:$Q$115,12,0),weapon_components!E156),2)</f>
        <v>23</v>
      </c>
      <c r="F156" s="5">
        <f>ROUND(_xlfn.IFNA(VLOOKUP(A156,'Weapon Formulas'!$E$10:$L$115,8,0),weapon_components!F156),2)</f>
        <v>1</v>
      </c>
      <c r="G156" s="5">
        <f>ROUND(_xlfn.IFNA(VLOOKUP(A156,'Weapon Formulas'!$E$10:$P$115,9,0),weapon_components!G156),2)</f>
        <v>0</v>
      </c>
      <c r="H156" s="5">
        <f>ROUND(_xlfn.IFNA(VLOOKUP(A156,'Weapon Formulas'!$E$10:$L$115,7,0),weapon_components!H156),2)</f>
        <v>0.5</v>
      </c>
      <c r="I156">
        <v>2</v>
      </c>
      <c r="J156">
        <v>25</v>
      </c>
      <c r="K156">
        <v>30</v>
      </c>
      <c r="L156" s="5">
        <f>ROUND(_xlfn.IFNA(VLOOKUP(A156,'Weapon Formulas'!$E$10:$Z$115,15,0),weapon_components!L156),1)</f>
        <v>30</v>
      </c>
      <c r="M156">
        <v>0.7</v>
      </c>
      <c r="N156" s="5">
        <f>ROUND(_xlfn.IFNA(VLOOKUP(A156,'Weapon Formulas'!$E$10:$W$115,16,0),weapon_components!N156),2)</f>
        <v>0</v>
      </c>
    </row>
    <row r="157" spans="1:14" x14ac:dyDescent="0.25">
      <c r="A157" s="15" t="s">
        <v>193</v>
      </c>
      <c r="B157">
        <v>20</v>
      </c>
      <c r="C157" s="5">
        <f>ROUND(_xlfn.IFNA(VLOOKUP(A157,'Weapon Formulas'!$E$10:$V$115,17,0),weapon_components!C157),2)</f>
        <v>-20</v>
      </c>
      <c r="D157" s="5">
        <f>ROUND(_xlfn.IFNA(VLOOKUP(A157,'Weapon Formulas'!$E$10:$Q$115,11,0),weapon_components!D157),2)</f>
        <v>34</v>
      </c>
      <c r="E157" s="5">
        <f>ROUND(_xlfn.IFNA(VLOOKUP(A157,'Weapon Formulas'!$E$10:$Q$115,12,0),weapon_components!E157),2)</f>
        <v>49</v>
      </c>
      <c r="F157" s="5">
        <f>ROUND(_xlfn.IFNA(VLOOKUP(A157,'Weapon Formulas'!$E$10:$L$115,8,0),weapon_components!F157),2)</f>
        <v>1</v>
      </c>
      <c r="G157" s="5">
        <f>ROUND(_xlfn.IFNA(VLOOKUP(A157,'Weapon Formulas'!$E$10:$P$115,9,0),weapon_components!G157),2)</f>
        <v>0</v>
      </c>
      <c r="H157" s="5">
        <f>ROUND(_xlfn.IFNA(VLOOKUP(A157,'Weapon Formulas'!$E$10:$L$115,7,0),weapon_components!H157),2)</f>
        <v>0.5</v>
      </c>
      <c r="I157">
        <v>2</v>
      </c>
      <c r="J157">
        <v>25</v>
      </c>
      <c r="K157">
        <v>30</v>
      </c>
      <c r="L157" s="5">
        <f>ROUND(_xlfn.IFNA(VLOOKUP(A157,'Weapon Formulas'!$E$10:$Z$115,15,0),weapon_components!L157),1)</f>
        <v>30</v>
      </c>
      <c r="M157">
        <v>0.65</v>
      </c>
      <c r="N157" s="5">
        <f>ROUND(_xlfn.IFNA(VLOOKUP(A157,'Weapon Formulas'!$E$10:$W$115,16,0),weapon_components!N157),2)</f>
        <v>0</v>
      </c>
    </row>
    <row r="158" spans="1:14" x14ac:dyDescent="0.25">
      <c r="A158" s="15" t="s">
        <v>194</v>
      </c>
      <c r="B158">
        <v>7.5</v>
      </c>
      <c r="C158" s="5">
        <f>ROUND(_xlfn.IFNA(VLOOKUP(A158,'Weapon Formulas'!$E$10:$V$115,17,0),weapon_components!C158),2)</f>
        <v>-7.5</v>
      </c>
      <c r="D158" s="5">
        <f>ROUND(_xlfn.IFNA(VLOOKUP(A158,'Weapon Formulas'!$E$10:$Q$115,11,0),weapon_components!D158),2)</f>
        <v>9</v>
      </c>
      <c r="E158" s="5">
        <f>ROUND(_xlfn.IFNA(VLOOKUP(A158,'Weapon Formulas'!$E$10:$Q$115,12,0),weapon_components!E158),2)</f>
        <v>15</v>
      </c>
      <c r="F158" s="5">
        <f>ROUND(_xlfn.IFNA(VLOOKUP(A158,'Weapon Formulas'!$E$10:$L$115,8,0),weapon_components!F158),2)</f>
        <v>1</v>
      </c>
      <c r="G158" s="5">
        <f>ROUND(_xlfn.IFNA(VLOOKUP(A158,'Weapon Formulas'!$E$10:$P$115,9,0),weapon_components!G158),2)</f>
        <v>0</v>
      </c>
      <c r="H158" s="5">
        <f>ROUND(_xlfn.IFNA(VLOOKUP(A158,'Weapon Formulas'!$E$10:$L$115,7,0),weapon_components!H158),2)</f>
        <v>0.25</v>
      </c>
      <c r="I158">
        <v>2</v>
      </c>
      <c r="J158">
        <v>25</v>
      </c>
      <c r="K158">
        <v>30</v>
      </c>
      <c r="L158" s="5">
        <f>ROUND(_xlfn.IFNA(VLOOKUP(A158,'Weapon Formulas'!$E$10:$Z$115,15,0),weapon_components!L158),1)</f>
        <v>30</v>
      </c>
      <c r="M158">
        <v>0.75</v>
      </c>
      <c r="N158" s="5">
        <f>ROUND(_xlfn.IFNA(VLOOKUP(A158,'Weapon Formulas'!$E$10:$W$115,16,0),weapon_components!N158),2)</f>
        <v>0</v>
      </c>
    </row>
    <row r="159" spans="1:14" x14ac:dyDescent="0.25">
      <c r="A159" s="15" t="s">
        <v>195</v>
      </c>
      <c r="B159">
        <v>15</v>
      </c>
      <c r="C159" s="5">
        <f>ROUND(_xlfn.IFNA(VLOOKUP(A159,'Weapon Formulas'!$E$10:$V$115,17,0),weapon_components!C159),2)</f>
        <v>-15</v>
      </c>
      <c r="D159" s="5">
        <f>ROUND(_xlfn.IFNA(VLOOKUP(A159,'Weapon Formulas'!$E$10:$Q$115,11,0),weapon_components!D159),2)</f>
        <v>17</v>
      </c>
      <c r="E159" s="5">
        <f>ROUND(_xlfn.IFNA(VLOOKUP(A159,'Weapon Formulas'!$E$10:$Q$115,12,0),weapon_components!E159),2)</f>
        <v>30</v>
      </c>
      <c r="F159" s="5">
        <f>ROUND(_xlfn.IFNA(VLOOKUP(A159,'Weapon Formulas'!$E$10:$L$115,8,0),weapon_components!F159),2)</f>
        <v>1</v>
      </c>
      <c r="G159" s="5">
        <f>ROUND(_xlfn.IFNA(VLOOKUP(A159,'Weapon Formulas'!$E$10:$P$115,9,0),weapon_components!G159),2)</f>
        <v>0</v>
      </c>
      <c r="H159" s="5">
        <f>ROUND(_xlfn.IFNA(VLOOKUP(A159,'Weapon Formulas'!$E$10:$L$115,7,0),weapon_components!H159),2)</f>
        <v>0.25</v>
      </c>
      <c r="I159">
        <v>2</v>
      </c>
      <c r="J159">
        <v>25</v>
      </c>
      <c r="K159">
        <v>30</v>
      </c>
      <c r="L159" s="5">
        <f>ROUND(_xlfn.IFNA(VLOOKUP(A159,'Weapon Formulas'!$E$10:$Z$115,15,0),weapon_components!L159),1)</f>
        <v>30</v>
      </c>
      <c r="M159">
        <v>0.75</v>
      </c>
      <c r="N159" s="5">
        <f>ROUND(_xlfn.IFNA(VLOOKUP(A159,'Weapon Formulas'!$E$10:$W$115,16,0),weapon_components!N159),2)</f>
        <v>0</v>
      </c>
    </row>
    <row r="160" spans="1:14" x14ac:dyDescent="0.25">
      <c r="A160" s="15" t="s">
        <v>196</v>
      </c>
      <c r="B160">
        <v>7.5</v>
      </c>
      <c r="C160" s="5">
        <f>ROUND(_xlfn.IFNA(VLOOKUP(A160,'Weapon Formulas'!$E$10:$V$115,17,0),weapon_components!C160),2)</f>
        <v>-7.5</v>
      </c>
      <c r="D160" s="5">
        <f>ROUND(_xlfn.IFNA(VLOOKUP(A160,'Weapon Formulas'!$E$10:$Q$115,11,0),weapon_components!D160),2)</f>
        <v>8</v>
      </c>
      <c r="E160" s="5">
        <f>ROUND(_xlfn.IFNA(VLOOKUP(A160,'Weapon Formulas'!$E$10:$Q$115,12,0),weapon_components!E160),2)</f>
        <v>14</v>
      </c>
      <c r="F160" s="5">
        <f>ROUND(_xlfn.IFNA(VLOOKUP(A160,'Weapon Formulas'!$E$10:$L$115,8,0),weapon_components!F160),2)</f>
        <v>1</v>
      </c>
      <c r="G160" s="5">
        <f>ROUND(_xlfn.IFNA(VLOOKUP(A160,'Weapon Formulas'!$E$10:$P$115,9,0),weapon_components!G160),2)</f>
        <v>0</v>
      </c>
      <c r="H160" s="5">
        <f>ROUND(_xlfn.IFNA(VLOOKUP(A160,'Weapon Formulas'!$E$10:$L$115,7,0),weapon_components!H160),2)</f>
        <v>1</v>
      </c>
      <c r="I160">
        <v>2</v>
      </c>
      <c r="J160">
        <v>25</v>
      </c>
      <c r="K160">
        <v>30</v>
      </c>
      <c r="L160" s="5">
        <f>ROUND(_xlfn.IFNA(VLOOKUP(A160,'Weapon Formulas'!$E$10:$Z$115,15,0),weapon_components!L160),1)</f>
        <v>20</v>
      </c>
      <c r="M160">
        <v>0.75</v>
      </c>
      <c r="N160" s="5">
        <f>ROUND(_xlfn.IFNA(VLOOKUP(A160,'Weapon Formulas'!$E$10:$W$115,16,0),weapon_components!N160),2)</f>
        <v>0</v>
      </c>
    </row>
    <row r="161" spans="1:14" x14ac:dyDescent="0.25">
      <c r="A161" s="15" t="s">
        <v>197</v>
      </c>
      <c r="B161">
        <v>15</v>
      </c>
      <c r="C161" s="5">
        <f>ROUND(_xlfn.IFNA(VLOOKUP(A161,'Weapon Formulas'!$E$10:$V$115,17,0),weapon_components!C161),2)</f>
        <v>-15</v>
      </c>
      <c r="D161" s="5">
        <f>ROUND(_xlfn.IFNA(VLOOKUP(A161,'Weapon Formulas'!$E$10:$Q$115,11,0),weapon_components!D161),2)</f>
        <v>18</v>
      </c>
      <c r="E161" s="5">
        <f>ROUND(_xlfn.IFNA(VLOOKUP(A161,'Weapon Formulas'!$E$10:$Q$115,12,0),weapon_components!E161),2)</f>
        <v>27</v>
      </c>
      <c r="F161" s="5">
        <f>ROUND(_xlfn.IFNA(VLOOKUP(A161,'Weapon Formulas'!$E$10:$L$115,8,0),weapon_components!F161),2)</f>
        <v>1</v>
      </c>
      <c r="G161" s="5">
        <f>ROUND(_xlfn.IFNA(VLOOKUP(A161,'Weapon Formulas'!$E$10:$P$115,9,0),weapon_components!G161),2)</f>
        <v>0</v>
      </c>
      <c r="H161" s="5">
        <f>ROUND(_xlfn.IFNA(VLOOKUP(A161,'Weapon Formulas'!$E$10:$L$115,7,0),weapon_components!H161),2)</f>
        <v>1</v>
      </c>
      <c r="I161">
        <v>2</v>
      </c>
      <c r="J161">
        <v>25</v>
      </c>
      <c r="K161">
        <v>30</v>
      </c>
      <c r="L161" s="5">
        <f>ROUND(_xlfn.IFNA(VLOOKUP(A161,'Weapon Formulas'!$E$10:$Z$115,15,0),weapon_components!L161),1)</f>
        <v>15</v>
      </c>
      <c r="M161">
        <v>0.7</v>
      </c>
      <c r="N161" s="5">
        <f>ROUND(_xlfn.IFNA(VLOOKUP(A161,'Weapon Formulas'!$E$10:$W$115,16,0),weapon_components!N161),2)</f>
        <v>0</v>
      </c>
    </row>
    <row r="162" spans="1:14" x14ac:dyDescent="0.25">
      <c r="A162" s="15" t="s">
        <v>198</v>
      </c>
      <c r="C162" s="5"/>
      <c r="D162" s="5"/>
      <c r="E162" s="5"/>
      <c r="F162" s="5"/>
      <c r="G162" s="5"/>
      <c r="H162" s="5"/>
      <c r="L162" s="5"/>
      <c r="N162" s="5"/>
    </row>
    <row r="163" spans="1:14" x14ac:dyDescent="0.25">
      <c r="A163" s="15" t="s">
        <v>199</v>
      </c>
      <c r="B163">
        <v>15</v>
      </c>
      <c r="C163" s="5">
        <f>ROUND(_xlfn.IFNA(VLOOKUP(A163,'Weapon Formulas'!$E$10:$V$115,17,0),weapon_components!C163),2)</f>
        <v>-15</v>
      </c>
      <c r="D163" s="5">
        <f>ROUND(_xlfn.IFNA(VLOOKUP(A163,'Weapon Formulas'!$E$10:$Q$115,11,0),weapon_components!D163),2)</f>
        <v>13</v>
      </c>
      <c r="E163" s="5">
        <f>ROUND(_xlfn.IFNA(VLOOKUP(A163,'Weapon Formulas'!$E$10:$Q$115,12,0),weapon_components!E163),2)</f>
        <v>19</v>
      </c>
      <c r="F163" s="5">
        <f>ROUND(_xlfn.IFNA(VLOOKUP(A163,'Weapon Formulas'!$E$10:$L$115,8,0),weapon_components!F163),2)</f>
        <v>1</v>
      </c>
      <c r="G163" s="5">
        <f>ROUND(_xlfn.IFNA(VLOOKUP(A163,'Weapon Formulas'!$E$10:$P$115,9,0),weapon_components!G163),2)</f>
        <v>0.5</v>
      </c>
      <c r="H163" s="5">
        <f>ROUND(_xlfn.IFNA(VLOOKUP(A163,'Weapon Formulas'!$E$10:$L$115,7,0),weapon_components!H163),2)</f>
        <v>0.5</v>
      </c>
      <c r="I163">
        <v>2</v>
      </c>
      <c r="J163">
        <v>25</v>
      </c>
      <c r="K163">
        <v>25</v>
      </c>
      <c r="L163" s="5">
        <f>ROUND(_xlfn.IFNA(VLOOKUP(A163,'Weapon Formulas'!$E$10:$Z$115,15,0),weapon_components!L163),1)</f>
        <v>20</v>
      </c>
      <c r="M163">
        <v>0.78</v>
      </c>
      <c r="N163" s="5">
        <f>ROUND(_xlfn.IFNA(VLOOKUP(A163,'Weapon Formulas'!$E$10:$W$115,16,0),weapon_components!N163),2)</f>
        <v>0</v>
      </c>
    </row>
    <row r="164" spans="1:14" x14ac:dyDescent="0.25">
      <c r="A164" s="15" t="s">
        <v>200</v>
      </c>
      <c r="B164">
        <v>30</v>
      </c>
      <c r="C164" s="5">
        <f>ROUND(_xlfn.IFNA(VLOOKUP(A164,'Weapon Formulas'!$E$10:$V$115,17,0),weapon_components!C164),2)</f>
        <v>-30</v>
      </c>
      <c r="D164" s="5">
        <f>ROUND(_xlfn.IFNA(VLOOKUP(A164,'Weapon Formulas'!$E$10:$Q$115,11,0),weapon_components!D164),2)</f>
        <v>25</v>
      </c>
      <c r="E164" s="5">
        <f>ROUND(_xlfn.IFNA(VLOOKUP(A164,'Weapon Formulas'!$E$10:$Q$115,12,0),weapon_components!E164),2)</f>
        <v>43</v>
      </c>
      <c r="F164" s="5">
        <f>ROUND(_xlfn.IFNA(VLOOKUP(A164,'Weapon Formulas'!$E$10:$L$115,8,0),weapon_components!F164),2)</f>
        <v>1</v>
      </c>
      <c r="G164" s="5">
        <f>ROUND(_xlfn.IFNA(VLOOKUP(A164,'Weapon Formulas'!$E$10:$P$115,9,0),weapon_components!G164),2)</f>
        <v>0.5</v>
      </c>
      <c r="H164" s="5">
        <f>ROUND(_xlfn.IFNA(VLOOKUP(A164,'Weapon Formulas'!$E$10:$L$115,7,0),weapon_components!H164),2)</f>
        <v>0.5</v>
      </c>
      <c r="I164">
        <v>2</v>
      </c>
      <c r="J164">
        <v>25</v>
      </c>
      <c r="K164">
        <v>25</v>
      </c>
      <c r="L164" s="5">
        <f>ROUND(_xlfn.IFNA(VLOOKUP(A164,'Weapon Formulas'!$E$10:$Z$115,15,0),weapon_components!L164),1)</f>
        <v>30</v>
      </c>
      <c r="M164">
        <v>0.75</v>
      </c>
      <c r="N164" s="5">
        <f>ROUND(_xlfn.IFNA(VLOOKUP(A164,'Weapon Formulas'!$E$10:$W$115,16,0),weapon_components!N164),2)</f>
        <v>0</v>
      </c>
    </row>
    <row r="165" spans="1:14" x14ac:dyDescent="0.25">
      <c r="A165" s="15" t="s">
        <v>201</v>
      </c>
      <c r="B165">
        <v>60</v>
      </c>
      <c r="C165" s="5">
        <f>ROUND(_xlfn.IFNA(VLOOKUP(A165,'Weapon Formulas'!$E$10:$V$115,17,0),weapon_components!C165),2)</f>
        <v>-60</v>
      </c>
      <c r="D165" s="5">
        <f>ROUND(_xlfn.IFNA(VLOOKUP(A165,'Weapon Formulas'!$E$10:$Q$115,11,0),weapon_components!D165),2)</f>
        <v>55</v>
      </c>
      <c r="E165" s="5">
        <f>ROUND(_xlfn.IFNA(VLOOKUP(A165,'Weapon Formulas'!$E$10:$Q$115,12,0),weapon_components!E165),2)</f>
        <v>100</v>
      </c>
      <c r="F165" s="5">
        <f>ROUND(_xlfn.IFNA(VLOOKUP(A165,'Weapon Formulas'!$E$10:$L$115,8,0),weapon_components!F165),2)</f>
        <v>1</v>
      </c>
      <c r="G165" s="5">
        <f>ROUND(_xlfn.IFNA(VLOOKUP(A165,'Weapon Formulas'!$E$10:$P$115,9,0),weapon_components!G165),2)</f>
        <v>0.5</v>
      </c>
      <c r="H165" s="5">
        <f>ROUND(_xlfn.IFNA(VLOOKUP(A165,'Weapon Formulas'!$E$10:$L$115,7,0),weapon_components!H165),2)</f>
        <v>0.5</v>
      </c>
      <c r="I165">
        <v>2</v>
      </c>
      <c r="J165">
        <v>25</v>
      </c>
      <c r="K165">
        <v>25</v>
      </c>
      <c r="L165" s="5">
        <f>ROUND(_xlfn.IFNA(VLOOKUP(A165,'Weapon Formulas'!$E$10:$Z$115,15,0),weapon_components!L165),1)</f>
        <v>40</v>
      </c>
      <c r="M165">
        <v>0.74</v>
      </c>
      <c r="N165" s="5">
        <f>ROUND(_xlfn.IFNA(VLOOKUP(A165,'Weapon Formulas'!$E$10:$W$115,16,0),weapon_components!N165),2)</f>
        <v>0</v>
      </c>
    </row>
    <row r="166" spans="1:14" x14ac:dyDescent="0.25">
      <c r="A166" s="15" t="s">
        <v>202</v>
      </c>
      <c r="C166" s="5"/>
      <c r="D166" s="5"/>
      <c r="E166" s="5"/>
      <c r="F166" s="5"/>
      <c r="G166" s="5"/>
      <c r="H166" s="5"/>
      <c r="L166" s="5"/>
      <c r="N166" s="5"/>
    </row>
    <row r="167" spans="1:14" x14ac:dyDescent="0.25">
      <c r="A167" s="15" t="s">
        <v>203</v>
      </c>
      <c r="B167">
        <v>0</v>
      </c>
      <c r="C167" s="5">
        <f>ROUND(_xlfn.IFNA(VLOOKUP(A167,'Weapon Formulas'!$E$10:$V$115,17,0),weapon_components!C167),2)</f>
        <v>0</v>
      </c>
      <c r="D167" s="5">
        <f>ROUND(_xlfn.IFNA(VLOOKUP(A167,'Weapon Formulas'!$E$10:$Q$115,11,0),weapon_components!D167),2)</f>
        <v>14</v>
      </c>
      <c r="E167" s="5">
        <f>ROUND(_xlfn.IFNA(VLOOKUP(A167,'Weapon Formulas'!$E$10:$Q$115,12,0),weapon_components!E167),2)</f>
        <v>25</v>
      </c>
      <c r="F167" s="5">
        <f>ROUND(_xlfn.IFNA(VLOOKUP(A167,'Weapon Formulas'!$E$10:$L$115,8,0),weapon_components!F167),2)</f>
        <v>1</v>
      </c>
      <c r="G167" s="5">
        <f>ROUND(_xlfn.IFNA(VLOOKUP(A167,'Weapon Formulas'!$E$10:$P$115,9,0),weapon_components!G167),2)</f>
        <v>0</v>
      </c>
      <c r="H167" s="5">
        <f>ROUND(_xlfn.IFNA(VLOOKUP(A167,'Weapon Formulas'!$E$10:$L$115,7,0),weapon_components!H167),2)</f>
        <v>0</v>
      </c>
      <c r="I167">
        <v>2</v>
      </c>
      <c r="J167">
        <v>25</v>
      </c>
      <c r="K167">
        <v>40</v>
      </c>
      <c r="L167" s="5">
        <f>ROUND(_xlfn.IFNA(VLOOKUP(A167,'Weapon Formulas'!$E$10:$Z$115,15,0),weapon_components!L167),1)</f>
        <v>26</v>
      </c>
      <c r="M167">
        <v>1</v>
      </c>
      <c r="N167" s="5">
        <f>ROUND(_xlfn.IFNA(VLOOKUP(A167,'Weapon Formulas'!$E$10:$W$115,16,0),weapon_components!N167),2)</f>
        <v>5</v>
      </c>
    </row>
    <row r="168" spans="1:14" x14ac:dyDescent="0.25">
      <c r="A168" s="15" t="s">
        <v>204</v>
      </c>
      <c r="B168">
        <v>0</v>
      </c>
      <c r="C168" s="5">
        <f>ROUND(_xlfn.IFNA(VLOOKUP(A168,'Weapon Formulas'!$E$10:$V$115,17,0),weapon_components!C168),2)</f>
        <v>0</v>
      </c>
      <c r="D168" s="5">
        <f>ROUND(_xlfn.IFNA(VLOOKUP(A168,'Weapon Formulas'!$E$10:$Q$115,11,0),weapon_components!D168),2)</f>
        <v>25</v>
      </c>
      <c r="E168" s="5">
        <f>ROUND(_xlfn.IFNA(VLOOKUP(A168,'Weapon Formulas'!$E$10:$Q$115,12,0),weapon_components!E168),2)</f>
        <v>50</v>
      </c>
      <c r="F168" s="5">
        <f>ROUND(_xlfn.IFNA(VLOOKUP(A168,'Weapon Formulas'!$E$10:$L$115,8,0),weapon_components!F168),2)</f>
        <v>1</v>
      </c>
      <c r="G168" s="5">
        <f>ROUND(_xlfn.IFNA(VLOOKUP(A168,'Weapon Formulas'!$E$10:$P$115,9,0),weapon_components!G168),2)</f>
        <v>0</v>
      </c>
      <c r="H168" s="5">
        <f>ROUND(_xlfn.IFNA(VLOOKUP(A168,'Weapon Formulas'!$E$10:$L$115,7,0),weapon_components!H168),2)</f>
        <v>0</v>
      </c>
      <c r="I168">
        <v>2</v>
      </c>
      <c r="J168">
        <v>25</v>
      </c>
      <c r="K168">
        <v>40</v>
      </c>
      <c r="L168" s="5">
        <f>ROUND(_xlfn.IFNA(VLOOKUP(A168,'Weapon Formulas'!$E$10:$Z$115,15,0),weapon_components!L168),1)</f>
        <v>36</v>
      </c>
      <c r="M168">
        <v>1</v>
      </c>
      <c r="N168" s="5">
        <f>ROUND(_xlfn.IFNA(VLOOKUP(A168,'Weapon Formulas'!$E$10:$W$115,16,0),weapon_components!N168),2)</f>
        <v>5</v>
      </c>
    </row>
    <row r="169" spans="1:14" x14ac:dyDescent="0.25">
      <c r="A169" s="15" t="s">
        <v>205</v>
      </c>
      <c r="B169">
        <v>0</v>
      </c>
      <c r="C169" s="5">
        <f>ROUND(_xlfn.IFNA(VLOOKUP(A169,'Weapon Formulas'!$E$10:$V$115,17,0),weapon_components!C169),2)</f>
        <v>0</v>
      </c>
      <c r="D169" s="5">
        <f>ROUND(_xlfn.IFNA(VLOOKUP(A169,'Weapon Formulas'!$E$10:$Q$115,11,0),weapon_components!D169),2)</f>
        <v>52</v>
      </c>
      <c r="E169" s="5">
        <f>ROUND(_xlfn.IFNA(VLOOKUP(A169,'Weapon Formulas'!$E$10:$Q$115,12,0),weapon_components!E169),2)</f>
        <v>90</v>
      </c>
      <c r="F169" s="5">
        <f>ROUND(_xlfn.IFNA(VLOOKUP(A169,'Weapon Formulas'!$E$10:$L$115,8,0),weapon_components!F169),2)</f>
        <v>1</v>
      </c>
      <c r="G169" s="5">
        <f>ROUND(_xlfn.IFNA(VLOOKUP(A169,'Weapon Formulas'!$E$10:$P$115,9,0),weapon_components!G169),2)</f>
        <v>0</v>
      </c>
      <c r="H169" s="5">
        <f>ROUND(_xlfn.IFNA(VLOOKUP(A169,'Weapon Formulas'!$E$10:$L$115,7,0),weapon_components!H169),2)</f>
        <v>0</v>
      </c>
      <c r="I169">
        <v>2</v>
      </c>
      <c r="J169">
        <v>25</v>
      </c>
      <c r="K169">
        <v>40</v>
      </c>
      <c r="L169" s="5">
        <f>ROUND(_xlfn.IFNA(VLOOKUP(A169,'Weapon Formulas'!$E$10:$Z$115,15,0),weapon_components!L169),1)</f>
        <v>46</v>
      </c>
      <c r="M169">
        <v>1</v>
      </c>
      <c r="N169" s="5">
        <f>ROUND(_xlfn.IFNA(VLOOKUP(A169,'Weapon Formulas'!$E$10:$W$115,16,0),weapon_components!N169),2)</f>
        <v>5</v>
      </c>
    </row>
    <row r="170" spans="1:14" x14ac:dyDescent="0.25">
      <c r="A170" s="15" t="s">
        <v>206</v>
      </c>
      <c r="B170">
        <v>50</v>
      </c>
      <c r="C170" s="5">
        <f>ROUND(_xlfn.IFNA(VLOOKUP(A170,'Weapon Formulas'!$E$10:$V$115,17,0),weapon_components!C170),2)</f>
        <v>-50</v>
      </c>
      <c r="D170" s="5">
        <f>ROUND(_xlfn.IFNA(VLOOKUP(A170,'Weapon Formulas'!$E$10:$Q$115,11,0),weapon_components!D170),2)</f>
        <v>52</v>
      </c>
      <c r="E170" s="5">
        <f>ROUND(_xlfn.IFNA(VLOOKUP(A170,'Weapon Formulas'!$E$10:$Q$115,12,0),weapon_components!E170),2)</f>
        <v>90</v>
      </c>
      <c r="F170" s="5">
        <f>ROUND(_xlfn.IFNA(VLOOKUP(A170,'Weapon Formulas'!$E$10:$L$115,8,0),weapon_components!F170),2)</f>
        <v>1</v>
      </c>
      <c r="G170" s="5">
        <f>ROUND(_xlfn.IFNA(VLOOKUP(A170,'Weapon Formulas'!$E$10:$P$115,9,0),weapon_components!G170),2)</f>
        <v>0</v>
      </c>
      <c r="H170" s="5">
        <f>ROUND(_xlfn.IFNA(VLOOKUP(A170,'Weapon Formulas'!$E$10:$L$115,7,0),weapon_components!H170),2)</f>
        <v>0</v>
      </c>
      <c r="I170">
        <v>2</v>
      </c>
      <c r="J170">
        <v>25</v>
      </c>
      <c r="K170">
        <v>40</v>
      </c>
      <c r="L170" s="5">
        <f>ROUND(_xlfn.IFNA(VLOOKUP(A170,'Weapon Formulas'!$E$10:$Z$115,15,0),weapon_components!L170),1)</f>
        <v>46</v>
      </c>
      <c r="M170">
        <v>1</v>
      </c>
      <c r="N170" s="5">
        <f>ROUND(_xlfn.IFNA(VLOOKUP(A170,'Weapon Formulas'!$E$10:$W$115,16,0),weapon_components!N170),2)</f>
        <v>5</v>
      </c>
    </row>
    <row r="171" spans="1:14" x14ac:dyDescent="0.25">
      <c r="A171" s="15" t="s">
        <v>207</v>
      </c>
      <c r="B171">
        <v>12.5</v>
      </c>
      <c r="C171" s="5">
        <f>ROUND(_xlfn.IFNA(VLOOKUP(A171,'Weapon Formulas'!$E$10:$V$115,17,0),weapon_components!C171),2)</f>
        <v>-12.5</v>
      </c>
      <c r="D171" s="5">
        <f>ROUND(_xlfn.IFNA(VLOOKUP(A171,'Weapon Formulas'!$E$10:$Q$115,11,0),weapon_components!D171),2)</f>
        <v>10</v>
      </c>
      <c r="E171" s="5">
        <f>ROUND(_xlfn.IFNA(VLOOKUP(A171,'Weapon Formulas'!$E$10:$Q$115,12,0),weapon_components!E171),2)</f>
        <v>23</v>
      </c>
      <c r="F171" s="5">
        <f>ROUND(_xlfn.IFNA(VLOOKUP(A171,'Weapon Formulas'!$E$10:$L$115,8,0),weapon_components!F171),2)</f>
        <v>1</v>
      </c>
      <c r="G171" s="5">
        <f>ROUND(_xlfn.IFNA(VLOOKUP(A171,'Weapon Formulas'!$E$10:$P$115,9,0),weapon_components!G171),2)</f>
        <v>0</v>
      </c>
      <c r="H171" s="5">
        <f>ROUND(_xlfn.IFNA(VLOOKUP(A171,'Weapon Formulas'!$E$10:$L$115,7,0),weapon_components!H171),2)</f>
        <v>0</v>
      </c>
      <c r="I171">
        <v>2</v>
      </c>
      <c r="J171">
        <v>25</v>
      </c>
      <c r="K171">
        <v>30</v>
      </c>
      <c r="L171" s="5">
        <f>ROUND(_xlfn.IFNA(VLOOKUP(A171,'Weapon Formulas'!$E$10:$Z$115,15,0),weapon_components!L171),1)</f>
        <v>30</v>
      </c>
      <c r="M171">
        <v>0.75</v>
      </c>
      <c r="N171" s="5">
        <f>ROUND(_xlfn.IFNA(VLOOKUP(A171,'Weapon Formulas'!$E$10:$W$115,16,0),weapon_components!N171),2)</f>
        <v>0</v>
      </c>
    </row>
    <row r="172" spans="1:14" x14ac:dyDescent="0.25">
      <c r="A172" s="15" t="s">
        <v>208</v>
      </c>
      <c r="B172">
        <v>25</v>
      </c>
      <c r="C172" s="5">
        <f>ROUND(_xlfn.IFNA(VLOOKUP(A172,'Weapon Formulas'!$E$10:$V$115,17,0),weapon_components!C172),2)</f>
        <v>-25</v>
      </c>
      <c r="D172" s="5">
        <f>ROUND(_xlfn.IFNA(VLOOKUP(A172,'Weapon Formulas'!$E$10:$Q$115,11,0),weapon_components!D172),2)</f>
        <v>20</v>
      </c>
      <c r="E172" s="5">
        <f>ROUND(_xlfn.IFNA(VLOOKUP(A172,'Weapon Formulas'!$E$10:$Q$115,12,0),weapon_components!E172),2)</f>
        <v>46</v>
      </c>
      <c r="F172" s="5">
        <f>ROUND(_xlfn.IFNA(VLOOKUP(A172,'Weapon Formulas'!$E$10:$L$115,8,0),weapon_components!F172),2)</f>
        <v>1</v>
      </c>
      <c r="G172" s="5">
        <f>ROUND(_xlfn.IFNA(VLOOKUP(A172,'Weapon Formulas'!$E$10:$P$115,9,0),weapon_components!G172),2)</f>
        <v>0</v>
      </c>
      <c r="H172" s="5">
        <f>ROUND(_xlfn.IFNA(VLOOKUP(A172,'Weapon Formulas'!$E$10:$L$115,7,0),weapon_components!H172),2)</f>
        <v>0</v>
      </c>
      <c r="I172">
        <v>2</v>
      </c>
      <c r="J172">
        <v>25</v>
      </c>
      <c r="K172">
        <v>30</v>
      </c>
      <c r="L172" s="5">
        <f>ROUND(_xlfn.IFNA(VLOOKUP(A172,'Weapon Formulas'!$E$10:$Z$115,15,0),weapon_components!L172),1)</f>
        <v>30</v>
      </c>
      <c r="M172">
        <v>0.75</v>
      </c>
      <c r="N172" s="5">
        <f>ROUND(_xlfn.IFNA(VLOOKUP(A172,'Weapon Formulas'!$E$10:$W$115,16,0),weapon_components!N172),2)</f>
        <v>0</v>
      </c>
    </row>
    <row r="173" spans="1:14" x14ac:dyDescent="0.25">
      <c r="A173" s="15" t="s">
        <v>209</v>
      </c>
      <c r="C173" s="5"/>
      <c r="D173" s="5"/>
      <c r="E173" s="5"/>
      <c r="F173" s="5"/>
      <c r="G173" s="5"/>
      <c r="H173" s="5"/>
      <c r="L173" s="5"/>
      <c r="N173" s="5"/>
    </row>
    <row r="174" spans="1:14" x14ac:dyDescent="0.25">
      <c r="A174" s="15" t="s">
        <v>210</v>
      </c>
      <c r="B174">
        <v>0</v>
      </c>
      <c r="C174" s="5">
        <f>ROUND(_xlfn.IFNA(VLOOKUP(A174,'Weapon Formulas'!$E$10:$V$115,17,0),weapon_components!C174),2)</f>
        <v>0</v>
      </c>
      <c r="D174" s="5">
        <f>ROUND(_xlfn.IFNA(VLOOKUP(A174,'Weapon Formulas'!$E$10:$Q$115,11,0),weapon_components!D174),2)</f>
        <v>90</v>
      </c>
      <c r="E174" s="5">
        <f>ROUND(_xlfn.IFNA(VLOOKUP(A174,'Weapon Formulas'!$E$10:$Q$115,12,0),weapon_components!E174),2)</f>
        <v>250</v>
      </c>
      <c r="F174" s="5">
        <f>ROUND(_xlfn.IFNA(VLOOKUP(A174,'Weapon Formulas'!$E$10:$L$115,8,0),weapon_components!F174),2)</f>
        <v>1</v>
      </c>
      <c r="G174" s="5">
        <f>ROUND(_xlfn.IFNA(VLOOKUP(A174,'Weapon Formulas'!$E$10:$P$115,9,0),weapon_components!G174),2)</f>
        <v>0</v>
      </c>
      <c r="H174" s="5">
        <f>ROUND(_xlfn.IFNA(VLOOKUP(A174,'Weapon Formulas'!$E$10:$L$115,7,0),weapon_components!H174),2)</f>
        <v>1</v>
      </c>
      <c r="I174">
        <v>2</v>
      </c>
      <c r="J174">
        <v>25</v>
      </c>
      <c r="K174">
        <v>100</v>
      </c>
      <c r="L174" s="5">
        <f>ROUND(_xlfn.IFNA(VLOOKUP(A174,'Weapon Formulas'!$E$10:$Z$115,15,0),weapon_components!L174),1)</f>
        <v>70</v>
      </c>
      <c r="M174">
        <v>0.9</v>
      </c>
      <c r="N174" s="5">
        <f>ROUND(_xlfn.IFNA(VLOOKUP(A174,'Weapon Formulas'!$E$10:$W$115,16,0),weapon_components!N174),2)</f>
        <v>0</v>
      </c>
    </row>
    <row r="175" spans="1:14" x14ac:dyDescent="0.25">
      <c r="A175" s="15" t="s">
        <v>211</v>
      </c>
      <c r="C175" s="5"/>
      <c r="D175" s="5"/>
      <c r="E175" s="5"/>
      <c r="F175" s="5"/>
      <c r="G175" s="5"/>
      <c r="H175" s="5"/>
      <c r="L175" s="5"/>
      <c r="N175" s="5"/>
    </row>
    <row r="176" spans="1:14" x14ac:dyDescent="0.25">
      <c r="A176" s="15" t="s">
        <v>212</v>
      </c>
      <c r="B176">
        <v>5</v>
      </c>
      <c r="C176" s="5">
        <f>ROUND(_xlfn.IFNA(VLOOKUP(A176,'Weapon Formulas'!$E$10:$V$115,17,0),weapon_components!C176),2)</f>
        <v>-5</v>
      </c>
      <c r="D176" s="5">
        <f>ROUND(_xlfn.IFNA(VLOOKUP(A176,'Weapon Formulas'!$E$10:$Q$115,11,0),weapon_components!D176),2)</f>
        <v>2</v>
      </c>
      <c r="E176" s="5">
        <f>ROUND(_xlfn.IFNA(VLOOKUP(A176,'Weapon Formulas'!$E$10:$Q$115,12,0),weapon_components!E176),2)</f>
        <v>3</v>
      </c>
      <c r="F176" s="5">
        <f>ROUND(_xlfn.IFNA(VLOOKUP(A176,'Weapon Formulas'!$E$10:$L$115,8,0),weapon_components!F176),2)</f>
        <v>1</v>
      </c>
      <c r="G176" s="5">
        <f>ROUND(_xlfn.IFNA(VLOOKUP(A176,'Weapon Formulas'!$E$10:$P$115,9,0),weapon_components!G176),2)</f>
        <v>0</v>
      </c>
      <c r="H176" s="5">
        <f>ROUND(_xlfn.IFNA(VLOOKUP(A176,'Weapon Formulas'!$E$10:$L$115,7,0),weapon_components!H176),2)</f>
        <v>0</v>
      </c>
      <c r="I176">
        <v>1</v>
      </c>
      <c r="J176">
        <v>1</v>
      </c>
      <c r="K176">
        <v>2</v>
      </c>
      <c r="L176" s="5">
        <f>ROUND(_xlfn.IFNA(VLOOKUP(A176,'Weapon Formulas'!$E$10:$Z$115,15,0),weapon_components!L176),0)</f>
        <v>8</v>
      </c>
      <c r="M176">
        <v>0.8</v>
      </c>
      <c r="N176" s="5">
        <f>ROUND(_xlfn.IFNA(VLOOKUP(A176,'Weapon Formulas'!$E$10:$W$115,16,0),weapon_components!N176),2)</f>
        <v>0</v>
      </c>
    </row>
    <row r="177" spans="1:14" x14ac:dyDescent="0.25">
      <c r="A177" s="15" t="s">
        <v>213</v>
      </c>
      <c r="B177">
        <v>7.5</v>
      </c>
      <c r="C177" s="5">
        <f>ROUND(_xlfn.IFNA(VLOOKUP(A177,'Weapon Formulas'!$E$10:$V$115,17,0),weapon_components!C177),2)</f>
        <v>-7.5</v>
      </c>
      <c r="D177" s="5">
        <f>ROUND(_xlfn.IFNA(VLOOKUP(A177,'Weapon Formulas'!$E$10:$Q$115,11,0),weapon_components!D177),2)</f>
        <v>3</v>
      </c>
      <c r="E177" s="5">
        <f>ROUND(_xlfn.IFNA(VLOOKUP(A177,'Weapon Formulas'!$E$10:$Q$115,12,0),weapon_components!E177),2)</f>
        <v>4</v>
      </c>
      <c r="F177" s="5">
        <f>ROUND(_xlfn.IFNA(VLOOKUP(A177,'Weapon Formulas'!$E$10:$L$115,8,0),weapon_components!F177),2)</f>
        <v>1</v>
      </c>
      <c r="G177" s="5">
        <f>ROUND(_xlfn.IFNA(VLOOKUP(A177,'Weapon Formulas'!$E$10:$P$115,9,0),weapon_components!G177),2)</f>
        <v>0</v>
      </c>
      <c r="H177" s="5">
        <f>ROUND(_xlfn.IFNA(VLOOKUP(A177,'Weapon Formulas'!$E$10:$L$115,7,0),weapon_components!H177),2)</f>
        <v>0</v>
      </c>
      <c r="I177">
        <v>1</v>
      </c>
      <c r="J177">
        <v>1</v>
      </c>
      <c r="K177">
        <v>2</v>
      </c>
      <c r="L177" s="5">
        <f>ROUND(_xlfn.IFNA(VLOOKUP(A177,'Weapon Formulas'!$E$10:$Z$115,15,0),weapon_components!L177),0)</f>
        <v>8</v>
      </c>
      <c r="M177">
        <v>0.8</v>
      </c>
      <c r="N177" s="5">
        <f>ROUND(_xlfn.IFNA(VLOOKUP(A177,'Weapon Formulas'!$E$10:$W$115,16,0),weapon_components!N177),2)</f>
        <v>0</v>
      </c>
    </row>
    <row r="178" spans="1:14" x14ac:dyDescent="0.25">
      <c r="A178" s="15" t="s">
        <v>214</v>
      </c>
      <c r="B178">
        <v>10</v>
      </c>
      <c r="C178" s="5">
        <f>ROUND(_xlfn.IFNA(VLOOKUP(A178,'Weapon Formulas'!$E$10:$V$115,17,0),weapon_components!C178),2)</f>
        <v>-10</v>
      </c>
      <c r="D178" s="5">
        <f>ROUND(_xlfn.IFNA(VLOOKUP(A178,'Weapon Formulas'!$E$10:$Q$115,11,0),weapon_components!D178),2)</f>
        <v>4</v>
      </c>
      <c r="E178" s="5">
        <f>ROUND(_xlfn.IFNA(VLOOKUP(A178,'Weapon Formulas'!$E$10:$Q$115,12,0),weapon_components!E178),2)</f>
        <v>5</v>
      </c>
      <c r="F178" s="5">
        <f>ROUND(_xlfn.IFNA(VLOOKUP(A178,'Weapon Formulas'!$E$10:$L$115,8,0),weapon_components!F178),2)</f>
        <v>1</v>
      </c>
      <c r="G178" s="5">
        <f>ROUND(_xlfn.IFNA(VLOOKUP(A178,'Weapon Formulas'!$E$10:$P$115,9,0),weapon_components!G178),2)</f>
        <v>0</v>
      </c>
      <c r="H178" s="5">
        <f>ROUND(_xlfn.IFNA(VLOOKUP(A178,'Weapon Formulas'!$E$10:$L$115,7,0),weapon_components!H178),2)</f>
        <v>0</v>
      </c>
      <c r="I178">
        <v>1</v>
      </c>
      <c r="J178">
        <v>1</v>
      </c>
      <c r="K178">
        <v>2</v>
      </c>
      <c r="L178" s="5">
        <f>ROUND(_xlfn.IFNA(VLOOKUP(A178,'Weapon Formulas'!$E$10:$Z$115,15,0),weapon_components!L178),0)</f>
        <v>8</v>
      </c>
      <c r="M178">
        <v>0.8</v>
      </c>
      <c r="N178" s="5">
        <f>ROUND(_xlfn.IFNA(VLOOKUP(A178,'Weapon Formulas'!$E$10:$W$115,16,0),weapon_components!N178),2)</f>
        <v>0</v>
      </c>
    </row>
    <row r="179" spans="1:14" x14ac:dyDescent="0.25">
      <c r="L179" s="5"/>
    </row>
  </sheetData>
  <mergeCells count="1">
    <mergeCell ref="P4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weapon_components</vt:lpstr>
      <vt:lpstr>Weapon Formulas</vt:lpstr>
      <vt:lpstr>Ship Design Balancing</vt:lpstr>
      <vt:lpstr>gen_weapon_components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Rasmussen</dc:creator>
  <cp:lastModifiedBy>Soren Rasmussen</cp:lastModifiedBy>
  <dcterms:created xsi:type="dcterms:W3CDTF">2016-05-15T20:36:42Z</dcterms:created>
  <dcterms:modified xsi:type="dcterms:W3CDTF">2016-05-17T21:20:55Z</dcterms:modified>
</cp:coreProperties>
</file>