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3"/>
  </bookViews>
  <sheets>
    <sheet name="weapon_components" sheetId="4" r:id="rId1"/>
    <sheet name="Weapon Formulas" sheetId="2" r:id="rId2"/>
    <sheet name="Sheet2" sheetId="7" r:id="rId3"/>
    <sheet name="Ship Design Balancing" sheetId="5" r:id="rId4"/>
    <sheet name="Sheet1" sheetId="6" r:id="rId5"/>
    <sheet name="gen_weapon_components" sheetId="3" r:id="rId6"/>
  </sheets>
  <calcPr calcId="171027" iterate="1" iterateCount="50"/>
</workbook>
</file>

<file path=xl/calcChain.xml><?xml version="1.0" encoding="utf-8"?>
<calcChain xmlns="http://schemas.openxmlformats.org/spreadsheetml/2006/main">
  <c r="L22" i="2" l="1"/>
  <c r="L11" i="2"/>
  <c r="J11" i="2"/>
  <c r="L173" i="2"/>
  <c r="L172" i="2"/>
  <c r="L170" i="2"/>
  <c r="L169" i="2"/>
  <c r="L166" i="2"/>
  <c r="L167" i="2"/>
  <c r="L165" i="2"/>
  <c r="L163" i="2"/>
  <c r="L161" i="2"/>
  <c r="L159" i="2"/>
  <c r="L158" i="2"/>
  <c r="L150" i="2"/>
  <c r="L151" i="2"/>
  <c r="L149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24" i="2"/>
  <c r="L73" i="2"/>
  <c r="H124" i="2"/>
  <c r="I11" i="2"/>
  <c r="G3" i="2"/>
  <c r="G4" i="2"/>
  <c r="H11" i="2"/>
  <c r="Q6" i="2"/>
  <c r="Q5" i="2"/>
  <c r="Q4" i="2"/>
  <c r="Q3" i="2"/>
  <c r="Q2" i="2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28" i="5"/>
  <c r="E10" i="5"/>
  <c r="D10" i="5"/>
  <c r="C10" i="5"/>
  <c r="E15" i="5"/>
  <c r="B12" i="5"/>
  <c r="B13" i="5" s="1"/>
  <c r="C12" i="5"/>
  <c r="D12" i="5"/>
  <c r="B16" i="5" l="1"/>
  <c r="T154" i="2"/>
  <c r="T155" i="2"/>
  <c r="T156" i="2"/>
  <c r="T153" i="2"/>
  <c r="T111" i="2"/>
  <c r="H161" i="2"/>
  <c r="H163" i="2"/>
  <c r="I167" i="2"/>
  <c r="I166" i="2"/>
  <c r="I165" i="2"/>
  <c r="J167" i="2"/>
  <c r="J166" i="2"/>
  <c r="J165" i="2"/>
  <c r="J170" i="2"/>
  <c r="J169" i="2"/>
  <c r="I170" i="2"/>
  <c r="I169" i="2"/>
  <c r="H170" i="2"/>
  <c r="H169" i="2"/>
  <c r="H172" i="2"/>
  <c r="H173" i="2"/>
  <c r="I172" i="2"/>
  <c r="I173" i="2"/>
  <c r="J173" i="2"/>
  <c r="J172" i="2"/>
  <c r="F151" i="2"/>
  <c r="F172" i="2"/>
  <c r="S172" i="2"/>
  <c r="Q172" i="2"/>
  <c r="F170" i="2"/>
  <c r="Q170" i="2"/>
  <c r="S170" i="2"/>
  <c r="F169" i="2"/>
  <c r="H167" i="2"/>
  <c r="F166" i="2"/>
  <c r="F167" i="2"/>
  <c r="F165" i="2"/>
  <c r="H159" i="2"/>
  <c r="I159" i="2"/>
  <c r="J159" i="2"/>
  <c r="J158" i="2"/>
  <c r="I158" i="2"/>
  <c r="H158" i="2"/>
  <c r="H153" i="2"/>
  <c r="G153" i="2" s="1"/>
  <c r="J161" i="2"/>
  <c r="I161" i="2"/>
  <c r="F162" i="2"/>
  <c r="F163" i="2"/>
  <c r="J163" i="2" s="1"/>
  <c r="Q163" i="2"/>
  <c r="S163" i="2"/>
  <c r="L154" i="3" s="1"/>
  <c r="Q165" i="2"/>
  <c r="S165" i="2"/>
  <c r="L155" i="3" s="1"/>
  <c r="Q166" i="2"/>
  <c r="S166" i="2"/>
  <c r="L156" i="3" s="1"/>
  <c r="Q167" i="2"/>
  <c r="S167" i="2"/>
  <c r="L157" i="3" s="1"/>
  <c r="Q169" i="2"/>
  <c r="S169" i="2"/>
  <c r="L158" i="3" s="1"/>
  <c r="L160" i="3"/>
  <c r="F173" i="2"/>
  <c r="Q173" i="2"/>
  <c r="S173" i="2"/>
  <c r="N178" i="3"/>
  <c r="N177" i="3"/>
  <c r="N176" i="3"/>
  <c r="N174" i="3"/>
  <c r="N172" i="3"/>
  <c r="N171" i="3"/>
  <c r="N170" i="3"/>
  <c r="N169" i="3"/>
  <c r="N168" i="3"/>
  <c r="N167" i="3"/>
  <c r="N165" i="3"/>
  <c r="N164" i="3"/>
  <c r="N163" i="3"/>
  <c r="N161" i="3"/>
  <c r="N160" i="3"/>
  <c r="N159" i="3"/>
  <c r="N158" i="3"/>
  <c r="N157" i="3"/>
  <c r="N156" i="3"/>
  <c r="N155" i="3"/>
  <c r="N154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7" i="3"/>
  <c r="N126" i="3"/>
  <c r="N124" i="3"/>
  <c r="N123" i="3"/>
  <c r="N121" i="3"/>
  <c r="N120" i="3"/>
  <c r="N119" i="3"/>
  <c r="N118" i="3"/>
  <c r="N117" i="3"/>
  <c r="N116" i="3"/>
  <c r="N115" i="3"/>
  <c r="N114" i="3"/>
  <c r="N113" i="3"/>
  <c r="N111" i="3"/>
  <c r="N110" i="3"/>
  <c r="N109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1" i="3"/>
  <c r="N90" i="3"/>
  <c r="N88" i="3"/>
  <c r="N87" i="3"/>
  <c r="N86" i="3"/>
  <c r="N85" i="3"/>
  <c r="N84" i="3"/>
  <c r="N83" i="3"/>
  <c r="N82" i="3"/>
  <c r="N81" i="3"/>
  <c r="N80" i="3"/>
  <c r="N78" i="3"/>
  <c r="N77" i="3"/>
  <c r="N75" i="3"/>
  <c r="N74" i="3"/>
  <c r="N73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5" i="3"/>
  <c r="N54" i="3"/>
  <c r="N52" i="3"/>
  <c r="N51" i="3"/>
  <c r="N50" i="3"/>
  <c r="N49" i="3"/>
  <c r="N48" i="3"/>
  <c r="N47" i="3"/>
  <c r="N46" i="3"/>
  <c r="N45" i="3"/>
  <c r="N44" i="3"/>
  <c r="N42" i="3"/>
  <c r="N41" i="3"/>
  <c r="N39" i="3"/>
  <c r="N38" i="3"/>
  <c r="N37" i="3"/>
  <c r="N36" i="3"/>
  <c r="N35" i="3"/>
  <c r="N34" i="3"/>
  <c r="N33" i="3"/>
  <c r="N32" i="3"/>
  <c r="N31" i="3"/>
  <c r="N29" i="3"/>
  <c r="N28" i="3"/>
  <c r="N26" i="3"/>
  <c r="N25" i="3"/>
  <c r="N24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178" i="3"/>
  <c r="L178" i="3"/>
  <c r="M177" i="3"/>
  <c r="L177" i="3"/>
  <c r="M176" i="3"/>
  <c r="L176" i="3"/>
  <c r="L167" i="3"/>
  <c r="L165" i="3"/>
  <c r="L164" i="3"/>
  <c r="L163" i="3"/>
  <c r="L161" i="3"/>
  <c r="L159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7" i="3"/>
  <c r="L126" i="3"/>
  <c r="L124" i="3"/>
  <c r="L123" i="3"/>
  <c r="L121" i="3"/>
  <c r="L120" i="3"/>
  <c r="L119" i="3"/>
  <c r="L118" i="3"/>
  <c r="L117" i="3"/>
  <c r="L116" i="3"/>
  <c r="L115" i="3"/>
  <c r="L114" i="3"/>
  <c r="L113" i="3"/>
  <c r="M111" i="3"/>
  <c r="L111" i="3"/>
  <c r="M110" i="3"/>
  <c r="L110" i="3"/>
  <c r="M109" i="3"/>
  <c r="L109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1" i="3"/>
  <c r="L90" i="3"/>
  <c r="L88" i="3"/>
  <c r="L87" i="3"/>
  <c r="L86" i="3"/>
  <c r="L85" i="3"/>
  <c r="L84" i="3"/>
  <c r="L83" i="3"/>
  <c r="L82" i="3"/>
  <c r="L81" i="3"/>
  <c r="L80" i="3"/>
  <c r="L78" i="3"/>
  <c r="L77" i="3"/>
  <c r="M75" i="3"/>
  <c r="L75" i="3"/>
  <c r="M74" i="3"/>
  <c r="L74" i="3"/>
  <c r="M73" i="3"/>
  <c r="L73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5" i="3"/>
  <c r="L54" i="3"/>
  <c r="L52" i="3"/>
  <c r="L51" i="3"/>
  <c r="L50" i="3"/>
  <c r="L49" i="3"/>
  <c r="L48" i="3"/>
  <c r="L47" i="3"/>
  <c r="L46" i="3"/>
  <c r="L45" i="3"/>
  <c r="L44" i="3"/>
  <c r="L42" i="3"/>
  <c r="L41" i="3"/>
  <c r="L39" i="3"/>
  <c r="L38" i="3"/>
  <c r="L37" i="3"/>
  <c r="L36" i="3"/>
  <c r="L35" i="3"/>
  <c r="L34" i="3"/>
  <c r="L33" i="3"/>
  <c r="L32" i="3"/>
  <c r="L31" i="3"/>
  <c r="L29" i="3"/>
  <c r="L28" i="3"/>
  <c r="M26" i="3"/>
  <c r="L26" i="3"/>
  <c r="M25" i="3"/>
  <c r="L25" i="3"/>
  <c r="M24" i="3"/>
  <c r="L24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G178" i="3"/>
  <c r="G177" i="3"/>
  <c r="G176" i="3"/>
  <c r="G174" i="3"/>
  <c r="G172" i="3"/>
  <c r="G171" i="3"/>
  <c r="G170" i="3"/>
  <c r="G169" i="3"/>
  <c r="G168" i="3"/>
  <c r="G167" i="3"/>
  <c r="G165" i="3"/>
  <c r="G164" i="3"/>
  <c r="G163" i="3"/>
  <c r="G161" i="3"/>
  <c r="G160" i="3"/>
  <c r="G159" i="3"/>
  <c r="G158" i="3"/>
  <c r="G157" i="3"/>
  <c r="G156" i="3"/>
  <c r="G155" i="3"/>
  <c r="G154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4" i="3"/>
  <c r="G123" i="3"/>
  <c r="G111" i="3"/>
  <c r="G110" i="3"/>
  <c r="G109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1" i="3"/>
  <c r="G90" i="3"/>
  <c r="G88" i="3"/>
  <c r="G87" i="3"/>
  <c r="G86" i="3"/>
  <c r="G85" i="3"/>
  <c r="G84" i="3"/>
  <c r="G83" i="3"/>
  <c r="G82" i="3"/>
  <c r="G81" i="3"/>
  <c r="G80" i="3"/>
  <c r="G78" i="3"/>
  <c r="G77" i="3"/>
  <c r="G75" i="3"/>
  <c r="G74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5" i="3"/>
  <c r="G54" i="3"/>
  <c r="G52" i="3"/>
  <c r="G51" i="3"/>
  <c r="G50" i="3"/>
  <c r="G49" i="3"/>
  <c r="G48" i="3"/>
  <c r="G47" i="3"/>
  <c r="G46" i="3"/>
  <c r="G45" i="3"/>
  <c r="G44" i="3"/>
  <c r="G42" i="3"/>
  <c r="G41" i="3"/>
  <c r="G39" i="3"/>
  <c r="G38" i="3"/>
  <c r="G37" i="3"/>
  <c r="G36" i="3"/>
  <c r="G35" i="3"/>
  <c r="G34" i="3"/>
  <c r="G33" i="3"/>
  <c r="G32" i="3"/>
  <c r="G31" i="3"/>
  <c r="G29" i="3"/>
  <c r="G28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H178" i="3"/>
  <c r="F178" i="3"/>
  <c r="H177" i="3"/>
  <c r="F177" i="3"/>
  <c r="H176" i="3"/>
  <c r="F176" i="3"/>
  <c r="F169" i="3"/>
  <c r="F127" i="3"/>
  <c r="F126" i="3"/>
  <c r="F124" i="3"/>
  <c r="F123" i="3"/>
  <c r="F121" i="3"/>
  <c r="F120" i="3"/>
  <c r="F119" i="3"/>
  <c r="F118" i="3"/>
  <c r="F117" i="3"/>
  <c r="F116" i="3"/>
  <c r="F115" i="3"/>
  <c r="F114" i="3"/>
  <c r="F113" i="3"/>
  <c r="H111" i="3"/>
  <c r="F111" i="3"/>
  <c r="H110" i="3"/>
  <c r="F110" i="3"/>
  <c r="H109" i="3"/>
  <c r="F109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1" i="3"/>
  <c r="F88" i="3"/>
  <c r="F87" i="3"/>
  <c r="F86" i="3"/>
  <c r="F85" i="3"/>
  <c r="F84" i="3"/>
  <c r="F83" i="3"/>
  <c r="F82" i="3"/>
  <c r="F81" i="3"/>
  <c r="F80" i="3"/>
  <c r="F78" i="3"/>
  <c r="F77" i="3"/>
  <c r="H75" i="3"/>
  <c r="F75" i="3"/>
  <c r="H74" i="3"/>
  <c r="F74" i="3"/>
  <c r="H73" i="3"/>
  <c r="F73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5" i="3"/>
  <c r="F54" i="3"/>
  <c r="F52" i="3"/>
  <c r="F51" i="3"/>
  <c r="F50" i="3"/>
  <c r="F49" i="3"/>
  <c r="F48" i="3"/>
  <c r="F47" i="3"/>
  <c r="F46" i="3"/>
  <c r="F45" i="3"/>
  <c r="F44" i="3"/>
  <c r="F42" i="3"/>
  <c r="F41" i="3"/>
  <c r="F39" i="3"/>
  <c r="F38" i="3"/>
  <c r="F37" i="3"/>
  <c r="F36" i="3"/>
  <c r="F35" i="3"/>
  <c r="F34" i="3"/>
  <c r="F33" i="3"/>
  <c r="F32" i="3"/>
  <c r="F31" i="3"/>
  <c r="F29" i="3"/>
  <c r="F28" i="3"/>
  <c r="H26" i="3"/>
  <c r="F26" i="3"/>
  <c r="H25" i="3"/>
  <c r="F25" i="3"/>
  <c r="H24" i="3"/>
  <c r="F24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E178" i="3"/>
  <c r="D178" i="3"/>
  <c r="E177" i="3"/>
  <c r="D177" i="3"/>
  <c r="E176" i="3"/>
  <c r="D176" i="3"/>
  <c r="E111" i="3"/>
  <c r="D111" i="3"/>
  <c r="E110" i="3"/>
  <c r="D110" i="3"/>
  <c r="E109" i="3"/>
  <c r="D109" i="3"/>
  <c r="E75" i="3"/>
  <c r="D75" i="3"/>
  <c r="E74" i="3"/>
  <c r="D74" i="3"/>
  <c r="E73" i="3"/>
  <c r="D73" i="3"/>
  <c r="E26" i="3"/>
  <c r="D26" i="3"/>
  <c r="E25" i="3"/>
  <c r="D25" i="3"/>
  <c r="E24" i="3"/>
  <c r="D24" i="3"/>
  <c r="Q161" i="2"/>
  <c r="Q154" i="2"/>
  <c r="Q155" i="2"/>
  <c r="Q156" i="2"/>
  <c r="Q158" i="2"/>
  <c r="Q159" i="2"/>
  <c r="Q153" i="2"/>
  <c r="Q150" i="2"/>
  <c r="Q151" i="2"/>
  <c r="Q149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24" i="2"/>
  <c r="Q122" i="2"/>
  <c r="Q121" i="2"/>
  <c r="Q107" i="2"/>
  <c r="F161" i="2"/>
  <c r="F154" i="2"/>
  <c r="F155" i="2"/>
  <c r="H155" i="2" s="1"/>
  <c r="F156" i="2"/>
  <c r="H156" i="2" s="1"/>
  <c r="F158" i="2"/>
  <c r="F159" i="2"/>
  <c r="F153" i="2"/>
  <c r="I153" i="2" s="1"/>
  <c r="F149" i="2"/>
  <c r="F150" i="2"/>
  <c r="J150" i="2" s="1"/>
  <c r="J151" i="2"/>
  <c r="F147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24" i="2"/>
  <c r="I124" i="2" s="1"/>
  <c r="H154" i="2"/>
  <c r="I154" i="2"/>
  <c r="J154" i="2"/>
  <c r="I155" i="2"/>
  <c r="J155" i="2"/>
  <c r="J153" i="2"/>
  <c r="I151" i="2"/>
  <c r="H151" i="2"/>
  <c r="S161" i="2"/>
  <c r="L174" i="3" s="1"/>
  <c r="S154" i="2"/>
  <c r="L168" i="3" s="1"/>
  <c r="S155" i="2"/>
  <c r="L169" i="3" s="1"/>
  <c r="S156" i="2"/>
  <c r="L170" i="3" s="1"/>
  <c r="S158" i="2"/>
  <c r="L171" i="3" s="1"/>
  <c r="S159" i="2"/>
  <c r="L172" i="3" s="1"/>
  <c r="S153" i="2"/>
  <c r="S150" i="2"/>
  <c r="S151" i="2"/>
  <c r="S149" i="2"/>
  <c r="H150" i="2"/>
  <c r="J149" i="2"/>
  <c r="I149" i="2"/>
  <c r="H149" i="2"/>
  <c r="F167" i="3"/>
  <c r="F168" i="3"/>
  <c r="F170" i="3"/>
  <c r="S122" i="2"/>
  <c r="S121" i="2"/>
  <c r="H119" i="2"/>
  <c r="H118" i="2"/>
  <c r="H117" i="2"/>
  <c r="F30" i="2"/>
  <c r="E5" i="7"/>
  <c r="E6" i="7"/>
  <c r="E7" i="7"/>
  <c r="E8" i="7"/>
  <c r="E9" i="7"/>
  <c r="E10" i="7"/>
  <c r="E11" i="7"/>
  <c r="E12" i="7"/>
  <c r="E13" i="7"/>
  <c r="E4" i="7"/>
  <c r="B6" i="7"/>
  <c r="B7" i="7"/>
  <c r="B8" i="7"/>
  <c r="B9" i="7"/>
  <c r="B10" i="7"/>
  <c r="B11" i="7"/>
  <c r="B12" i="7"/>
  <c r="B13" i="7"/>
  <c r="B5" i="7"/>
  <c r="D5" i="7" s="1"/>
  <c r="C13" i="7"/>
  <c r="C6" i="7"/>
  <c r="C7" i="7" s="1"/>
  <c r="C8" i="7" s="1"/>
  <c r="C9" i="7" s="1"/>
  <c r="C10" i="7" s="1"/>
  <c r="C11" i="7" s="1"/>
  <c r="C12" i="7" s="1"/>
  <c r="C5" i="7"/>
  <c r="D4" i="7"/>
  <c r="J124" i="2" l="1"/>
  <c r="F149" i="3" s="1"/>
  <c r="F157" i="3"/>
  <c r="F160" i="3"/>
  <c r="H166" i="2"/>
  <c r="H165" i="2"/>
  <c r="G154" i="2"/>
  <c r="G155" i="2"/>
  <c r="G156" i="2"/>
  <c r="J156" i="2"/>
  <c r="I150" i="2"/>
  <c r="I156" i="2"/>
  <c r="G159" i="2"/>
  <c r="I163" i="2"/>
  <c r="F136" i="3"/>
  <c r="F135" i="3"/>
  <c r="J122" i="2"/>
  <c r="M122" i="2" s="1"/>
  <c r="G127" i="3" s="1"/>
  <c r="F121" i="2"/>
  <c r="I121" i="2" s="1"/>
  <c r="F122" i="2"/>
  <c r="H122" i="2" s="1"/>
  <c r="F148" i="2"/>
  <c r="F160" i="2"/>
  <c r="F119" i="2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8" i="4"/>
  <c r="B11" i="6"/>
  <c r="B9" i="6"/>
  <c r="C11" i="6"/>
  <c r="F144" i="3" l="1"/>
  <c r="F171" i="3"/>
  <c r="F132" i="3"/>
  <c r="F172" i="3"/>
  <c r="F156" i="3"/>
  <c r="F154" i="3"/>
  <c r="F152" i="3"/>
  <c r="F137" i="3"/>
  <c r="F159" i="3"/>
  <c r="F163" i="3"/>
  <c r="F164" i="3"/>
  <c r="F134" i="3"/>
  <c r="F142" i="3"/>
  <c r="F141" i="3"/>
  <c r="F155" i="3"/>
  <c r="F174" i="3"/>
  <c r="F158" i="3"/>
  <c r="F140" i="3"/>
  <c r="F146" i="3"/>
  <c r="F145" i="3"/>
  <c r="F129" i="3"/>
  <c r="F130" i="3"/>
  <c r="F161" i="3"/>
  <c r="F148" i="3"/>
  <c r="F165" i="3"/>
  <c r="F131" i="3"/>
  <c r="F139" i="3"/>
  <c r="F151" i="3"/>
  <c r="F143" i="3"/>
  <c r="F138" i="3"/>
  <c r="F150" i="3"/>
  <c r="F133" i="3"/>
  <c r="F147" i="3"/>
  <c r="G158" i="2"/>
  <c r="H143" i="2"/>
  <c r="I143" i="2"/>
  <c r="J143" i="2"/>
  <c r="J135" i="2"/>
  <c r="H135" i="2"/>
  <c r="I135" i="2"/>
  <c r="J127" i="2"/>
  <c r="H127" i="2"/>
  <c r="I127" i="2"/>
  <c r="H146" i="2"/>
  <c r="I146" i="2"/>
  <c r="J146" i="2"/>
  <c r="H142" i="2"/>
  <c r="I142" i="2"/>
  <c r="J142" i="2"/>
  <c r="H138" i="2"/>
  <c r="I138" i="2"/>
  <c r="J138" i="2"/>
  <c r="H134" i="2"/>
  <c r="I134" i="2"/>
  <c r="J134" i="2"/>
  <c r="H130" i="2"/>
  <c r="I130" i="2"/>
  <c r="J130" i="2"/>
  <c r="H126" i="2"/>
  <c r="I126" i="2"/>
  <c r="J126" i="2"/>
  <c r="H121" i="2"/>
  <c r="I122" i="2"/>
  <c r="J147" i="2"/>
  <c r="H147" i="2"/>
  <c r="I147" i="2"/>
  <c r="J139" i="2"/>
  <c r="H139" i="2"/>
  <c r="I139" i="2"/>
  <c r="H131" i="2"/>
  <c r="I131" i="2"/>
  <c r="J131" i="2"/>
  <c r="H145" i="2"/>
  <c r="I145" i="2"/>
  <c r="J145" i="2"/>
  <c r="I141" i="2"/>
  <c r="J141" i="2"/>
  <c r="H141" i="2"/>
  <c r="I137" i="2"/>
  <c r="J137" i="2"/>
  <c r="H137" i="2"/>
  <c r="H133" i="2"/>
  <c r="I133" i="2"/>
  <c r="J133" i="2"/>
  <c r="I129" i="2"/>
  <c r="J129" i="2"/>
  <c r="H129" i="2"/>
  <c r="I125" i="2"/>
  <c r="J125" i="2"/>
  <c r="H125" i="2"/>
  <c r="J121" i="2"/>
  <c r="M121" i="2" s="1"/>
  <c r="G126" i="3" s="1"/>
  <c r="J144" i="2"/>
  <c r="H144" i="2"/>
  <c r="I144" i="2"/>
  <c r="J140" i="2"/>
  <c r="H140" i="2"/>
  <c r="I140" i="2"/>
  <c r="J136" i="2"/>
  <c r="H136" i="2"/>
  <c r="I136" i="2"/>
  <c r="J132" i="2"/>
  <c r="H132" i="2"/>
  <c r="I132" i="2"/>
  <c r="J128" i="2"/>
  <c r="H128" i="2"/>
  <c r="I128" i="2"/>
  <c r="D6" i="7"/>
  <c r="I9" i="6"/>
  <c r="H9" i="6"/>
  <c r="H8" i="6"/>
  <c r="J8" i="6" s="1"/>
  <c r="I8" i="6"/>
  <c r="H7" i="6"/>
  <c r="G7" i="6"/>
  <c r="H6" i="6"/>
  <c r="G6" i="6"/>
  <c r="C9" i="6"/>
  <c r="D7" i="7" l="1"/>
  <c r="J6" i="6"/>
  <c r="J7" i="6"/>
  <c r="J9" i="6"/>
  <c r="B10" i="6"/>
  <c r="C10" i="6"/>
  <c r="P5" i="5"/>
  <c r="M4" i="2"/>
  <c r="M5" i="2" s="1"/>
  <c r="M6" i="2" s="1"/>
  <c r="M3" i="2"/>
  <c r="G12" i="5"/>
  <c r="D8" i="7" l="1"/>
  <c r="H73" i="2"/>
  <c r="I73" i="2"/>
  <c r="J73" i="2"/>
  <c r="I72" i="2"/>
  <c r="J72" i="2"/>
  <c r="H72" i="2"/>
  <c r="M104" i="2"/>
  <c r="G113" i="3" s="1"/>
  <c r="J104" i="2"/>
  <c r="T53" i="2"/>
  <c r="D15" i="5" l="1"/>
  <c r="E13" i="5"/>
  <c r="D9" i="7"/>
  <c r="D13" i="5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S72" i="2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S45" i="2"/>
  <c r="S46" i="2"/>
  <c r="S47" i="2"/>
  <c r="S48" i="2"/>
  <c r="S49" i="2"/>
  <c r="S50" i="2"/>
  <c r="S51" i="2"/>
  <c r="S43" i="2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B15" i="5" l="1"/>
  <c r="C15" i="5"/>
  <c r="C13" i="5"/>
  <c r="D10" i="7"/>
  <c r="C6" i="5"/>
  <c r="D6" i="5" s="1"/>
  <c r="E6" i="5" s="1"/>
  <c r="S3" i="5"/>
  <c r="D11" i="7" l="1"/>
  <c r="C24" i="3"/>
  <c r="C25" i="3"/>
  <c r="C26" i="3"/>
  <c r="C73" i="3"/>
  <c r="C74" i="3"/>
  <c r="C75" i="3"/>
  <c r="C109" i="3"/>
  <c r="C110" i="3"/>
  <c r="C111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U89" i="2"/>
  <c r="C94" i="3" s="1"/>
  <c r="K2" i="5"/>
  <c r="U13" i="2" s="1"/>
  <c r="C10" i="3" s="1"/>
  <c r="J3" i="5"/>
  <c r="K3" i="5" s="1"/>
  <c r="C4" i="5"/>
  <c r="C5" i="5" s="1"/>
  <c r="D4" i="5"/>
  <c r="D5" i="5" s="1"/>
  <c r="E4" i="5"/>
  <c r="E5" i="5" s="1"/>
  <c r="B4" i="5"/>
  <c r="B5" i="5" s="1"/>
  <c r="U57" i="2" l="1"/>
  <c r="C58" i="3" s="1"/>
  <c r="U11" i="2"/>
  <c r="C8" i="3" s="1"/>
  <c r="J4" i="5"/>
  <c r="J5" i="5" s="1"/>
  <c r="J6" i="5" s="1"/>
  <c r="K6" i="5" s="1"/>
  <c r="U49" i="2" s="1"/>
  <c r="C50" i="3" s="1"/>
  <c r="U16" i="2"/>
  <c r="C13" i="3" s="1"/>
  <c r="U61" i="2"/>
  <c r="C62" i="3" s="1"/>
  <c r="C14" i="5"/>
  <c r="C11" i="5" s="1"/>
  <c r="K13" i="5" s="1"/>
  <c r="B14" i="5"/>
  <c r="B11" i="5" s="1"/>
  <c r="J12" i="5" s="1"/>
  <c r="U88" i="2"/>
  <c r="C93" i="3" s="1"/>
  <c r="U56" i="2"/>
  <c r="C57" i="3" s="1"/>
  <c r="K15" i="5"/>
  <c r="E14" i="5"/>
  <c r="E11" i="5" s="1"/>
  <c r="M16" i="5" s="1"/>
  <c r="M15" i="5"/>
  <c r="D14" i="5"/>
  <c r="D11" i="5" s="1"/>
  <c r="L14" i="5" s="1"/>
  <c r="U121" i="2"/>
  <c r="U127" i="2"/>
  <c r="U131" i="2"/>
  <c r="U135" i="2"/>
  <c r="U165" i="2"/>
  <c r="U130" i="2"/>
  <c r="U166" i="2"/>
  <c r="U128" i="2"/>
  <c r="U132" i="2"/>
  <c r="U122" i="2"/>
  <c r="U129" i="2"/>
  <c r="U133" i="2"/>
  <c r="U124" i="2"/>
  <c r="U167" i="2"/>
  <c r="U125" i="2"/>
  <c r="U126" i="2"/>
  <c r="U134" i="2"/>
  <c r="U90" i="2"/>
  <c r="C95" i="3" s="1"/>
  <c r="U58" i="2"/>
  <c r="C59" i="3" s="1"/>
  <c r="U12" i="2"/>
  <c r="C9" i="3" s="1"/>
  <c r="K5" i="5"/>
  <c r="U21" i="2" s="1"/>
  <c r="C18" i="3" s="1"/>
  <c r="U93" i="2"/>
  <c r="C98" i="3" s="1"/>
  <c r="U14" i="2"/>
  <c r="C11" i="3" s="1"/>
  <c r="U110" i="2"/>
  <c r="C119" i="3" s="1"/>
  <c r="U101" i="2"/>
  <c r="C106" i="3" s="1"/>
  <c r="U119" i="2"/>
  <c r="U82" i="2"/>
  <c r="C87" i="3" s="1"/>
  <c r="U73" i="2"/>
  <c r="C78" i="3" s="1"/>
  <c r="U68" i="2"/>
  <c r="C69" i="3" s="1"/>
  <c r="U60" i="2"/>
  <c r="C61" i="3" s="1"/>
  <c r="U25" i="2"/>
  <c r="C22" i="3" s="1"/>
  <c r="U50" i="2"/>
  <c r="C51" i="3" s="1"/>
  <c r="U69" i="2"/>
  <c r="C70" i="3" s="1"/>
  <c r="U100" i="2"/>
  <c r="C105" i="3" s="1"/>
  <c r="U92" i="2"/>
  <c r="C97" i="3" s="1"/>
  <c r="K4" i="5"/>
  <c r="U112" i="2"/>
  <c r="C121" i="3" s="1"/>
  <c r="U91" i="2"/>
  <c r="C96" i="3" s="1"/>
  <c r="U86" i="2"/>
  <c r="C91" i="3" s="1"/>
  <c r="U81" i="2"/>
  <c r="C86" i="3" s="1"/>
  <c r="U59" i="2"/>
  <c r="C60" i="3" s="1"/>
  <c r="U54" i="2"/>
  <c r="C55" i="3" s="1"/>
  <c r="U38" i="2"/>
  <c r="C39" i="3" s="1"/>
  <c r="U24" i="2"/>
  <c r="C21" i="3" s="1"/>
  <c r="U153" i="2"/>
  <c r="U155" i="2"/>
  <c r="U158" i="2"/>
  <c r="U161" i="2"/>
  <c r="U156" i="2"/>
  <c r="U163" i="2"/>
  <c r="U149" i="2"/>
  <c r="U151" i="2"/>
  <c r="U159" i="2"/>
  <c r="U150" i="2"/>
  <c r="U154" i="2"/>
  <c r="U115" i="2"/>
  <c r="C124" i="3" s="1"/>
  <c r="U83" i="2"/>
  <c r="C88" i="3" s="1"/>
  <c r="U41" i="2"/>
  <c r="C42" i="3" s="1"/>
  <c r="U36" i="2"/>
  <c r="C37" i="3" s="1"/>
  <c r="U51" i="2"/>
  <c r="C52" i="3" s="1"/>
  <c r="U141" i="2"/>
  <c r="U172" i="2"/>
  <c r="U173" i="2"/>
  <c r="U138" i="2"/>
  <c r="U142" i="2"/>
  <c r="U146" i="2"/>
  <c r="U136" i="2"/>
  <c r="U140" i="2"/>
  <c r="U139" i="2"/>
  <c r="U143" i="2"/>
  <c r="U147" i="2"/>
  <c r="U144" i="2"/>
  <c r="U137" i="2"/>
  <c r="U145" i="2"/>
  <c r="U111" i="2"/>
  <c r="C120" i="3" s="1"/>
  <c r="U102" i="2"/>
  <c r="C107" i="3" s="1"/>
  <c r="U85" i="2"/>
  <c r="C90" i="3" s="1"/>
  <c r="U70" i="2"/>
  <c r="C71" i="3" s="1"/>
  <c r="U53" i="2"/>
  <c r="C54" i="3" s="1"/>
  <c r="U37" i="2"/>
  <c r="C38" i="3" s="1"/>
  <c r="U28" i="2"/>
  <c r="C29" i="3" s="1"/>
  <c r="U23" i="2"/>
  <c r="C20" i="3" s="1"/>
  <c r="U15" i="2"/>
  <c r="C12" i="3" s="1"/>
  <c r="D13" i="7"/>
  <c r="D12" i="7"/>
  <c r="L13" i="5" l="1"/>
  <c r="M12" i="5"/>
  <c r="J14" i="5"/>
  <c r="U34" i="2"/>
  <c r="C35" i="3" s="1"/>
  <c r="U67" i="2"/>
  <c r="C68" i="3" s="1"/>
  <c r="U170" i="2"/>
  <c r="U35" i="2"/>
  <c r="C36" i="3" s="1"/>
  <c r="M14" i="5"/>
  <c r="U80" i="2"/>
  <c r="C85" i="3" s="1"/>
  <c r="U118" i="2"/>
  <c r="U109" i="2"/>
  <c r="C118" i="3" s="1"/>
  <c r="L12" i="5"/>
  <c r="M13" i="5"/>
  <c r="K16" i="5"/>
  <c r="L16" i="5"/>
  <c r="U72" i="2"/>
  <c r="C77" i="3" s="1"/>
  <c r="U99" i="2"/>
  <c r="C104" i="3" s="1"/>
  <c r="U114" i="2"/>
  <c r="C123" i="3" s="1"/>
  <c r="U40" i="2"/>
  <c r="C41" i="3" s="1"/>
  <c r="U78" i="2"/>
  <c r="C83" i="3" s="1"/>
  <c r="J15" i="5"/>
  <c r="L15" i="5"/>
  <c r="U66" i="2"/>
  <c r="C67" i="3" s="1"/>
  <c r="U98" i="2"/>
  <c r="C103" i="3" s="1"/>
  <c r="U48" i="2"/>
  <c r="C49" i="3" s="1"/>
  <c r="U33" i="2"/>
  <c r="C34" i="3" s="1"/>
  <c r="U20" i="2"/>
  <c r="C17" i="3" s="1"/>
  <c r="U108" i="2"/>
  <c r="C117" i="3" s="1"/>
  <c r="U169" i="2"/>
  <c r="J13" i="5"/>
  <c r="J16" i="5"/>
  <c r="K12" i="5"/>
  <c r="K14" i="5"/>
  <c r="U46" i="2"/>
  <c r="C47" i="3" s="1"/>
  <c r="U65" i="2"/>
  <c r="C66" i="3" s="1"/>
  <c r="U107" i="2"/>
  <c r="C116" i="3" s="1"/>
  <c r="U79" i="2"/>
  <c r="C84" i="3" s="1"/>
  <c r="U27" i="2"/>
  <c r="C28" i="3" s="1"/>
  <c r="U47" i="2"/>
  <c r="C48" i="3" s="1"/>
  <c r="U22" i="2"/>
  <c r="C19" i="3" s="1"/>
  <c r="U97" i="2"/>
  <c r="C102" i="3" s="1"/>
  <c r="U44" i="2"/>
  <c r="C45" i="3" s="1"/>
  <c r="U43" i="2"/>
  <c r="C44" i="3" s="1"/>
  <c r="U19" i="2"/>
  <c r="C16" i="3" s="1"/>
  <c r="U62" i="2"/>
  <c r="C63" i="3" s="1"/>
  <c r="U76" i="2"/>
  <c r="C81" i="3" s="1"/>
  <c r="U94" i="2"/>
  <c r="C99" i="3" s="1"/>
  <c r="U117" i="2"/>
  <c r="U32" i="2"/>
  <c r="C33" i="3" s="1"/>
  <c r="U106" i="2"/>
  <c r="C115" i="3" s="1"/>
  <c r="U45" i="2"/>
  <c r="C46" i="3" s="1"/>
  <c r="U30" i="2"/>
  <c r="C31" i="3" s="1"/>
  <c r="U63" i="2"/>
  <c r="C64" i="3" s="1"/>
  <c r="U77" i="2"/>
  <c r="C82" i="3" s="1"/>
  <c r="U95" i="2"/>
  <c r="C100" i="3" s="1"/>
  <c r="U104" i="2"/>
  <c r="C113" i="3" s="1"/>
  <c r="U96" i="2"/>
  <c r="C101" i="3" s="1"/>
  <c r="U17" i="2"/>
  <c r="C14" i="3" s="1"/>
  <c r="U31" i="2"/>
  <c r="C32" i="3" s="1"/>
  <c r="U64" i="2"/>
  <c r="C65" i="3" s="1"/>
  <c r="U105" i="2"/>
  <c r="C114" i="3" s="1"/>
  <c r="U18" i="2"/>
  <c r="C15" i="3" s="1"/>
  <c r="U75" i="2"/>
  <c r="C80" i="3" s="1"/>
  <c r="T115" i="2"/>
  <c r="T114" i="2"/>
  <c r="T105" i="2"/>
  <c r="T106" i="2"/>
  <c r="T107" i="2"/>
  <c r="T108" i="2"/>
  <c r="T109" i="2"/>
  <c r="T110" i="2"/>
  <c r="T112" i="2"/>
  <c r="T104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88" i="2"/>
  <c r="A118" i="2"/>
  <c r="A119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F118" i="2"/>
  <c r="F117" i="2"/>
  <c r="F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G115" i="2" s="1"/>
  <c r="F90" i="2"/>
  <c r="I105" i="2"/>
  <c r="J106" i="2"/>
  <c r="M106" i="2" s="1"/>
  <c r="G115" i="3" s="1"/>
  <c r="I109" i="2"/>
  <c r="J110" i="2"/>
  <c r="M110" i="2" s="1"/>
  <c r="G119" i="3" s="1"/>
  <c r="H88" i="2"/>
  <c r="G88" i="2" s="1"/>
  <c r="L72" i="2"/>
  <c r="H90" i="2"/>
  <c r="G90" i="2" s="1"/>
  <c r="J92" i="2"/>
  <c r="H94" i="2"/>
  <c r="G94" i="2" s="1"/>
  <c r="J96" i="2"/>
  <c r="H98" i="2"/>
  <c r="G98" i="2" s="1"/>
  <c r="J100" i="2"/>
  <c r="H102" i="2"/>
  <c r="G102" i="2" s="1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5" i="2"/>
  <c r="Q76" i="2"/>
  <c r="Q77" i="2"/>
  <c r="Q78" i="2"/>
  <c r="Q79" i="2"/>
  <c r="Q80" i="2"/>
  <c r="Q81" i="2"/>
  <c r="Q82" i="2"/>
  <c r="Q83" i="2"/>
  <c r="Q85" i="2"/>
  <c r="Q86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G5" i="2"/>
  <c r="J90" i="2" s="1"/>
  <c r="I90" i="2"/>
  <c r="I119" i="2"/>
  <c r="F72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G89" i="2" s="1"/>
  <c r="F91" i="2"/>
  <c r="H91" i="2" s="1"/>
  <c r="G91" i="2" s="1"/>
  <c r="F92" i="2"/>
  <c r="H92" i="2" s="1"/>
  <c r="G92" i="2" s="1"/>
  <c r="F93" i="2"/>
  <c r="H93" i="2" s="1"/>
  <c r="G93" i="2" s="1"/>
  <c r="F94" i="2"/>
  <c r="I94" i="2" s="1"/>
  <c r="F95" i="2"/>
  <c r="F96" i="2"/>
  <c r="H96" i="2" s="1"/>
  <c r="G96" i="2" s="1"/>
  <c r="F97" i="2"/>
  <c r="H97" i="2" s="1"/>
  <c r="G97" i="2" s="1"/>
  <c r="F98" i="2"/>
  <c r="F99" i="2"/>
  <c r="I99" i="2" s="1"/>
  <c r="F100" i="2"/>
  <c r="H100" i="2" s="1"/>
  <c r="G100" i="2" s="1"/>
  <c r="F101" i="2"/>
  <c r="H101" i="2" s="1"/>
  <c r="G101" i="2" s="1"/>
  <c r="F102" i="2"/>
  <c r="I102" i="2" s="1"/>
  <c r="F104" i="2"/>
  <c r="I104" i="2" s="1"/>
  <c r="F105" i="2"/>
  <c r="J105" i="2" s="1"/>
  <c r="M105" i="2" s="1"/>
  <c r="G114" i="3" s="1"/>
  <c r="F106" i="2"/>
  <c r="H106" i="2" s="1"/>
  <c r="G106" i="2" s="1"/>
  <c r="F107" i="2"/>
  <c r="H107" i="2" s="1"/>
  <c r="G107" i="2" s="1"/>
  <c r="F108" i="2"/>
  <c r="I108" i="2" s="1"/>
  <c r="F109" i="2"/>
  <c r="J109" i="2" s="1"/>
  <c r="M109" i="2" s="1"/>
  <c r="G118" i="3" s="1"/>
  <c r="F110" i="2"/>
  <c r="H110" i="2" s="1"/>
  <c r="G110" i="2" s="1"/>
  <c r="F111" i="2"/>
  <c r="H111" i="2" s="1"/>
  <c r="G111" i="2" s="1"/>
  <c r="F112" i="2"/>
  <c r="I112" i="2" s="1"/>
  <c r="F114" i="2"/>
  <c r="I114" i="2" s="1"/>
  <c r="L41" i="2" l="1"/>
  <c r="L47" i="2"/>
  <c r="L21" i="2"/>
  <c r="L48" i="2"/>
  <c r="L33" i="2"/>
  <c r="L27" i="2"/>
  <c r="L46" i="2"/>
  <c r="L40" i="2"/>
  <c r="L34" i="2"/>
  <c r="L53" i="2"/>
  <c r="L35" i="2"/>
  <c r="L20" i="2"/>
  <c r="L18" i="2"/>
  <c r="L43" i="2"/>
  <c r="L32" i="2"/>
  <c r="L44" i="2"/>
  <c r="L17" i="2"/>
  <c r="L31" i="2"/>
  <c r="L30" i="2"/>
  <c r="L45" i="2"/>
  <c r="L19" i="2"/>
  <c r="A33" i="2"/>
  <c r="F33" i="2" s="1"/>
  <c r="H33" i="2" s="1"/>
  <c r="L12" i="2"/>
  <c r="L13" i="2"/>
  <c r="L16" i="2"/>
  <c r="L15" i="2"/>
  <c r="L14" i="2"/>
  <c r="L25" i="2"/>
  <c r="L51" i="2"/>
  <c r="L36" i="2"/>
  <c r="L28" i="2"/>
  <c r="L37" i="2"/>
  <c r="L54" i="2"/>
  <c r="L49" i="2"/>
  <c r="L38" i="2"/>
  <c r="L50" i="2"/>
  <c r="H112" i="2"/>
  <c r="G112" i="2" s="1"/>
  <c r="J115" i="2"/>
  <c r="H85" i="2"/>
  <c r="H83" i="2"/>
  <c r="H79" i="2"/>
  <c r="J101" i="2"/>
  <c r="I100" i="2"/>
  <c r="H99" i="2"/>
  <c r="G99" i="2" s="1"/>
  <c r="J97" i="2"/>
  <c r="I96" i="2"/>
  <c r="H95" i="2"/>
  <c r="G95" i="2" s="1"/>
  <c r="J93" i="2"/>
  <c r="I92" i="2"/>
  <c r="J89" i="2"/>
  <c r="J111" i="2"/>
  <c r="M111" i="2" s="1"/>
  <c r="G120" i="3" s="1"/>
  <c r="I110" i="2"/>
  <c r="H109" i="2"/>
  <c r="G109" i="2" s="1"/>
  <c r="J107" i="2"/>
  <c r="M107" i="2" s="1"/>
  <c r="G116" i="3" s="1"/>
  <c r="I106" i="2"/>
  <c r="H105" i="2"/>
  <c r="G105" i="2" s="1"/>
  <c r="H114" i="2"/>
  <c r="G114" i="2" s="1"/>
  <c r="I115" i="2"/>
  <c r="J118" i="2"/>
  <c r="A95" i="2"/>
  <c r="A79" i="2"/>
  <c r="A61" i="2"/>
  <c r="F61" i="2" s="1"/>
  <c r="I61" i="2" s="1"/>
  <c r="H54" i="2"/>
  <c r="G54" i="2" s="1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A12" i="2"/>
  <c r="F12" i="2" s="1"/>
  <c r="H12" i="2" s="1"/>
  <c r="A68" i="2"/>
  <c r="F68" i="2" s="1"/>
  <c r="A64" i="2"/>
  <c r="F64" i="2" s="1"/>
  <c r="J64" i="2" s="1"/>
  <c r="A60" i="2"/>
  <c r="F60" i="2" s="1"/>
  <c r="A72" i="2"/>
  <c r="A51" i="2"/>
  <c r="F51" i="2" s="1"/>
  <c r="I51" i="2" s="1"/>
  <c r="A47" i="2"/>
  <c r="F47" i="2" s="1"/>
  <c r="J47" i="2" s="1"/>
  <c r="I95" i="2"/>
  <c r="H108" i="2"/>
  <c r="G108" i="2" s="1"/>
  <c r="A29" i="2"/>
  <c r="A53" i="2"/>
  <c r="F53" i="2" s="1"/>
  <c r="H53" i="2" s="1"/>
  <c r="G53" i="2" s="1"/>
  <c r="A65" i="2"/>
  <c r="F65" i="2" s="1"/>
  <c r="I65" i="2" s="1"/>
  <c r="J76" i="2"/>
  <c r="H75" i="2"/>
  <c r="I82" i="2"/>
  <c r="I80" i="2"/>
  <c r="I78" i="2"/>
  <c r="I76" i="2"/>
  <c r="J102" i="2"/>
  <c r="I101" i="2"/>
  <c r="J98" i="2"/>
  <c r="I97" i="2"/>
  <c r="J94" i="2"/>
  <c r="I93" i="2"/>
  <c r="I89" i="2"/>
  <c r="J112" i="2"/>
  <c r="M112" i="2" s="1"/>
  <c r="G121" i="3" s="1"/>
  <c r="I111" i="2"/>
  <c r="J108" i="2"/>
  <c r="M108" i="2" s="1"/>
  <c r="G117" i="3" s="1"/>
  <c r="I107" i="2"/>
  <c r="J114" i="2"/>
  <c r="J119" i="2"/>
  <c r="I118" i="2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A15" i="2"/>
  <c r="F15" i="2" s="1"/>
  <c r="H15" i="2" s="1"/>
  <c r="A41" i="2"/>
  <c r="F41" i="2" s="1"/>
  <c r="H41" i="2" s="1"/>
  <c r="A73" i="2"/>
  <c r="I91" i="2"/>
  <c r="H104" i="2"/>
  <c r="G104" i="2" s="1"/>
  <c r="A83" i="2"/>
  <c r="I75" i="2"/>
  <c r="J99" i="2"/>
  <c r="I98" i="2"/>
  <c r="J95" i="2"/>
  <c r="J91" i="2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A70" i="2"/>
  <c r="F70" i="2" s="1"/>
  <c r="A49" i="2"/>
  <c r="F49" i="2" s="1"/>
  <c r="I49" i="2" s="1"/>
  <c r="A45" i="2"/>
  <c r="F45" i="2" s="1"/>
  <c r="I45" i="2" s="1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J117" i="2"/>
  <c r="I117" i="2"/>
  <c r="H68" i="2"/>
  <c r="I68" i="2"/>
  <c r="I64" i="2"/>
  <c r="H60" i="2"/>
  <c r="I60" i="2"/>
  <c r="J69" i="2"/>
  <c r="H59" i="2"/>
  <c r="I59" i="2"/>
  <c r="H70" i="2"/>
  <c r="I70" i="2"/>
  <c r="J70" i="2"/>
  <c r="I66" i="2"/>
  <c r="J66" i="2"/>
  <c r="H66" i="2"/>
  <c r="I62" i="2"/>
  <c r="H62" i="2"/>
  <c r="J62" i="2"/>
  <c r="I58" i="2"/>
  <c r="J58" i="2"/>
  <c r="H58" i="2"/>
  <c r="H63" i="2"/>
  <c r="I63" i="2"/>
  <c r="H57" i="2"/>
  <c r="H67" i="2"/>
  <c r="I67" i="2"/>
  <c r="J61" i="2"/>
  <c r="H65" i="2"/>
  <c r="J68" i="2"/>
  <c r="J60" i="2"/>
  <c r="J67" i="2"/>
  <c r="J63" i="2"/>
  <c r="J59" i="2"/>
  <c r="J56" i="2"/>
  <c r="L24" i="2"/>
  <c r="L23" i="2"/>
  <c r="J85" i="2"/>
  <c r="L85" i="2" s="1"/>
  <c r="F90" i="3" s="1"/>
  <c r="J77" i="2"/>
  <c r="I23" i="2"/>
  <c r="H18" i="2"/>
  <c r="H51" i="2"/>
  <c r="H49" i="2"/>
  <c r="I47" i="2"/>
  <c r="J45" i="2"/>
  <c r="I53" i="2"/>
  <c r="J53" i="2"/>
  <c r="F20" i="2"/>
  <c r="H20" i="2" s="1"/>
  <c r="J82" i="2"/>
  <c r="J80" i="2"/>
  <c r="J17" i="2"/>
  <c r="J15" i="2"/>
  <c r="F24" i="2" s="1"/>
  <c r="H24" i="2" s="1"/>
  <c r="J33" i="2"/>
  <c r="I50" i="2"/>
  <c r="J48" i="2"/>
  <c r="H47" i="2"/>
  <c r="H45" i="2"/>
  <c r="J86" i="2"/>
  <c r="J78" i="2"/>
  <c r="H17" i="2"/>
  <c r="I15" i="2"/>
  <c r="J13" i="2"/>
  <c r="F22" i="2" s="1"/>
  <c r="J22" i="2" s="1"/>
  <c r="I28" i="2"/>
  <c r="I33" i="2"/>
  <c r="J51" i="2"/>
  <c r="H50" i="2"/>
  <c r="I48" i="2"/>
  <c r="I46" i="2"/>
  <c r="J44" i="2"/>
  <c r="I86" i="2"/>
  <c r="J81" i="2"/>
  <c r="I18" i="2"/>
  <c r="H13" i="2"/>
  <c r="H28" i="2"/>
  <c r="J49" i="2"/>
  <c r="H46" i="2"/>
  <c r="I44" i="2"/>
  <c r="I54" i="2"/>
  <c r="J54" i="2"/>
  <c r="J41" i="2"/>
  <c r="I41" i="2"/>
  <c r="H61" i="2" l="1"/>
  <c r="H69" i="2"/>
  <c r="J65" i="2"/>
  <c r="J57" i="2"/>
  <c r="H64" i="2"/>
  <c r="I56" i="2"/>
  <c r="H40" i="2"/>
  <c r="H23" i="2"/>
  <c r="I14" i="2"/>
  <c r="I19" i="2"/>
  <c r="I12" i="2"/>
  <c r="J19" i="2"/>
  <c r="J12" i="2"/>
  <c r="F21" i="2" s="1"/>
  <c r="I40" i="2"/>
  <c r="J24" i="2"/>
  <c r="I16" i="2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J16" i="2"/>
  <c r="F25" i="2" s="1"/>
  <c r="I25" i="2" s="1"/>
  <c r="I24" i="2"/>
  <c r="H14" i="2"/>
  <c r="A36" i="2"/>
  <c r="F36" i="2" s="1"/>
  <c r="I20" i="2"/>
  <c r="J20" i="2"/>
  <c r="H22" i="2"/>
  <c r="J21" i="2"/>
  <c r="J25" i="2"/>
  <c r="I22" i="2"/>
  <c r="H25" i="2" l="1"/>
  <c r="I21" i="2"/>
  <c r="H21" i="2"/>
  <c r="J32" i="2"/>
  <c r="H32" i="2"/>
  <c r="I32" i="2"/>
  <c r="I31" i="2"/>
  <c r="H31" i="2"/>
  <c r="J31" i="2"/>
  <c r="I35" i="2"/>
  <c r="H35" i="2"/>
  <c r="J35" i="2"/>
  <c r="J36" i="2"/>
  <c r="I36" i="2"/>
  <c r="H36" i="2"/>
  <c r="J30" i="2"/>
  <c r="H30" i="2"/>
  <c r="I30" i="2"/>
  <c r="H37" i="2"/>
  <c r="I37" i="2"/>
  <c r="J37" i="2"/>
  <c r="H34" i="2"/>
  <c r="I34" i="2"/>
  <c r="J34" i="2"/>
  <c r="H38" i="2"/>
  <c r="I38" i="2"/>
  <c r="J38" i="2"/>
  <c r="I27" i="2" l="1"/>
  <c r="A27" i="2"/>
  <c r="F27" i="2"/>
  <c r="J27" i="2" s="1"/>
  <c r="H27" i="2" l="1"/>
  <c r="A43" i="2" l="1"/>
  <c r="F43" i="2"/>
  <c r="I43" i="2" s="1"/>
  <c r="H43" i="2"/>
  <c r="J43" i="2" l="1"/>
  <c r="A114" i="2" l="1"/>
  <c r="S128" i="2" l="1"/>
  <c r="S142" i="2"/>
  <c r="S138" i="2"/>
  <c r="S134" i="2"/>
  <c r="S146" i="2"/>
  <c r="S136" i="2"/>
  <c r="S145" i="2"/>
  <c r="S126" i="2"/>
  <c r="S143" i="2"/>
  <c r="S140" i="2"/>
  <c r="S144" i="2"/>
  <c r="S135" i="2"/>
  <c r="S130" i="2"/>
  <c r="S125" i="2"/>
  <c r="S129" i="2"/>
  <c r="S141" i="2"/>
  <c r="S124" i="2"/>
  <c r="L129" i="3" s="1"/>
  <c r="S139" i="2"/>
  <c r="S131" i="2"/>
  <c r="S133" i="2"/>
  <c r="S127" i="2"/>
  <c r="S137" i="2"/>
  <c r="S132" i="2"/>
  <c r="S147" i="2"/>
  <c r="D8" i="3"/>
  <c r="E8" i="3"/>
  <c r="H8" i="3"/>
  <c r="M8" i="3"/>
  <c r="D9" i="3"/>
  <c r="E9" i="3"/>
  <c r="H9" i="3"/>
  <c r="M9" i="3"/>
  <c r="D10" i="3"/>
  <c r="E10" i="3"/>
  <c r="H10" i="3"/>
  <c r="M10" i="3"/>
  <c r="D11" i="3"/>
  <c r="E11" i="3"/>
  <c r="H11" i="3"/>
  <c r="M11" i="3"/>
  <c r="D12" i="3"/>
  <c r="E12" i="3"/>
  <c r="H12" i="3"/>
  <c r="M12" i="3"/>
  <c r="D13" i="3"/>
  <c r="E13" i="3"/>
  <c r="H13" i="3"/>
  <c r="M13" i="3"/>
  <c r="D14" i="3"/>
  <c r="E14" i="3"/>
  <c r="H14" i="3"/>
  <c r="M14" i="3"/>
  <c r="D15" i="3"/>
  <c r="E15" i="3"/>
  <c r="H15" i="3"/>
  <c r="M15" i="3"/>
  <c r="D16" i="3"/>
  <c r="E16" i="3"/>
  <c r="H16" i="3"/>
  <c r="M16" i="3"/>
  <c r="D17" i="3"/>
  <c r="E17" i="3"/>
  <c r="H17" i="3"/>
  <c r="M17" i="3"/>
  <c r="D18" i="3"/>
  <c r="E18" i="3"/>
  <c r="H18" i="3"/>
  <c r="M18" i="3"/>
  <c r="D19" i="3"/>
  <c r="E19" i="3"/>
  <c r="H19" i="3"/>
  <c r="M19" i="3"/>
  <c r="D20" i="3"/>
  <c r="E20" i="3"/>
  <c r="H20" i="3"/>
  <c r="M20" i="3"/>
  <c r="D21" i="3"/>
  <c r="E21" i="3"/>
  <c r="H21" i="3"/>
  <c r="M21" i="3"/>
  <c r="D22" i="3"/>
  <c r="E22" i="3"/>
  <c r="H22" i="3"/>
  <c r="M22" i="3"/>
  <c r="D28" i="3"/>
  <c r="E28" i="3"/>
  <c r="H28" i="3"/>
  <c r="M28" i="3"/>
  <c r="D29" i="3"/>
  <c r="E29" i="3"/>
  <c r="H29" i="3"/>
  <c r="M29" i="3"/>
  <c r="D31" i="3"/>
  <c r="E31" i="3"/>
  <c r="H31" i="3"/>
  <c r="M31" i="3"/>
  <c r="D32" i="3"/>
  <c r="E32" i="3"/>
  <c r="H32" i="3"/>
  <c r="M32" i="3"/>
  <c r="D33" i="3"/>
  <c r="E33" i="3"/>
  <c r="H33" i="3"/>
  <c r="M33" i="3"/>
  <c r="D34" i="3"/>
  <c r="E34" i="3"/>
  <c r="H34" i="3"/>
  <c r="M34" i="3"/>
  <c r="D35" i="3"/>
  <c r="E35" i="3"/>
  <c r="H35" i="3"/>
  <c r="M35" i="3"/>
  <c r="D36" i="3"/>
  <c r="E36" i="3"/>
  <c r="H36" i="3"/>
  <c r="M36" i="3"/>
  <c r="D37" i="3"/>
  <c r="E37" i="3"/>
  <c r="H37" i="3"/>
  <c r="M37" i="3"/>
  <c r="D38" i="3"/>
  <c r="E38" i="3"/>
  <c r="H38" i="3"/>
  <c r="M38" i="3"/>
  <c r="D39" i="3"/>
  <c r="E39" i="3"/>
  <c r="H39" i="3"/>
  <c r="M39" i="3"/>
  <c r="D41" i="3"/>
  <c r="E41" i="3"/>
  <c r="H41" i="3"/>
  <c r="M41" i="3"/>
  <c r="D42" i="3"/>
  <c r="E42" i="3"/>
  <c r="H42" i="3"/>
  <c r="M42" i="3"/>
  <c r="D44" i="3"/>
  <c r="E44" i="3"/>
  <c r="H44" i="3"/>
  <c r="M44" i="3"/>
  <c r="D45" i="3"/>
  <c r="E45" i="3"/>
  <c r="H45" i="3"/>
  <c r="M45" i="3"/>
  <c r="D46" i="3"/>
  <c r="E46" i="3"/>
  <c r="H46" i="3"/>
  <c r="M46" i="3"/>
  <c r="D47" i="3"/>
  <c r="E47" i="3"/>
  <c r="H47" i="3"/>
  <c r="M47" i="3"/>
  <c r="D48" i="3"/>
  <c r="E48" i="3"/>
  <c r="H48" i="3"/>
  <c r="M48" i="3"/>
  <c r="D49" i="3"/>
  <c r="E49" i="3"/>
  <c r="H49" i="3"/>
  <c r="M49" i="3"/>
  <c r="D50" i="3"/>
  <c r="E50" i="3"/>
  <c r="H50" i="3"/>
  <c r="M50" i="3"/>
  <c r="D51" i="3"/>
  <c r="E51" i="3"/>
  <c r="H51" i="3"/>
  <c r="M51" i="3"/>
  <c r="D52" i="3"/>
  <c r="E52" i="3"/>
  <c r="H52" i="3"/>
  <c r="M52" i="3"/>
  <c r="D54" i="3"/>
  <c r="E54" i="3"/>
  <c r="H54" i="3"/>
  <c r="M54" i="3"/>
  <c r="D55" i="3"/>
  <c r="E55" i="3"/>
  <c r="H55" i="3"/>
  <c r="M55" i="3"/>
  <c r="D57" i="3"/>
  <c r="E57" i="3"/>
  <c r="H57" i="3"/>
  <c r="M57" i="3"/>
  <c r="D58" i="3"/>
  <c r="E58" i="3"/>
  <c r="H58" i="3"/>
  <c r="M58" i="3"/>
  <c r="D59" i="3"/>
  <c r="E59" i="3"/>
  <c r="H59" i="3"/>
  <c r="M59" i="3"/>
  <c r="D60" i="3"/>
  <c r="E60" i="3"/>
  <c r="H60" i="3"/>
  <c r="M60" i="3"/>
  <c r="D61" i="3"/>
  <c r="E61" i="3"/>
  <c r="H61" i="3"/>
  <c r="M61" i="3"/>
  <c r="D62" i="3"/>
  <c r="E62" i="3"/>
  <c r="H62" i="3"/>
  <c r="M62" i="3"/>
  <c r="D63" i="3"/>
  <c r="E63" i="3"/>
  <c r="H63" i="3"/>
  <c r="M63" i="3"/>
  <c r="D64" i="3"/>
  <c r="E64" i="3"/>
  <c r="H64" i="3"/>
  <c r="M64" i="3"/>
  <c r="D65" i="3"/>
  <c r="E65" i="3"/>
  <c r="H65" i="3"/>
  <c r="M65" i="3"/>
  <c r="D66" i="3"/>
  <c r="E66" i="3"/>
  <c r="H66" i="3"/>
  <c r="M66" i="3"/>
  <c r="D67" i="3"/>
  <c r="E67" i="3"/>
  <c r="H67" i="3"/>
  <c r="M67" i="3"/>
  <c r="D68" i="3"/>
  <c r="E68" i="3"/>
  <c r="H68" i="3"/>
  <c r="M68" i="3"/>
  <c r="D69" i="3"/>
  <c r="E69" i="3"/>
  <c r="H69" i="3"/>
  <c r="M69" i="3"/>
  <c r="D70" i="3"/>
  <c r="E70" i="3"/>
  <c r="H70" i="3"/>
  <c r="M70" i="3"/>
  <c r="D71" i="3"/>
  <c r="E71" i="3"/>
  <c r="H71" i="3"/>
  <c r="M71" i="3"/>
  <c r="D77" i="3"/>
  <c r="E77" i="3"/>
  <c r="H77" i="3"/>
  <c r="M77" i="3"/>
  <c r="D78" i="3"/>
  <c r="E78" i="3"/>
  <c r="H78" i="3"/>
  <c r="M78" i="3"/>
  <c r="D80" i="3"/>
  <c r="E80" i="3"/>
  <c r="H80" i="3"/>
  <c r="M80" i="3"/>
  <c r="D81" i="3"/>
  <c r="E81" i="3"/>
  <c r="H81" i="3"/>
  <c r="M81" i="3"/>
  <c r="D82" i="3"/>
  <c r="E82" i="3"/>
  <c r="H82" i="3"/>
  <c r="M82" i="3"/>
  <c r="D83" i="3"/>
  <c r="E83" i="3"/>
  <c r="H83" i="3"/>
  <c r="M83" i="3"/>
  <c r="D84" i="3"/>
  <c r="E84" i="3"/>
  <c r="H84" i="3"/>
  <c r="M84" i="3"/>
  <c r="D85" i="3"/>
  <c r="E85" i="3"/>
  <c r="H85" i="3"/>
  <c r="M85" i="3"/>
  <c r="D86" i="3"/>
  <c r="E86" i="3"/>
  <c r="H86" i="3"/>
  <c r="M86" i="3"/>
  <c r="D87" i="3"/>
  <c r="E87" i="3"/>
  <c r="H87" i="3"/>
  <c r="M87" i="3"/>
  <c r="D88" i="3"/>
  <c r="E88" i="3"/>
  <c r="H88" i="3"/>
  <c r="M88" i="3"/>
  <c r="H90" i="3"/>
  <c r="M90" i="3"/>
  <c r="H91" i="3"/>
  <c r="M91" i="3"/>
  <c r="D93" i="3"/>
  <c r="E93" i="3"/>
  <c r="H93" i="3"/>
  <c r="M93" i="3"/>
  <c r="D94" i="3"/>
  <c r="E94" i="3"/>
  <c r="H94" i="3"/>
  <c r="M94" i="3"/>
  <c r="D95" i="3"/>
  <c r="E95" i="3"/>
  <c r="H95" i="3"/>
  <c r="M95" i="3"/>
  <c r="D96" i="3"/>
  <c r="E96" i="3"/>
  <c r="H96" i="3"/>
  <c r="M96" i="3"/>
  <c r="D97" i="3"/>
  <c r="E97" i="3"/>
  <c r="H97" i="3"/>
  <c r="M97" i="3"/>
  <c r="D98" i="3"/>
  <c r="E98" i="3"/>
  <c r="H98" i="3"/>
  <c r="M98" i="3"/>
  <c r="D99" i="3"/>
  <c r="E99" i="3"/>
  <c r="H99" i="3"/>
  <c r="M99" i="3"/>
  <c r="D100" i="3"/>
  <c r="E100" i="3"/>
  <c r="H100" i="3"/>
  <c r="M100" i="3"/>
  <c r="D101" i="3"/>
  <c r="E101" i="3"/>
  <c r="H101" i="3"/>
  <c r="M101" i="3"/>
  <c r="D102" i="3"/>
  <c r="E102" i="3"/>
  <c r="H102" i="3"/>
  <c r="M102" i="3"/>
  <c r="D103" i="3"/>
  <c r="E103" i="3"/>
  <c r="H103" i="3"/>
  <c r="M103" i="3"/>
  <c r="D104" i="3"/>
  <c r="E104" i="3"/>
  <c r="H104" i="3"/>
  <c r="M104" i="3"/>
  <c r="D105" i="3"/>
  <c r="E105" i="3"/>
  <c r="H105" i="3"/>
  <c r="M105" i="3"/>
  <c r="D106" i="3"/>
  <c r="E106" i="3"/>
  <c r="H106" i="3"/>
  <c r="M106" i="3"/>
  <c r="D107" i="3"/>
  <c r="E107" i="3"/>
  <c r="H107" i="3"/>
  <c r="M107" i="3"/>
  <c r="D113" i="3"/>
  <c r="E113" i="3"/>
  <c r="H113" i="3"/>
  <c r="M113" i="3"/>
  <c r="D114" i="3"/>
  <c r="E114" i="3"/>
  <c r="H114" i="3"/>
  <c r="M114" i="3"/>
  <c r="D115" i="3"/>
  <c r="E115" i="3"/>
  <c r="H115" i="3"/>
  <c r="M115" i="3"/>
  <c r="D116" i="3"/>
  <c r="E116" i="3"/>
  <c r="H116" i="3"/>
  <c r="M116" i="3"/>
  <c r="D117" i="3"/>
  <c r="E117" i="3"/>
  <c r="H117" i="3"/>
  <c r="M117" i="3"/>
  <c r="D118" i="3"/>
  <c r="E118" i="3"/>
  <c r="H118" i="3"/>
  <c r="M118" i="3"/>
  <c r="D119" i="3"/>
  <c r="E119" i="3"/>
  <c r="H119" i="3"/>
  <c r="M119" i="3"/>
  <c r="D120" i="3"/>
  <c r="E120" i="3"/>
  <c r="H120" i="3"/>
  <c r="M120" i="3"/>
  <c r="D121" i="3"/>
  <c r="E121" i="3"/>
  <c r="H121" i="3"/>
  <c r="M121" i="3"/>
  <c r="D123" i="3"/>
  <c r="E123" i="3"/>
  <c r="H123" i="3"/>
  <c r="M123" i="3"/>
  <c r="D124" i="3"/>
  <c r="E124" i="3"/>
  <c r="H124" i="3"/>
  <c r="M124" i="3"/>
  <c r="D126" i="3"/>
  <c r="E126" i="3"/>
  <c r="H126" i="3"/>
  <c r="M126" i="3"/>
  <c r="D127" i="3"/>
  <c r="E127" i="3"/>
  <c r="H127" i="3"/>
  <c r="M127" i="3"/>
  <c r="D129" i="3"/>
  <c r="E129" i="3"/>
  <c r="H129" i="3"/>
  <c r="M129" i="3"/>
  <c r="D130" i="3"/>
  <c r="E130" i="3"/>
  <c r="H130" i="3"/>
  <c r="M130" i="3"/>
  <c r="D131" i="3"/>
  <c r="E131" i="3"/>
  <c r="H131" i="3"/>
  <c r="M131" i="3"/>
  <c r="D132" i="3"/>
  <c r="E132" i="3"/>
  <c r="H132" i="3"/>
  <c r="M132" i="3"/>
  <c r="D133" i="3"/>
  <c r="E133" i="3"/>
  <c r="H133" i="3"/>
  <c r="M133" i="3"/>
  <c r="D134" i="3"/>
  <c r="E134" i="3"/>
  <c r="H134" i="3"/>
  <c r="M134" i="3"/>
  <c r="D135" i="3"/>
  <c r="E135" i="3"/>
  <c r="H135" i="3"/>
  <c r="M135" i="3"/>
  <c r="D136" i="3"/>
  <c r="E136" i="3"/>
  <c r="H136" i="3"/>
  <c r="M136" i="3"/>
  <c r="D137" i="3"/>
  <c r="E137" i="3"/>
  <c r="H137" i="3"/>
  <c r="M137" i="3"/>
  <c r="D138" i="3"/>
  <c r="E138" i="3"/>
  <c r="H138" i="3"/>
  <c r="M138" i="3"/>
  <c r="D139" i="3"/>
  <c r="E139" i="3"/>
  <c r="H139" i="3"/>
  <c r="M139" i="3"/>
  <c r="D140" i="3"/>
  <c r="E140" i="3"/>
  <c r="H140" i="3"/>
  <c r="M140" i="3"/>
  <c r="D141" i="3"/>
  <c r="E141" i="3"/>
  <c r="H141" i="3"/>
  <c r="M141" i="3"/>
  <c r="D142" i="3"/>
  <c r="E142" i="3"/>
  <c r="H142" i="3"/>
  <c r="M142" i="3"/>
  <c r="D143" i="3"/>
  <c r="E143" i="3"/>
  <c r="H143" i="3"/>
  <c r="M143" i="3"/>
  <c r="D144" i="3"/>
  <c r="E144" i="3"/>
  <c r="H144" i="3"/>
  <c r="M144" i="3"/>
  <c r="D145" i="3"/>
  <c r="E145" i="3"/>
  <c r="H145" i="3"/>
  <c r="M145" i="3"/>
  <c r="D146" i="3"/>
  <c r="E146" i="3"/>
  <c r="H146" i="3"/>
  <c r="M146" i="3"/>
  <c r="D147" i="3"/>
  <c r="E147" i="3"/>
  <c r="H147" i="3"/>
  <c r="M147" i="3"/>
  <c r="D148" i="3"/>
  <c r="E148" i="3"/>
  <c r="H148" i="3"/>
  <c r="M148" i="3"/>
  <c r="D149" i="3"/>
  <c r="E149" i="3"/>
  <c r="H149" i="3"/>
  <c r="M149" i="3"/>
  <c r="D150" i="3"/>
  <c r="E150" i="3"/>
  <c r="H150" i="3"/>
  <c r="M150" i="3"/>
  <c r="D151" i="3"/>
  <c r="E151" i="3"/>
  <c r="H151" i="3"/>
  <c r="M151" i="3"/>
  <c r="D152" i="3"/>
  <c r="E152" i="3"/>
  <c r="H152" i="3"/>
  <c r="M152" i="3"/>
  <c r="D154" i="3"/>
  <c r="E154" i="3"/>
  <c r="H154" i="3"/>
  <c r="M154" i="3"/>
  <c r="D155" i="3"/>
  <c r="E155" i="3"/>
  <c r="H155" i="3"/>
  <c r="M155" i="3"/>
  <c r="D156" i="3"/>
  <c r="E156" i="3"/>
  <c r="H156" i="3"/>
  <c r="M156" i="3"/>
  <c r="D157" i="3"/>
  <c r="E157" i="3"/>
  <c r="H157" i="3"/>
  <c r="M157" i="3"/>
  <c r="D158" i="3"/>
  <c r="E158" i="3"/>
  <c r="H158" i="3"/>
  <c r="M158" i="3"/>
  <c r="D159" i="3"/>
  <c r="E159" i="3"/>
  <c r="H159" i="3"/>
  <c r="M159" i="3"/>
  <c r="D160" i="3"/>
  <c r="E160" i="3"/>
  <c r="H160" i="3"/>
  <c r="M160" i="3"/>
  <c r="D161" i="3"/>
  <c r="E161" i="3"/>
  <c r="H161" i="3"/>
  <c r="M161" i="3"/>
  <c r="D163" i="3"/>
  <c r="E163" i="3"/>
  <c r="H163" i="3"/>
  <c r="M163" i="3"/>
  <c r="D164" i="3"/>
  <c r="E164" i="3"/>
  <c r="H164" i="3"/>
  <c r="M164" i="3"/>
  <c r="D165" i="3"/>
  <c r="E165" i="3"/>
  <c r="H165" i="3"/>
  <c r="M165" i="3"/>
  <c r="D167" i="3"/>
  <c r="E167" i="3"/>
  <c r="H167" i="3"/>
  <c r="M167" i="3"/>
  <c r="D168" i="3"/>
  <c r="E168" i="3"/>
  <c r="H168" i="3"/>
  <c r="M168" i="3"/>
  <c r="D169" i="3"/>
  <c r="E169" i="3"/>
  <c r="H169" i="3"/>
  <c r="M169" i="3"/>
  <c r="D170" i="3"/>
  <c r="E170" i="3"/>
  <c r="H170" i="3"/>
  <c r="M170" i="3"/>
  <c r="D171" i="3"/>
  <c r="E171" i="3"/>
  <c r="H171" i="3"/>
  <c r="M171" i="3"/>
  <c r="D172" i="3"/>
  <c r="E172" i="3"/>
  <c r="H172" i="3"/>
  <c r="M172" i="3"/>
  <c r="D174" i="3"/>
  <c r="E174" i="3"/>
  <c r="H174" i="3"/>
  <c r="M174" i="3"/>
  <c r="N5" i="5"/>
  <c r="G6" i="5"/>
  <c r="C7" i="5"/>
  <c r="D7" i="5"/>
  <c r="E7" i="5"/>
  <c r="B8" i="5"/>
  <c r="C8" i="5"/>
  <c r="D8" i="5"/>
  <c r="E8" i="5"/>
  <c r="B9" i="5"/>
  <c r="C9" i="5"/>
  <c r="D9" i="5"/>
  <c r="E9" i="5"/>
  <c r="C19" i="5"/>
  <c r="D19" i="5"/>
  <c r="E19" i="5"/>
  <c r="J19" i="5"/>
  <c r="K19" i="5"/>
  <c r="L19" i="5"/>
  <c r="M19" i="5"/>
  <c r="C20" i="5"/>
  <c r="E20" i="5"/>
  <c r="F20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O2" i="2"/>
  <c r="O3" i="2"/>
  <c r="O4" i="2"/>
  <c r="O5" i="2"/>
  <c r="O6" i="2"/>
  <c r="G11" i="2"/>
  <c r="K11" i="2"/>
  <c r="N11" i="2"/>
  <c r="O11" i="2"/>
  <c r="P11" i="2"/>
  <c r="R11" i="2"/>
  <c r="G12" i="2"/>
  <c r="K12" i="2"/>
  <c r="N12" i="2"/>
  <c r="O12" i="2"/>
  <c r="P12" i="2"/>
  <c r="R12" i="2"/>
  <c r="G13" i="2"/>
  <c r="K13" i="2"/>
  <c r="N13" i="2"/>
  <c r="O13" i="2"/>
  <c r="P13" i="2"/>
  <c r="R13" i="2"/>
  <c r="G14" i="2"/>
  <c r="K14" i="2"/>
  <c r="N14" i="2"/>
  <c r="O14" i="2"/>
  <c r="P14" i="2"/>
  <c r="R14" i="2"/>
  <c r="G15" i="2"/>
  <c r="K15" i="2"/>
  <c r="N15" i="2"/>
  <c r="O15" i="2"/>
  <c r="P15" i="2"/>
  <c r="R15" i="2"/>
  <c r="G16" i="2"/>
  <c r="K16" i="2"/>
  <c r="N16" i="2"/>
  <c r="O16" i="2"/>
  <c r="P16" i="2"/>
  <c r="R16" i="2"/>
  <c r="G17" i="2"/>
  <c r="K17" i="2"/>
  <c r="N17" i="2"/>
  <c r="O17" i="2"/>
  <c r="P17" i="2"/>
  <c r="R17" i="2"/>
  <c r="G18" i="2"/>
  <c r="K18" i="2"/>
  <c r="N18" i="2"/>
  <c r="O18" i="2"/>
  <c r="P18" i="2"/>
  <c r="R18" i="2"/>
  <c r="G19" i="2"/>
  <c r="K19" i="2"/>
  <c r="N19" i="2"/>
  <c r="O19" i="2"/>
  <c r="P19" i="2"/>
  <c r="R19" i="2"/>
  <c r="G20" i="2"/>
  <c r="K20" i="2"/>
  <c r="N20" i="2"/>
  <c r="O20" i="2"/>
  <c r="P20" i="2"/>
  <c r="R20" i="2"/>
  <c r="G21" i="2"/>
  <c r="K21" i="2"/>
  <c r="N21" i="2"/>
  <c r="O21" i="2"/>
  <c r="P21" i="2"/>
  <c r="R21" i="2"/>
  <c r="G22" i="2"/>
  <c r="K22" i="2"/>
  <c r="N22" i="2"/>
  <c r="O22" i="2"/>
  <c r="P22" i="2"/>
  <c r="R22" i="2"/>
  <c r="G23" i="2"/>
  <c r="K23" i="2"/>
  <c r="N23" i="2"/>
  <c r="O23" i="2"/>
  <c r="P23" i="2"/>
  <c r="R23" i="2"/>
  <c r="G24" i="2"/>
  <c r="K24" i="2"/>
  <c r="N24" i="2"/>
  <c r="O24" i="2"/>
  <c r="P24" i="2"/>
  <c r="R24" i="2"/>
  <c r="G25" i="2"/>
  <c r="K25" i="2"/>
  <c r="N25" i="2"/>
  <c r="O25" i="2"/>
  <c r="P25" i="2"/>
  <c r="R25" i="2"/>
  <c r="G27" i="2"/>
  <c r="K27" i="2"/>
  <c r="N27" i="2"/>
  <c r="O27" i="2"/>
  <c r="P27" i="2"/>
  <c r="R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G28" i="2"/>
  <c r="K28" i="2"/>
  <c r="N28" i="2"/>
  <c r="O28" i="2"/>
  <c r="P28" i="2"/>
  <c r="R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G30" i="2"/>
  <c r="K30" i="2"/>
  <c r="N30" i="2"/>
  <c r="O30" i="2"/>
  <c r="P30" i="2"/>
  <c r="R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G31" i="2"/>
  <c r="K31" i="2"/>
  <c r="N31" i="2"/>
  <c r="O31" i="2"/>
  <c r="P31" i="2"/>
  <c r="R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G32" i="2"/>
  <c r="K32" i="2"/>
  <c r="N32" i="2"/>
  <c r="O32" i="2"/>
  <c r="P32" i="2"/>
  <c r="R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G33" i="2"/>
  <c r="K33" i="2"/>
  <c r="N33" i="2"/>
  <c r="O33" i="2"/>
  <c r="P33" i="2"/>
  <c r="R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G34" i="2"/>
  <c r="K34" i="2"/>
  <c r="N34" i="2"/>
  <c r="O34" i="2"/>
  <c r="P34" i="2"/>
  <c r="R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G35" i="2"/>
  <c r="K35" i="2"/>
  <c r="N35" i="2"/>
  <c r="O35" i="2"/>
  <c r="P35" i="2"/>
  <c r="R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G36" i="2"/>
  <c r="K36" i="2"/>
  <c r="N36" i="2"/>
  <c r="O36" i="2"/>
  <c r="P36" i="2"/>
  <c r="R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G37" i="2"/>
  <c r="K37" i="2"/>
  <c r="N37" i="2"/>
  <c r="O37" i="2"/>
  <c r="P37" i="2"/>
  <c r="R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G38" i="2"/>
  <c r="K38" i="2"/>
  <c r="N38" i="2"/>
  <c r="O38" i="2"/>
  <c r="P38" i="2"/>
  <c r="R38" i="2"/>
  <c r="G40" i="2"/>
  <c r="K40" i="2"/>
  <c r="N40" i="2"/>
  <c r="O40" i="2"/>
  <c r="P40" i="2"/>
  <c r="R40" i="2"/>
  <c r="G41" i="2"/>
  <c r="K41" i="2"/>
  <c r="N41" i="2"/>
  <c r="O41" i="2"/>
  <c r="P41" i="2"/>
  <c r="R41" i="2"/>
  <c r="G43" i="2"/>
  <c r="K43" i="2"/>
  <c r="N43" i="2"/>
  <c r="O43" i="2"/>
  <c r="P43" i="2"/>
  <c r="R43" i="2"/>
  <c r="G44" i="2"/>
  <c r="K44" i="2"/>
  <c r="N44" i="2"/>
  <c r="O44" i="2"/>
  <c r="P44" i="2"/>
  <c r="R44" i="2"/>
  <c r="G45" i="2"/>
  <c r="K45" i="2"/>
  <c r="N45" i="2"/>
  <c r="O45" i="2"/>
  <c r="P45" i="2"/>
  <c r="R45" i="2"/>
  <c r="G46" i="2"/>
  <c r="K46" i="2"/>
  <c r="N46" i="2"/>
  <c r="O46" i="2"/>
  <c r="P46" i="2"/>
  <c r="R46" i="2"/>
  <c r="G47" i="2"/>
  <c r="K47" i="2"/>
  <c r="N47" i="2"/>
  <c r="O47" i="2"/>
  <c r="P47" i="2"/>
  <c r="R47" i="2"/>
  <c r="G48" i="2"/>
  <c r="K48" i="2"/>
  <c r="N48" i="2"/>
  <c r="O48" i="2"/>
  <c r="P48" i="2"/>
  <c r="R48" i="2"/>
  <c r="G49" i="2"/>
  <c r="K49" i="2"/>
  <c r="N49" i="2"/>
  <c r="O49" i="2"/>
  <c r="P49" i="2"/>
  <c r="R49" i="2"/>
  <c r="G50" i="2"/>
  <c r="K50" i="2"/>
  <c r="N50" i="2"/>
  <c r="O50" i="2"/>
  <c r="P50" i="2"/>
  <c r="R50" i="2"/>
  <c r="G51" i="2"/>
  <c r="K51" i="2"/>
  <c r="N51" i="2"/>
  <c r="O51" i="2"/>
  <c r="P51" i="2"/>
  <c r="R51" i="2"/>
  <c r="K53" i="2"/>
  <c r="N53" i="2"/>
  <c r="O53" i="2"/>
  <c r="P53" i="2"/>
  <c r="R53" i="2"/>
  <c r="K54" i="2"/>
  <c r="N54" i="2"/>
  <c r="O54" i="2"/>
  <c r="P54" i="2"/>
  <c r="R54" i="2"/>
  <c r="G56" i="2"/>
  <c r="K56" i="2"/>
  <c r="N56" i="2"/>
  <c r="O56" i="2"/>
  <c r="P56" i="2"/>
  <c r="R56" i="2"/>
  <c r="G57" i="2"/>
  <c r="K57" i="2"/>
  <c r="N57" i="2"/>
  <c r="O57" i="2"/>
  <c r="P57" i="2"/>
  <c r="R57" i="2"/>
  <c r="G58" i="2"/>
  <c r="K58" i="2"/>
  <c r="N58" i="2"/>
  <c r="O58" i="2"/>
  <c r="P58" i="2"/>
  <c r="R58" i="2"/>
  <c r="G59" i="2"/>
  <c r="K59" i="2"/>
  <c r="N59" i="2"/>
  <c r="O59" i="2"/>
  <c r="P59" i="2"/>
  <c r="R59" i="2"/>
  <c r="G60" i="2"/>
  <c r="K60" i="2"/>
  <c r="N60" i="2"/>
  <c r="O60" i="2"/>
  <c r="P60" i="2"/>
  <c r="R60" i="2"/>
  <c r="G61" i="2"/>
  <c r="K61" i="2"/>
  <c r="N61" i="2"/>
  <c r="O61" i="2"/>
  <c r="P61" i="2"/>
  <c r="R61" i="2"/>
  <c r="G62" i="2"/>
  <c r="K62" i="2"/>
  <c r="N62" i="2"/>
  <c r="O62" i="2"/>
  <c r="P62" i="2"/>
  <c r="R62" i="2"/>
  <c r="G63" i="2"/>
  <c r="K63" i="2"/>
  <c r="N63" i="2"/>
  <c r="O63" i="2"/>
  <c r="P63" i="2"/>
  <c r="R63" i="2"/>
  <c r="G64" i="2"/>
  <c r="K64" i="2"/>
  <c r="N64" i="2"/>
  <c r="O64" i="2"/>
  <c r="P64" i="2"/>
  <c r="R64" i="2"/>
  <c r="G65" i="2"/>
  <c r="K65" i="2"/>
  <c r="N65" i="2"/>
  <c r="O65" i="2"/>
  <c r="P65" i="2"/>
  <c r="R65" i="2"/>
  <c r="G66" i="2"/>
  <c r="K66" i="2"/>
  <c r="N66" i="2"/>
  <c r="O66" i="2"/>
  <c r="P66" i="2"/>
  <c r="R66" i="2"/>
  <c r="G67" i="2"/>
  <c r="K67" i="2"/>
  <c r="N67" i="2"/>
  <c r="O67" i="2"/>
  <c r="P67" i="2"/>
  <c r="R67" i="2"/>
  <c r="G68" i="2"/>
  <c r="K68" i="2"/>
  <c r="N68" i="2"/>
  <c r="O68" i="2"/>
  <c r="P68" i="2"/>
  <c r="R68" i="2"/>
  <c r="G69" i="2"/>
  <c r="K69" i="2"/>
  <c r="N69" i="2"/>
  <c r="O69" i="2"/>
  <c r="P69" i="2"/>
  <c r="R69" i="2"/>
  <c r="G70" i="2"/>
  <c r="K70" i="2"/>
  <c r="N70" i="2"/>
  <c r="O70" i="2"/>
  <c r="P70" i="2"/>
  <c r="R70" i="2"/>
  <c r="G72" i="2"/>
  <c r="K72" i="2"/>
  <c r="N72" i="2"/>
  <c r="O72" i="2"/>
  <c r="P72" i="2"/>
  <c r="R72" i="2"/>
  <c r="G73" i="2"/>
  <c r="K73" i="2"/>
  <c r="N73" i="2"/>
  <c r="O73" i="2"/>
  <c r="P73" i="2"/>
  <c r="R73" i="2"/>
  <c r="G75" i="2"/>
  <c r="K75" i="2"/>
  <c r="N75" i="2"/>
  <c r="O75" i="2"/>
  <c r="P75" i="2"/>
  <c r="R75" i="2"/>
  <c r="G76" i="2"/>
  <c r="K76" i="2"/>
  <c r="N76" i="2"/>
  <c r="O76" i="2"/>
  <c r="P76" i="2"/>
  <c r="R76" i="2"/>
  <c r="G77" i="2"/>
  <c r="K77" i="2"/>
  <c r="N77" i="2"/>
  <c r="O77" i="2"/>
  <c r="P77" i="2"/>
  <c r="R77" i="2"/>
  <c r="G78" i="2"/>
  <c r="K78" i="2"/>
  <c r="N78" i="2"/>
  <c r="O78" i="2"/>
  <c r="P78" i="2"/>
  <c r="R78" i="2"/>
  <c r="G79" i="2"/>
  <c r="K79" i="2"/>
  <c r="N79" i="2"/>
  <c r="O79" i="2"/>
  <c r="P79" i="2"/>
  <c r="R79" i="2"/>
  <c r="G80" i="2"/>
  <c r="K80" i="2"/>
  <c r="N80" i="2"/>
  <c r="O80" i="2"/>
  <c r="P80" i="2"/>
  <c r="R80" i="2"/>
  <c r="G81" i="2"/>
  <c r="K81" i="2"/>
  <c r="N81" i="2"/>
  <c r="O81" i="2"/>
  <c r="P81" i="2"/>
  <c r="R81" i="2"/>
  <c r="G82" i="2"/>
  <c r="K82" i="2"/>
  <c r="N82" i="2"/>
  <c r="O82" i="2"/>
  <c r="P82" i="2"/>
  <c r="R82" i="2"/>
  <c r="G83" i="2"/>
  <c r="K83" i="2"/>
  <c r="N83" i="2"/>
  <c r="O83" i="2"/>
  <c r="P83" i="2"/>
  <c r="R83" i="2"/>
  <c r="G85" i="2"/>
  <c r="K85" i="2"/>
  <c r="N85" i="2"/>
  <c r="R85" i="2"/>
  <c r="G86" i="2"/>
  <c r="K86" i="2"/>
  <c r="N86" i="2"/>
  <c r="R86" i="2"/>
  <c r="K88" i="2"/>
  <c r="N88" i="2"/>
  <c r="O88" i="2"/>
  <c r="P88" i="2"/>
  <c r="R88" i="2"/>
  <c r="K89" i="2"/>
  <c r="N89" i="2"/>
  <c r="O89" i="2"/>
  <c r="P89" i="2"/>
  <c r="R89" i="2"/>
  <c r="K90" i="2"/>
  <c r="N90" i="2"/>
  <c r="O90" i="2"/>
  <c r="P90" i="2"/>
  <c r="R90" i="2"/>
  <c r="K91" i="2"/>
  <c r="N91" i="2"/>
  <c r="O91" i="2"/>
  <c r="P91" i="2"/>
  <c r="R91" i="2"/>
  <c r="K92" i="2"/>
  <c r="N92" i="2"/>
  <c r="O92" i="2"/>
  <c r="P92" i="2"/>
  <c r="R92" i="2"/>
  <c r="K93" i="2"/>
  <c r="N93" i="2"/>
  <c r="O93" i="2"/>
  <c r="P93" i="2"/>
  <c r="R93" i="2"/>
  <c r="K94" i="2"/>
  <c r="N94" i="2"/>
  <c r="O94" i="2"/>
  <c r="P94" i="2"/>
  <c r="R94" i="2"/>
  <c r="K95" i="2"/>
  <c r="N95" i="2"/>
  <c r="O95" i="2"/>
  <c r="P95" i="2"/>
  <c r="R95" i="2"/>
  <c r="K96" i="2"/>
  <c r="N96" i="2"/>
  <c r="O96" i="2"/>
  <c r="P96" i="2"/>
  <c r="R96" i="2"/>
  <c r="K97" i="2"/>
  <c r="N97" i="2"/>
  <c r="O97" i="2"/>
  <c r="P97" i="2"/>
  <c r="R97" i="2"/>
  <c r="K98" i="2"/>
  <c r="N98" i="2"/>
  <c r="O98" i="2"/>
  <c r="P98" i="2"/>
  <c r="R98" i="2"/>
  <c r="K99" i="2"/>
  <c r="N99" i="2"/>
  <c r="O99" i="2"/>
  <c r="P99" i="2"/>
  <c r="R99" i="2"/>
  <c r="K100" i="2"/>
  <c r="N100" i="2"/>
  <c r="O100" i="2"/>
  <c r="P100" i="2"/>
  <c r="R100" i="2"/>
  <c r="K101" i="2"/>
  <c r="N101" i="2"/>
  <c r="O101" i="2"/>
  <c r="P101" i="2"/>
  <c r="R101" i="2"/>
  <c r="K102" i="2"/>
  <c r="N102" i="2"/>
  <c r="O102" i="2"/>
  <c r="P102" i="2"/>
  <c r="R102" i="2"/>
  <c r="K104" i="2"/>
  <c r="N104" i="2"/>
  <c r="O104" i="2"/>
  <c r="P104" i="2"/>
  <c r="R104" i="2"/>
  <c r="K105" i="2"/>
  <c r="N105" i="2"/>
  <c r="O105" i="2"/>
  <c r="P105" i="2"/>
  <c r="R105" i="2"/>
  <c r="K106" i="2"/>
  <c r="N106" i="2"/>
  <c r="O106" i="2"/>
  <c r="P106" i="2"/>
  <c r="R106" i="2"/>
  <c r="K107" i="2"/>
  <c r="N107" i="2"/>
  <c r="O107" i="2"/>
  <c r="P107" i="2"/>
  <c r="R107" i="2"/>
  <c r="K108" i="2"/>
  <c r="N108" i="2"/>
  <c r="O108" i="2"/>
  <c r="P108" i="2"/>
  <c r="R108" i="2"/>
  <c r="K109" i="2"/>
  <c r="N109" i="2"/>
  <c r="O109" i="2"/>
  <c r="P109" i="2"/>
  <c r="R109" i="2"/>
  <c r="K110" i="2"/>
  <c r="N110" i="2"/>
  <c r="O110" i="2"/>
  <c r="P110" i="2"/>
  <c r="R110" i="2"/>
  <c r="K111" i="2"/>
  <c r="N111" i="2"/>
  <c r="O111" i="2"/>
  <c r="P111" i="2"/>
  <c r="R111" i="2"/>
  <c r="K112" i="2"/>
  <c r="N112" i="2"/>
  <c r="O112" i="2"/>
  <c r="P112" i="2"/>
  <c r="R112" i="2"/>
  <c r="K114" i="2"/>
  <c r="N114" i="2"/>
  <c r="O114" i="2"/>
  <c r="P114" i="2"/>
  <c r="R114" i="2"/>
  <c r="K115" i="2"/>
  <c r="N115" i="2"/>
  <c r="O115" i="2"/>
  <c r="P115" i="2"/>
  <c r="R115" i="2"/>
  <c r="G117" i="2"/>
  <c r="K117" i="2"/>
  <c r="N117" i="2"/>
  <c r="O117" i="2"/>
  <c r="P117" i="2"/>
  <c r="R117" i="2"/>
  <c r="G118" i="2"/>
  <c r="K118" i="2"/>
  <c r="N118" i="2"/>
  <c r="O118" i="2"/>
  <c r="P118" i="2"/>
  <c r="R118" i="2"/>
  <c r="G119" i="2"/>
  <c r="K119" i="2"/>
  <c r="N119" i="2"/>
  <c r="O119" i="2"/>
  <c r="P119" i="2"/>
  <c r="R119" i="2"/>
  <c r="G121" i="2"/>
  <c r="K121" i="2"/>
  <c r="N121" i="2"/>
  <c r="O121" i="2"/>
  <c r="P121" i="2"/>
  <c r="R121" i="2"/>
  <c r="G122" i="2"/>
  <c r="K122" i="2"/>
  <c r="N122" i="2"/>
  <c r="O122" i="2"/>
  <c r="P122" i="2"/>
  <c r="R122" i="2"/>
  <c r="G124" i="2"/>
  <c r="K124" i="2"/>
  <c r="N124" i="2"/>
  <c r="O124" i="2"/>
  <c r="P124" i="2"/>
  <c r="R124" i="2"/>
  <c r="G125" i="2"/>
  <c r="K125" i="2"/>
  <c r="N125" i="2"/>
  <c r="O125" i="2"/>
  <c r="P125" i="2"/>
  <c r="R125" i="2"/>
  <c r="G126" i="2"/>
  <c r="K126" i="2"/>
  <c r="N126" i="2"/>
  <c r="O126" i="2"/>
  <c r="P126" i="2"/>
  <c r="R126" i="2"/>
  <c r="G127" i="2"/>
  <c r="K127" i="2"/>
  <c r="N127" i="2"/>
  <c r="O127" i="2"/>
  <c r="P127" i="2"/>
  <c r="R127" i="2"/>
  <c r="G128" i="2"/>
  <c r="K128" i="2"/>
  <c r="N128" i="2"/>
  <c r="O128" i="2"/>
  <c r="P128" i="2"/>
  <c r="R128" i="2"/>
  <c r="G129" i="2"/>
  <c r="K129" i="2"/>
  <c r="N129" i="2"/>
  <c r="O129" i="2"/>
  <c r="P129" i="2"/>
  <c r="R129" i="2"/>
  <c r="G130" i="2"/>
  <c r="K130" i="2"/>
  <c r="N130" i="2"/>
  <c r="O130" i="2"/>
  <c r="P130" i="2"/>
  <c r="R130" i="2"/>
  <c r="G131" i="2"/>
  <c r="K131" i="2"/>
  <c r="N131" i="2"/>
  <c r="O131" i="2"/>
  <c r="P131" i="2"/>
  <c r="R131" i="2"/>
  <c r="G132" i="2"/>
  <c r="K132" i="2"/>
  <c r="N132" i="2"/>
  <c r="O132" i="2"/>
  <c r="P132" i="2"/>
  <c r="R132" i="2"/>
  <c r="G133" i="2"/>
  <c r="K133" i="2"/>
  <c r="N133" i="2"/>
  <c r="O133" i="2"/>
  <c r="P133" i="2"/>
  <c r="R133" i="2"/>
  <c r="G134" i="2"/>
  <c r="K134" i="2"/>
  <c r="N134" i="2"/>
  <c r="O134" i="2"/>
  <c r="P134" i="2"/>
  <c r="R134" i="2"/>
  <c r="G135" i="2"/>
  <c r="K135" i="2"/>
  <c r="N135" i="2"/>
  <c r="O135" i="2"/>
  <c r="P135" i="2"/>
  <c r="R135" i="2"/>
  <c r="G136" i="2"/>
  <c r="K136" i="2"/>
  <c r="N136" i="2"/>
  <c r="O136" i="2"/>
  <c r="P136" i="2"/>
  <c r="R136" i="2"/>
  <c r="G137" i="2"/>
  <c r="K137" i="2"/>
  <c r="N137" i="2"/>
  <c r="O137" i="2"/>
  <c r="P137" i="2"/>
  <c r="R137" i="2"/>
  <c r="G138" i="2"/>
  <c r="K138" i="2"/>
  <c r="N138" i="2"/>
  <c r="O138" i="2"/>
  <c r="P138" i="2"/>
  <c r="R138" i="2"/>
  <c r="G139" i="2"/>
  <c r="K139" i="2"/>
  <c r="N139" i="2"/>
  <c r="O139" i="2"/>
  <c r="P139" i="2"/>
  <c r="R139" i="2"/>
  <c r="G140" i="2"/>
  <c r="K140" i="2"/>
  <c r="N140" i="2"/>
  <c r="O140" i="2"/>
  <c r="P140" i="2"/>
  <c r="R140" i="2"/>
  <c r="G141" i="2"/>
  <c r="K141" i="2"/>
  <c r="N141" i="2"/>
  <c r="O141" i="2"/>
  <c r="P141" i="2"/>
  <c r="R141" i="2"/>
  <c r="G142" i="2"/>
  <c r="K142" i="2"/>
  <c r="N142" i="2"/>
  <c r="O142" i="2"/>
  <c r="P142" i="2"/>
  <c r="R142" i="2"/>
  <c r="G143" i="2"/>
  <c r="K143" i="2"/>
  <c r="N143" i="2"/>
  <c r="O143" i="2"/>
  <c r="P143" i="2"/>
  <c r="R143" i="2"/>
  <c r="G144" i="2"/>
  <c r="K144" i="2"/>
  <c r="N144" i="2"/>
  <c r="O144" i="2"/>
  <c r="P144" i="2"/>
  <c r="R144" i="2"/>
  <c r="G145" i="2"/>
  <c r="K145" i="2"/>
  <c r="N145" i="2"/>
  <c r="O145" i="2"/>
  <c r="P145" i="2"/>
  <c r="R145" i="2"/>
  <c r="G146" i="2"/>
  <c r="K146" i="2"/>
  <c r="N146" i="2"/>
  <c r="O146" i="2"/>
  <c r="P146" i="2"/>
  <c r="R146" i="2"/>
  <c r="G147" i="2"/>
  <c r="K147" i="2"/>
  <c r="N147" i="2"/>
  <c r="O147" i="2"/>
  <c r="P147" i="2"/>
  <c r="R147" i="2"/>
  <c r="G149" i="2"/>
  <c r="K149" i="2"/>
  <c r="N149" i="2"/>
  <c r="O149" i="2"/>
  <c r="P149" i="2"/>
  <c r="R149" i="2"/>
  <c r="G150" i="2"/>
  <c r="K150" i="2"/>
  <c r="N150" i="2"/>
  <c r="O150" i="2"/>
  <c r="P150" i="2"/>
  <c r="R150" i="2"/>
  <c r="G151" i="2"/>
  <c r="K151" i="2"/>
  <c r="N151" i="2"/>
  <c r="O151" i="2"/>
  <c r="P151" i="2"/>
  <c r="R151" i="2"/>
  <c r="K153" i="2"/>
  <c r="N153" i="2"/>
  <c r="O153" i="2"/>
  <c r="P153" i="2"/>
  <c r="R153" i="2"/>
  <c r="K154" i="2"/>
  <c r="N154" i="2"/>
  <c r="O154" i="2"/>
  <c r="P154" i="2"/>
  <c r="R154" i="2"/>
  <c r="K155" i="2"/>
  <c r="N155" i="2"/>
  <c r="O155" i="2"/>
  <c r="P155" i="2"/>
  <c r="R155" i="2"/>
  <c r="K156" i="2"/>
  <c r="N156" i="2"/>
  <c r="O156" i="2"/>
  <c r="P156" i="2"/>
  <c r="R156" i="2"/>
  <c r="K158" i="2"/>
  <c r="N158" i="2"/>
  <c r="O158" i="2"/>
  <c r="P158" i="2"/>
  <c r="R158" i="2"/>
  <c r="K159" i="2"/>
  <c r="N159" i="2"/>
  <c r="O159" i="2"/>
  <c r="P159" i="2"/>
  <c r="R159" i="2"/>
  <c r="G161" i="2"/>
  <c r="K161" i="2"/>
  <c r="N161" i="2"/>
  <c r="O161" i="2"/>
  <c r="P161" i="2"/>
  <c r="R161" i="2"/>
  <c r="G163" i="2"/>
  <c r="K163" i="2"/>
  <c r="N163" i="2"/>
  <c r="O163" i="2"/>
  <c r="P163" i="2"/>
  <c r="R163" i="2"/>
  <c r="G165" i="2"/>
  <c r="K165" i="2"/>
  <c r="N165" i="2"/>
  <c r="O165" i="2"/>
  <c r="P165" i="2"/>
  <c r="R165" i="2"/>
  <c r="G166" i="2"/>
  <c r="K166" i="2"/>
  <c r="N166" i="2"/>
  <c r="O166" i="2"/>
  <c r="P166" i="2"/>
  <c r="R166" i="2"/>
  <c r="G167" i="2"/>
  <c r="K167" i="2"/>
  <c r="N167" i="2"/>
  <c r="O167" i="2"/>
  <c r="P167" i="2"/>
  <c r="R167" i="2"/>
  <c r="G169" i="2"/>
  <c r="K169" i="2"/>
  <c r="N169" i="2"/>
  <c r="O169" i="2"/>
  <c r="P169" i="2"/>
  <c r="R169" i="2"/>
  <c r="G170" i="2"/>
  <c r="K170" i="2"/>
  <c r="N170" i="2"/>
  <c r="O170" i="2"/>
  <c r="P170" i="2"/>
  <c r="R170" i="2"/>
  <c r="G172" i="2"/>
  <c r="K172" i="2"/>
  <c r="N172" i="2"/>
  <c r="O172" i="2"/>
  <c r="P172" i="2"/>
  <c r="R172" i="2"/>
  <c r="G173" i="2"/>
  <c r="K173" i="2"/>
  <c r="N173" i="2"/>
  <c r="O173" i="2"/>
  <c r="P173" i="2"/>
  <c r="R173" i="2"/>
</calcChain>
</file>

<file path=xl/sharedStrings.xml><?xml version="1.0" encoding="utf-8"?>
<sst xmlns="http://schemas.openxmlformats.org/spreadsheetml/2006/main" count="743" uniqueCount="306">
  <si>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</si>
  <si>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</si>
  <si>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</si>
  <si>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</si>
  <si>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</si>
  <si>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</si>
  <si>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</si>
  <si>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</si>
  <si>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</si>
  <si>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</si>
  <si>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</si>
  <si>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</si>
  <si>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</si>
  <si>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</si>
  <si>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</si>
  <si>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</si>
  <si>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</si>
  <si>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</si>
  <si>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</si>
  <si>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</si>
  <si>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</si>
  <si>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</si>
  <si>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</si>
  <si>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</si>
  <si>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</si>
  <si>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</si>
  <si>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</si>
  <si>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</si>
  <si>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</si>
  <si>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</si>
  <si>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</si>
  <si>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</si>
  <si>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</si>
  <si>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</si>
  <si>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</si>
  <si>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</si>
  <si>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</si>
  <si>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</si>
  <si>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</si>
  <si>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</si>
  <si>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</si>
  <si>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</si>
  <si>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</si>
  <si>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</si>
  <si>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</si>
  <si>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</si>
  <si>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</si>
  <si>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</si>
  <si>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</si>
  <si>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</si>
  <si>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</si>
  <si>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</si>
  <si>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</si>
  <si>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</si>
  <si>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</si>
  <si>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</si>
  <si>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</si>
  <si>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</si>
  <si>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</si>
  <si>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</si>
  <si>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</si>
  <si>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</si>
  <si>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</si>
  <si>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</si>
  <si>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</si>
  <si>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</si>
  <si>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</si>
  <si>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</si>
  <si>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</si>
  <si>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</si>
  <si>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</si>
  <si>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</si>
  <si>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</si>
  <si>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</si>
  <si>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</si>
  <si>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</si>
  <si>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</si>
  <si>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</si>
  <si>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</si>
  <si>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</si>
  <si>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</si>
  <si>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</si>
  <si>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</si>
  <si>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</si>
  <si>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</si>
  <si>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</si>
  <si>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</si>
  <si>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</si>
  <si>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</si>
  <si>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</si>
  <si>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</si>
  <si>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</si>
  <si>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</si>
  <si>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</si>
  <si>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</si>
  <si>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</si>
  <si>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</si>
  <si>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</si>
  <si>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</si>
  <si>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</si>
  <si>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</si>
  <si>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</si>
  <si>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</si>
  <si>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</si>
  <si>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</si>
  <si>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</si>
  <si>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</si>
  <si>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</si>
  <si>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</si>
  <si>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</si>
  <si>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</si>
  <si>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</si>
  <si>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</si>
  <si>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</si>
  <si>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</si>
  <si>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</si>
  <si>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</si>
  <si>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</si>
  <si>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</si>
  <si>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</si>
  <si>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</si>
  <si>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</si>
  <si>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</si>
  <si>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</si>
  <si>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</si>
  <si>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</si>
  <si>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</si>
  <si>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</si>
  <si>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</si>
  <si>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</si>
  <si>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</si>
  <si>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</si>
  <si>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</si>
  <si>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</si>
  <si>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</si>
  <si>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</si>
  <si>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</si>
  <si>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</si>
  <si>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</si>
  <si>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</si>
  <si>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</si>
  <si>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</si>
  <si>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</si>
  <si>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</si>
  <si>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</si>
  <si>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</si>
  <si>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</si>
  <si>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</si>
  <si>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</si>
  <si>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</si>
  <si>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</si>
  <si>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</si>
  <si>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</si>
  <si>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</si>
  <si>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</si>
  <si>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</si>
  <si>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</si>
  <si>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</si>
  <si>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</si>
  <si>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</si>
  <si>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</si>
  <si>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</si>
  <si>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</si>
  <si>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</si>
  <si>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</si>
  <si>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</si>
  <si>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</si>
  <si>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</si>
  <si>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</si>
  <si>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</si>
  <si>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</si>
  <si>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</si>
  <si>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</si>
  <si>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</si>
  <si>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</si>
  <si>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</si>
  <si>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</si>
  <si>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</si>
  <si>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</si>
  <si>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</si>
  <si>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</si>
  <si>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</si>
  <si>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</si>
  <si>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</si>
  <si>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</si>
  <si>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</si>
  <si>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</si>
  <si>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</si>
  <si>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</si>
  <si>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</si>
  <si>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</si>
  <si>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</si>
  <si>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</si>
  <si>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</si>
  <si>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</si>
  <si>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</si>
  <si>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</si>
  <si>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</si>
  <si>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</si>
  <si>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</si>
  <si>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</si>
  <si>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</si>
  <si>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</si>
  <si>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</si>
  <si>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</si>
  <si>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</si>
  <si>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</si>
  <si>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</si>
  <si>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</si>
  <si>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</si>
  <si>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</si>
  <si>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</si>
  <si>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</si>
  <si>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</si>
  <si>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</si>
  <si>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</si>
  <si>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</si>
  <si>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</si>
  <si>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</si>
  <si>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</si>
  <si>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</si>
  <si>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</si>
  <si>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</si>
  <si>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</si>
  <si>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</si>
  <si>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</si>
  <si>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</si>
  <si>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</si>
  <si>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</si>
  <si>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</si>
  <si>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</si>
  <si>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</si>
  <si>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</si>
  <si>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</si>
  <si>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</si>
  <si>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</si>
  <si>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</si>
  <si>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</si>
  <si>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</si>
  <si>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</si>
  <si>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</si>
  <si>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</si>
  <si>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</si>
  <si>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</si>
  <si>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</si>
  <si>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</si>
  <si>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</si>
  <si>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</si>
  <si>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</si>
  <si>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</si>
  <si>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</si>
  <si>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</si>
  <si>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</si>
  <si>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</si>
  <si>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</si>
  <si>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</si>
  <si>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</si>
  <si>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</si>
  <si>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</si>
  <si>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</si>
  <si>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</si>
  <si>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</si>
  <si>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</si>
  <si>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</si>
  <si>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</si>
  <si>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Per Slot</t>
  </si>
  <si>
    <t>HP</t>
  </si>
  <si>
    <t>Tier Range Effect</t>
  </si>
  <si>
    <t>Armor Per Tier</t>
  </si>
  <si>
    <t>Goal Max Armor%/Tier</t>
  </si>
  <si>
    <t>Armor Mult</t>
  </si>
  <si>
    <t>Armor Points Needed for Max</t>
  </si>
  <si>
    <t>Points Needed for  3/4 Max</t>
  </si>
  <si>
    <t>MAX</t>
  </si>
  <si>
    <t>Possible 3/4 Armor Points</t>
  </si>
  <si>
    <t>Scratch</t>
  </si>
  <si>
    <t>Battle Ship</t>
  </si>
  <si>
    <t>Corvette</t>
  </si>
  <si>
    <t>Missiles</t>
  </si>
  <si>
    <t>Plasma Cannon</t>
  </si>
  <si>
    <t>Max Armor</t>
  </si>
  <si>
    <t>Max Shields</t>
  </si>
  <si>
    <t>V. Armor Corvette</t>
  </si>
  <si>
    <t>V. Armor Battleship</t>
  </si>
  <si>
    <t>Torpedo</t>
  </si>
  <si>
    <t>LSP</t>
  </si>
  <si>
    <t>LSP Shield Corvette</t>
  </si>
  <si>
    <t>LSP shielded battleship</t>
  </si>
  <si>
    <t>W/just armor</t>
  </si>
  <si>
    <t>W/Just Shield</t>
  </si>
  <si>
    <t>Accuracy</t>
  </si>
  <si>
    <t>w/Evasion</t>
  </si>
  <si>
    <t>Old accuracy</t>
  </si>
  <si>
    <t># Additional ED Weap</t>
  </si>
  <si>
    <t># Swarm Missile</t>
  </si>
  <si>
    <t># Swarm Projectile</t>
  </si>
  <si>
    <t>HP Add/Tier</t>
  </si>
  <si>
    <t>Evasion Per Tier</t>
  </si>
  <si>
    <t>Average Accuracy</t>
  </si>
  <si>
    <t>EV Needed to Achieve Goal DMG Recution</t>
  </si>
  <si>
    <t>Acc</t>
  </si>
  <si>
    <t>EV Total</t>
  </si>
  <si>
    <t>3/4 EV Possible</t>
  </si>
  <si>
    <t>%DMG from EV</t>
  </si>
  <si>
    <t>EVDMG Reduction Goal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</si>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</sst>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9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0" applyNumberFormat="1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  <xf numFmtId="2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11.25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7.8569336602991369</c:v>
                </c:pt>
                <c:pt idx="1">
                  <c:v>8.1681473205982726</c:v>
                </c:pt>
                <c:pt idx="2">
                  <c:v>8.4793609808974093</c:v>
                </c:pt>
                <c:pt idx="3">
                  <c:v>8.7905746411965442</c:v>
                </c:pt>
                <c:pt idx="4">
                  <c:v>9.1017883014956791</c:v>
                </c:pt>
                <c:pt idx="5">
                  <c:v>9.4130019617948157</c:v>
                </c:pt>
                <c:pt idx="6">
                  <c:v>9.7242156220939506</c:v>
                </c:pt>
                <c:pt idx="7">
                  <c:v>10.035429282393087</c:v>
                </c:pt>
                <c:pt idx="8">
                  <c:v>10.346642942692222</c:v>
                </c:pt>
                <c:pt idx="9">
                  <c:v>10.657856602991359</c:v>
                </c:pt>
                <c:pt idx="10">
                  <c:v>10.969070263290494</c:v>
                </c:pt>
                <c:pt idx="11">
                  <c:v>11.280283923589629</c:v>
                </c:pt>
                <c:pt idx="12">
                  <c:v>11.591497583888765</c:v>
                </c:pt>
                <c:pt idx="13">
                  <c:v>11.902711244187902</c:v>
                </c:pt>
                <c:pt idx="14">
                  <c:v>12.213924904487037</c:v>
                </c:pt>
                <c:pt idx="15">
                  <c:v>12.525138564786173</c:v>
                </c:pt>
                <c:pt idx="16">
                  <c:v>12.836352225085308</c:v>
                </c:pt>
                <c:pt idx="17">
                  <c:v>13.147565885384445</c:v>
                </c:pt>
                <c:pt idx="18">
                  <c:v>13.458779545683582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8.0679569636915502</c:v>
                </c:pt>
                <c:pt idx="1">
                  <c:v>8.6125139273830982</c:v>
                </c:pt>
                <c:pt idx="2">
                  <c:v>9.1570708910746497</c:v>
                </c:pt>
                <c:pt idx="3">
                  <c:v>9.7016278547661994</c:v>
                </c:pt>
                <c:pt idx="4">
                  <c:v>10.246184818457751</c:v>
                </c:pt>
                <c:pt idx="5">
                  <c:v>10.790741782149299</c:v>
                </c:pt>
                <c:pt idx="6">
                  <c:v>11.335298745840849</c:v>
                </c:pt>
                <c:pt idx="7">
                  <c:v>11.8798557095324</c:v>
                </c:pt>
                <c:pt idx="8">
                  <c:v>12.424412673223948</c:v>
                </c:pt>
                <c:pt idx="9">
                  <c:v>12.968969636915498</c:v>
                </c:pt>
                <c:pt idx="10">
                  <c:v>13.513526600607049</c:v>
                </c:pt>
                <c:pt idx="11">
                  <c:v>14.058083564298599</c:v>
                </c:pt>
                <c:pt idx="12">
                  <c:v>14.602640527990149</c:v>
                </c:pt>
                <c:pt idx="13">
                  <c:v>15.147197491681698</c:v>
                </c:pt>
                <c:pt idx="14">
                  <c:v>15.691754455373248</c:v>
                </c:pt>
                <c:pt idx="15">
                  <c:v>16.236311419064801</c:v>
                </c:pt>
                <c:pt idx="16">
                  <c:v>16.780868382756353</c:v>
                </c:pt>
                <c:pt idx="17">
                  <c:v>17.325425346447901</c:v>
                </c:pt>
                <c:pt idx="18">
                  <c:v>17.869982310139449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8.3293657298770913</c:v>
                </c:pt>
                <c:pt idx="1">
                  <c:v>9.1576514597541827</c:v>
                </c:pt>
                <c:pt idx="2">
                  <c:v>9.9859371896312759</c:v>
                </c:pt>
                <c:pt idx="3">
                  <c:v>10.814222919508367</c:v>
                </c:pt>
                <c:pt idx="4">
                  <c:v>11.64250864938546</c:v>
                </c:pt>
                <c:pt idx="5">
                  <c:v>12.470794379262552</c:v>
                </c:pt>
                <c:pt idx="6">
                  <c:v>13.299080109139643</c:v>
                </c:pt>
                <c:pt idx="7">
                  <c:v>14.127365839016734</c:v>
                </c:pt>
                <c:pt idx="8">
                  <c:v>14.955651568893826</c:v>
                </c:pt>
                <c:pt idx="9">
                  <c:v>15.783937298770917</c:v>
                </c:pt>
                <c:pt idx="10">
                  <c:v>16.61222302864801</c:v>
                </c:pt>
                <c:pt idx="11">
                  <c:v>17.440508758525105</c:v>
                </c:pt>
                <c:pt idx="12">
                  <c:v>18.268794488402197</c:v>
                </c:pt>
                <c:pt idx="13">
                  <c:v>19.097080218279288</c:v>
                </c:pt>
                <c:pt idx="14">
                  <c:v>19.925365948156383</c:v>
                </c:pt>
                <c:pt idx="15">
                  <c:v>20.753651678033474</c:v>
                </c:pt>
                <c:pt idx="16">
                  <c:v>21.581937407910566</c:v>
                </c:pt>
                <c:pt idx="17">
                  <c:v>22.410223137787657</c:v>
                </c:pt>
                <c:pt idx="18">
                  <c:v>23.238508867664752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10.505399821871951</c:v>
                </c:pt>
                <c:pt idx="1">
                  <c:v>10.973719643743902</c:v>
                </c:pt>
                <c:pt idx="2">
                  <c:v>11.442039465615853</c:v>
                </c:pt>
                <c:pt idx="3">
                  <c:v>11.910359287487806</c:v>
                </c:pt>
                <c:pt idx="4">
                  <c:v>12.378679109359757</c:v>
                </c:pt>
                <c:pt idx="5">
                  <c:v>12.846998931231708</c:v>
                </c:pt>
                <c:pt idx="6">
                  <c:v>13.315318753103659</c:v>
                </c:pt>
                <c:pt idx="7">
                  <c:v>13.78363857497561</c:v>
                </c:pt>
                <c:pt idx="8">
                  <c:v>14.251958396847561</c:v>
                </c:pt>
                <c:pt idx="9">
                  <c:v>14.720278218719514</c:v>
                </c:pt>
                <c:pt idx="10">
                  <c:v>15.188598040591465</c:v>
                </c:pt>
                <c:pt idx="11">
                  <c:v>15.656917862463416</c:v>
                </c:pt>
                <c:pt idx="12">
                  <c:v>16.125237684335367</c:v>
                </c:pt>
                <c:pt idx="13">
                  <c:v>16.593557506207318</c:v>
                </c:pt>
                <c:pt idx="14">
                  <c:v>17.061877328079269</c:v>
                </c:pt>
                <c:pt idx="15">
                  <c:v>17.530197149951221</c:v>
                </c:pt>
                <c:pt idx="16">
                  <c:v>17.998516971823175</c:v>
                </c:pt>
                <c:pt idx="17">
                  <c:v>18.466836793695126</c:v>
                </c:pt>
                <c:pt idx="18">
                  <c:v>18.935156615567077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10.775926807083094</c:v>
                </c:pt>
                <c:pt idx="1">
                  <c:v>11.53925361416619</c:v>
                </c:pt>
                <c:pt idx="2">
                  <c:v>12.302580421249283</c:v>
                </c:pt>
                <c:pt idx="3">
                  <c:v>13.06590722833238</c:v>
                </c:pt>
                <c:pt idx="4">
                  <c:v>13.829234035415473</c:v>
                </c:pt>
                <c:pt idx="5">
                  <c:v>14.592560842498568</c:v>
                </c:pt>
                <c:pt idx="6">
                  <c:v>15.355887649581661</c:v>
                </c:pt>
                <c:pt idx="7">
                  <c:v>16.119214456664757</c:v>
                </c:pt>
                <c:pt idx="8">
                  <c:v>16.882541263747854</c:v>
                </c:pt>
                <c:pt idx="9">
                  <c:v>17.645868070830947</c:v>
                </c:pt>
                <c:pt idx="10">
                  <c:v>18.40919487791404</c:v>
                </c:pt>
                <c:pt idx="11">
                  <c:v>19.172521684997132</c:v>
                </c:pt>
                <c:pt idx="12">
                  <c:v>19.935848492080229</c:v>
                </c:pt>
                <c:pt idx="13">
                  <c:v>20.699175299163326</c:v>
                </c:pt>
                <c:pt idx="14">
                  <c:v>21.462502106246419</c:v>
                </c:pt>
                <c:pt idx="15">
                  <c:v>22.225828913329515</c:v>
                </c:pt>
                <c:pt idx="16">
                  <c:v>22.989155720412608</c:v>
                </c:pt>
                <c:pt idx="17">
                  <c:v>23.752482527495705</c:v>
                </c:pt>
                <c:pt idx="18">
                  <c:v>24.515809334578801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11.110438789114196</c:v>
                </c:pt>
                <c:pt idx="1">
                  <c:v>12.232757578228391</c:v>
                </c:pt>
                <c:pt idx="2">
                  <c:v>13.355076367342582</c:v>
                </c:pt>
                <c:pt idx="3">
                  <c:v>14.477395156456776</c:v>
                </c:pt>
                <c:pt idx="4">
                  <c:v>15.59971394557097</c:v>
                </c:pt>
                <c:pt idx="5">
                  <c:v>16.722032734685161</c:v>
                </c:pt>
                <c:pt idx="6">
                  <c:v>17.844351523799361</c:v>
                </c:pt>
                <c:pt idx="7">
                  <c:v>18.96667031291355</c:v>
                </c:pt>
                <c:pt idx="8">
                  <c:v>20.088989102027742</c:v>
                </c:pt>
                <c:pt idx="9">
                  <c:v>21.211307891141939</c:v>
                </c:pt>
                <c:pt idx="10">
                  <c:v>22.333626680256131</c:v>
                </c:pt>
                <c:pt idx="11">
                  <c:v>23.455945469370324</c:v>
                </c:pt>
                <c:pt idx="12">
                  <c:v>24.57826425848452</c:v>
                </c:pt>
                <c:pt idx="13">
                  <c:v>25.700583047598716</c:v>
                </c:pt>
                <c:pt idx="14">
                  <c:v>26.822901836712912</c:v>
                </c:pt>
                <c:pt idx="15">
                  <c:v>27.945220625827105</c:v>
                </c:pt>
                <c:pt idx="16">
                  <c:v>29.067539414941301</c:v>
                </c:pt>
                <c:pt idx="17">
                  <c:v>30.189858204055493</c:v>
                </c:pt>
                <c:pt idx="18">
                  <c:v>31.31217699316969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13.128182731616672</c:v>
                </c:pt>
                <c:pt idx="1">
                  <c:v>13.727925463233342</c:v>
                </c:pt>
                <c:pt idx="2">
                  <c:v>14.327668194850016</c:v>
                </c:pt>
                <c:pt idx="3">
                  <c:v>14.927410926466687</c:v>
                </c:pt>
                <c:pt idx="4">
                  <c:v>15.527153658083359</c:v>
                </c:pt>
                <c:pt idx="5">
                  <c:v>16.126896389700029</c:v>
                </c:pt>
                <c:pt idx="6">
                  <c:v>16.726639121316701</c:v>
                </c:pt>
                <c:pt idx="7">
                  <c:v>17.326381852933373</c:v>
                </c:pt>
                <c:pt idx="8">
                  <c:v>17.926124584550042</c:v>
                </c:pt>
                <c:pt idx="9">
                  <c:v>18.525867316166714</c:v>
                </c:pt>
                <c:pt idx="10">
                  <c:v>19.125610047783386</c:v>
                </c:pt>
                <c:pt idx="11">
                  <c:v>19.725352779400058</c:v>
                </c:pt>
                <c:pt idx="12">
                  <c:v>20.32509551101673</c:v>
                </c:pt>
                <c:pt idx="13">
                  <c:v>20.924838242633406</c:v>
                </c:pt>
                <c:pt idx="14">
                  <c:v>21.524580974250075</c:v>
                </c:pt>
                <c:pt idx="15">
                  <c:v>22.124323705866747</c:v>
                </c:pt>
                <c:pt idx="16">
                  <c:v>22.724066437483419</c:v>
                </c:pt>
                <c:pt idx="17">
                  <c:v>23.323809169100091</c:v>
                </c:pt>
                <c:pt idx="18">
                  <c:v>23.923551900716763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13.429757743764975</c:v>
                </c:pt>
                <c:pt idx="1">
                  <c:v>14.35771548752995</c:v>
                </c:pt>
                <c:pt idx="2">
                  <c:v>15.285673231294926</c:v>
                </c:pt>
                <c:pt idx="3">
                  <c:v>16.2136309750599</c:v>
                </c:pt>
                <c:pt idx="4">
                  <c:v>17.141588718824877</c:v>
                </c:pt>
                <c:pt idx="5">
                  <c:v>18.069546462589855</c:v>
                </c:pt>
                <c:pt idx="6">
                  <c:v>18.997504206354829</c:v>
                </c:pt>
                <c:pt idx="7">
                  <c:v>19.925461950119804</c:v>
                </c:pt>
                <c:pt idx="8">
                  <c:v>20.853419693884781</c:v>
                </c:pt>
                <c:pt idx="9">
                  <c:v>21.781377437649759</c:v>
                </c:pt>
                <c:pt idx="10">
                  <c:v>22.709335181414733</c:v>
                </c:pt>
                <c:pt idx="11">
                  <c:v>23.637292925179711</c:v>
                </c:pt>
                <c:pt idx="12">
                  <c:v>24.565250668944685</c:v>
                </c:pt>
                <c:pt idx="13">
                  <c:v>25.493208412709663</c:v>
                </c:pt>
                <c:pt idx="14">
                  <c:v>26.421166156474641</c:v>
                </c:pt>
                <c:pt idx="15">
                  <c:v>27.349123900239622</c:v>
                </c:pt>
                <c:pt idx="16">
                  <c:v>28.277081644004596</c:v>
                </c:pt>
                <c:pt idx="17">
                  <c:v>29.20503938776957</c:v>
                </c:pt>
                <c:pt idx="18">
                  <c:v>30.132997131534548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13.802691066581087</c:v>
                </c:pt>
                <c:pt idx="1">
                  <c:v>15.130222133162174</c:v>
                </c:pt>
                <c:pt idx="2">
                  <c:v>16.457753199743259</c:v>
                </c:pt>
                <c:pt idx="3">
                  <c:v>17.785284266324346</c:v>
                </c:pt>
                <c:pt idx="4">
                  <c:v>19.112815332905434</c:v>
                </c:pt>
                <c:pt idx="5">
                  <c:v>20.440346399486518</c:v>
                </c:pt>
                <c:pt idx="6">
                  <c:v>21.767877466067606</c:v>
                </c:pt>
                <c:pt idx="7">
                  <c:v>23.09540853264869</c:v>
                </c:pt>
                <c:pt idx="8">
                  <c:v>24.422939599229775</c:v>
                </c:pt>
                <c:pt idx="9">
                  <c:v>25.750470665810862</c:v>
                </c:pt>
                <c:pt idx="10">
                  <c:v>27.078001732391954</c:v>
                </c:pt>
                <c:pt idx="11">
                  <c:v>28.405532798973038</c:v>
                </c:pt>
                <c:pt idx="12">
                  <c:v>29.733063865554122</c:v>
                </c:pt>
                <c:pt idx="13">
                  <c:v>31.06059493213521</c:v>
                </c:pt>
                <c:pt idx="14">
                  <c:v>32.388125998716298</c:v>
                </c:pt>
                <c:pt idx="15">
                  <c:v>33.715657065297385</c:v>
                </c:pt>
                <c:pt idx="16">
                  <c:v>35.043188131878473</c:v>
                </c:pt>
                <c:pt idx="17">
                  <c:v>36.370719198459561</c:v>
                </c:pt>
                <c:pt idx="18">
                  <c:v>37.698250265040649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11.117046239405873</c:v>
                </c:pt>
                <c:pt idx="1">
                  <c:v>12.240032478811747</c:v>
                </c:pt>
                <c:pt idx="2">
                  <c:v>13.363018718217623</c:v>
                </c:pt>
                <c:pt idx="3">
                  <c:v>14.486004957623496</c:v>
                </c:pt>
                <c:pt idx="4">
                  <c:v>15.608991197029368</c:v>
                </c:pt>
                <c:pt idx="5">
                  <c:v>16.731977436435244</c:v>
                </c:pt>
                <c:pt idx="6">
                  <c:v>17.854963675841116</c:v>
                </c:pt>
                <c:pt idx="7">
                  <c:v>18.977949915246992</c:v>
                </c:pt>
                <c:pt idx="8">
                  <c:v>20.100936154652864</c:v>
                </c:pt>
                <c:pt idx="9">
                  <c:v>21.223922394058736</c:v>
                </c:pt>
                <c:pt idx="10">
                  <c:v>22.346908633464615</c:v>
                </c:pt>
                <c:pt idx="11">
                  <c:v>23.469894872870491</c:v>
                </c:pt>
                <c:pt idx="12">
                  <c:v>24.592881112276363</c:v>
                </c:pt>
                <c:pt idx="13">
                  <c:v>25.715867351682235</c:v>
                </c:pt>
                <c:pt idx="14">
                  <c:v>26.83885359108811</c:v>
                </c:pt>
                <c:pt idx="15">
                  <c:v>27.961839830493986</c:v>
                </c:pt>
                <c:pt idx="16">
                  <c:v>29.084826069899862</c:v>
                </c:pt>
                <c:pt idx="17">
                  <c:v>30.207812309305734</c:v>
                </c:pt>
                <c:pt idx="18">
                  <c:v>31.330798548711613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13.816432727854121</c:v>
                </c:pt>
                <c:pt idx="1">
                  <c:v>15.145285455708246</c:v>
                </c:pt>
                <c:pt idx="2">
                  <c:v>16.474138183562367</c:v>
                </c:pt>
                <c:pt idx="3">
                  <c:v>17.80299091141649</c:v>
                </c:pt>
                <c:pt idx="4">
                  <c:v>19.131843639270617</c:v>
                </c:pt>
                <c:pt idx="5">
                  <c:v>20.460696367124736</c:v>
                </c:pt>
                <c:pt idx="6">
                  <c:v>21.78954909497886</c:v>
                </c:pt>
                <c:pt idx="7">
                  <c:v>23.118401822832983</c:v>
                </c:pt>
                <c:pt idx="8">
                  <c:v>24.447254550687102</c:v>
                </c:pt>
                <c:pt idx="9">
                  <c:v>25.776107278541225</c:v>
                </c:pt>
                <c:pt idx="10">
                  <c:v>27.104960006395352</c:v>
                </c:pt>
                <c:pt idx="11">
                  <c:v>28.433812734249475</c:v>
                </c:pt>
                <c:pt idx="12">
                  <c:v>29.762665462103598</c:v>
                </c:pt>
                <c:pt idx="13">
                  <c:v>31.091518189957721</c:v>
                </c:pt>
                <c:pt idx="14">
                  <c:v>32.420370917811844</c:v>
                </c:pt>
                <c:pt idx="15">
                  <c:v>33.749223645665971</c:v>
                </c:pt>
                <c:pt idx="16">
                  <c:v>35.078076373520098</c:v>
                </c:pt>
                <c:pt idx="17">
                  <c:v>36.406929101374217</c:v>
                </c:pt>
                <c:pt idx="18">
                  <c:v>37.735781829228344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Max</a:t>
            </a:r>
            <a:r>
              <a:rPr lang="en-US" baseline="0"/>
              <a:t> Possibe (w/weapons) </a:t>
            </a:r>
            <a:r>
              <a:rPr lang="en-US"/>
              <a:t>% Armor  and % Evasion per Tech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Corvette Armor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Balancing'!$J$12:$J$17</c:f>
              <c:numCache>
                <c:formatCode>0%</c:formatCode>
                <c:ptCount val="6"/>
                <c:pt idx="0">
                  <c:v>4.4117647058823539E-2</c:v>
                </c:pt>
                <c:pt idx="1">
                  <c:v>8.4507042253521139E-2</c:v>
                </c:pt>
                <c:pt idx="2">
                  <c:v>0.12162162162162166</c:v>
                </c:pt>
                <c:pt idx="3">
                  <c:v>0.15584415584415587</c:v>
                </c:pt>
                <c:pt idx="4">
                  <c:v>0.1875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8-4387-BD20-FAED52639891}"/>
            </c:ext>
          </c:extLst>
        </c:ser>
        <c:ser>
          <c:idx val="1"/>
          <c:order val="1"/>
          <c:tx>
            <c:v>Destroyer Armor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Balancing'!$K$12:$K$17</c:f>
              <c:numCache>
                <c:formatCode>0%</c:formatCode>
                <c:ptCount val="6"/>
                <c:pt idx="0">
                  <c:v>0.10714285714285714</c:v>
                </c:pt>
                <c:pt idx="1">
                  <c:v>0.19354838709677419</c:v>
                </c:pt>
                <c:pt idx="2">
                  <c:v>0.26470588235294124</c:v>
                </c:pt>
                <c:pt idx="3">
                  <c:v>0.32432432432432434</c:v>
                </c:pt>
                <c:pt idx="4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8-4387-BD20-FAED52639891}"/>
            </c:ext>
          </c:extLst>
        </c:ser>
        <c:ser>
          <c:idx val="2"/>
          <c:order val="2"/>
          <c:tx>
            <c:v>Cruiser Armor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Balancing'!$L$12:$L$17</c:f>
              <c:numCache>
                <c:formatCode>0%</c:formatCode>
                <c:ptCount val="6"/>
                <c:pt idx="0">
                  <c:v>0.20454545454545456</c:v>
                </c:pt>
                <c:pt idx="1">
                  <c:v>0.339622641509434</c:v>
                </c:pt>
                <c:pt idx="2">
                  <c:v>0.43548387096774199</c:v>
                </c:pt>
                <c:pt idx="3">
                  <c:v>0.50704225352112675</c:v>
                </c:pt>
                <c:pt idx="4">
                  <c:v>0.5625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8-4387-BD20-FAED52639891}"/>
            </c:ext>
          </c:extLst>
        </c:ser>
        <c:ser>
          <c:idx val="3"/>
          <c:order val="3"/>
          <c:tx>
            <c:v>Battle Ship Armor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Balancing'!$M$12:$M$17</c:f>
              <c:numCache>
                <c:formatCode>0%</c:formatCode>
                <c:ptCount val="6"/>
                <c:pt idx="0">
                  <c:v>0.37500000000000006</c:v>
                </c:pt>
                <c:pt idx="1">
                  <c:v>0.54545454545454553</c:v>
                </c:pt>
                <c:pt idx="2">
                  <c:v>0.6428571428571429</c:v>
                </c:pt>
                <c:pt idx="3">
                  <c:v>0.70588235294117652</c:v>
                </c:pt>
                <c:pt idx="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8-4387-BD20-FAED52639891}"/>
            </c:ext>
          </c:extLst>
        </c:ser>
        <c:ser>
          <c:idx val="4"/>
          <c:order val="4"/>
          <c:tx>
            <c:v>Corvette Evasion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Balancing'!$J$19:$J$23</c:f>
              <c:numCache>
                <c:formatCode>0%</c:formatCode>
                <c:ptCount val="5"/>
                <c:pt idx="0">
                  <c:v>0.16119340416507255</c:v>
                </c:pt>
                <c:pt idx="1">
                  <c:v>0.3223868083301451</c:v>
                </c:pt>
                <c:pt idx="2">
                  <c:v>0.48358021249521765</c:v>
                </c:pt>
                <c:pt idx="3">
                  <c:v>0.64477361666029021</c:v>
                </c:pt>
                <c:pt idx="4">
                  <c:v>0.80596702082536287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D-4D7A-9CF0-6157DD02EDD8}"/>
            </c:ext>
          </c:extLst>
        </c:ser>
        <c:ser>
          <c:idx val="5"/>
          <c:order val="5"/>
          <c:tx>
            <c:v>Destroyer Evasion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Balancing'!$K$19:$K$23</c:f>
              <c:numCache>
                <c:formatCode>0%</c:formatCode>
                <c:ptCount val="5"/>
                <c:pt idx="0">
                  <c:v>0.1197436716654825</c:v>
                </c:pt>
                <c:pt idx="1">
                  <c:v>0.239487343330965</c:v>
                </c:pt>
                <c:pt idx="2">
                  <c:v>0.35923101499644738</c:v>
                </c:pt>
                <c:pt idx="3">
                  <c:v>0.47897468666192999</c:v>
                </c:pt>
                <c:pt idx="4">
                  <c:v>0.59871835832741249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D-4D7A-9CF0-6157DD02EDD8}"/>
            </c:ext>
          </c:extLst>
        </c:ser>
        <c:ser>
          <c:idx val="6"/>
          <c:order val="6"/>
          <c:tx>
            <c:v>Cruiser Evasion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Balancing'!$L$19:$L$23</c:f>
              <c:numCache>
                <c:formatCode>0%</c:formatCode>
                <c:ptCount val="5"/>
                <c:pt idx="0">
                  <c:v>8.059670208253622E-2</c:v>
                </c:pt>
                <c:pt idx="1">
                  <c:v>0.16119340416507255</c:v>
                </c:pt>
                <c:pt idx="2">
                  <c:v>0.24179010624760888</c:v>
                </c:pt>
                <c:pt idx="3">
                  <c:v>0.3223868083301451</c:v>
                </c:pt>
                <c:pt idx="4">
                  <c:v>0.40298351041268143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D-4D7A-9CF0-6157DD02EDD8}"/>
            </c:ext>
          </c:extLst>
        </c:ser>
        <c:ser>
          <c:idx val="7"/>
          <c:order val="7"/>
          <c:tx>
            <c:v>Battleship Evasion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Balancing'!$M$19:$M$23</c:f>
              <c:numCache>
                <c:formatCode>0%</c:formatCode>
                <c:ptCount val="5"/>
                <c:pt idx="0">
                  <c:v>3.9146969582946278E-2</c:v>
                </c:pt>
                <c:pt idx="1">
                  <c:v>7.8293939165892334E-2</c:v>
                </c:pt>
                <c:pt idx="2">
                  <c:v>0.11744090874883861</c:v>
                </c:pt>
                <c:pt idx="3">
                  <c:v>0.15658787833178478</c:v>
                </c:pt>
                <c:pt idx="4">
                  <c:v>0.19573484791473106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D-4D7A-9CF0-6157DD02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0888"/>
        <c:axId val="388372200"/>
      </c:scatterChart>
      <c:valAx>
        <c:axId val="3883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</a:t>
                </a:r>
                <a:r>
                  <a:rPr lang="en-US" baseline="0"/>
                  <a:t> Tier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2200"/>
        <c:crosses val="autoZero"/>
        <c:crossBetween val="midCat"/>
      </c:valAx>
      <c:valAx>
        <c:axId val="3883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Defense vs. 75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DMG Reduction per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2-4AEA-8664-2EE6D0DADFEC}"/>
            </c:ext>
          </c:extLst>
        </c:ser>
        <c:ser>
          <c:idx val="1"/>
          <c:order val="1"/>
          <c:tx>
            <c:v>Evasion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Balancing'!$E$28:$E$273</c:f>
              <c:numCache>
                <c:formatCode>0%</c:formatCode>
                <c:ptCount val="246"/>
                <c:pt idx="0">
                  <c:v>1.1513814583219428E-2</c:v>
                </c:pt>
                <c:pt idx="1">
                  <c:v>2.3027629166438968E-2</c:v>
                </c:pt>
                <c:pt idx="2">
                  <c:v>3.4541443749658396E-2</c:v>
                </c:pt>
                <c:pt idx="3">
                  <c:v>4.6055258332877935E-2</c:v>
                </c:pt>
                <c:pt idx="4">
                  <c:v>5.7569072916097364E-2</c:v>
                </c:pt>
                <c:pt idx="5">
                  <c:v>6.9082887499316792E-2</c:v>
                </c:pt>
                <c:pt idx="6">
                  <c:v>8.059670208253622E-2</c:v>
                </c:pt>
                <c:pt idx="7">
                  <c:v>9.2110516665755759E-2</c:v>
                </c:pt>
                <c:pt idx="8">
                  <c:v>0.10362433124897519</c:v>
                </c:pt>
                <c:pt idx="9">
                  <c:v>0.11513814583219473</c:v>
                </c:pt>
                <c:pt idx="10">
                  <c:v>0.12665196041541416</c:v>
                </c:pt>
                <c:pt idx="11">
                  <c:v>0.13816577499863369</c:v>
                </c:pt>
                <c:pt idx="12">
                  <c:v>0.14967958958185312</c:v>
                </c:pt>
                <c:pt idx="13">
                  <c:v>0.16119340416507255</c:v>
                </c:pt>
                <c:pt idx="14">
                  <c:v>0.17270721874829209</c:v>
                </c:pt>
                <c:pt idx="15">
                  <c:v>0.18422103333151152</c:v>
                </c:pt>
                <c:pt idx="16">
                  <c:v>0.19573484791473106</c:v>
                </c:pt>
                <c:pt idx="17">
                  <c:v>0.20724866249795049</c:v>
                </c:pt>
                <c:pt idx="18">
                  <c:v>0.21876247708117003</c:v>
                </c:pt>
                <c:pt idx="19">
                  <c:v>0.23027629166438945</c:v>
                </c:pt>
                <c:pt idx="20">
                  <c:v>0.24179010624760888</c:v>
                </c:pt>
                <c:pt idx="21">
                  <c:v>0.25330392083082831</c:v>
                </c:pt>
                <c:pt idx="22">
                  <c:v>0.26481773541404785</c:v>
                </c:pt>
                <c:pt idx="23">
                  <c:v>0.27633154999726728</c:v>
                </c:pt>
                <c:pt idx="24">
                  <c:v>0.28784536458048671</c:v>
                </c:pt>
                <c:pt idx="25">
                  <c:v>0.29935917916370625</c:v>
                </c:pt>
                <c:pt idx="26">
                  <c:v>0.31087299374692567</c:v>
                </c:pt>
                <c:pt idx="27">
                  <c:v>0.32238680833014521</c:v>
                </c:pt>
                <c:pt idx="28">
                  <c:v>0.33390062291336453</c:v>
                </c:pt>
                <c:pt idx="29">
                  <c:v>0.34541443749658407</c:v>
                </c:pt>
                <c:pt idx="30">
                  <c:v>0.3569282520798035</c:v>
                </c:pt>
                <c:pt idx="31">
                  <c:v>0.36844206666302304</c:v>
                </c:pt>
                <c:pt idx="32">
                  <c:v>0.37995588124624247</c:v>
                </c:pt>
                <c:pt idx="33">
                  <c:v>0.39146969582946201</c:v>
                </c:pt>
                <c:pt idx="34">
                  <c:v>0.40298351041268143</c:v>
                </c:pt>
                <c:pt idx="35">
                  <c:v>0.41449732499590097</c:v>
                </c:pt>
                <c:pt idx="36">
                  <c:v>0.4260111395791204</c:v>
                </c:pt>
                <c:pt idx="37">
                  <c:v>0.43752495416233983</c:v>
                </c:pt>
                <c:pt idx="38">
                  <c:v>0.44903876874555937</c:v>
                </c:pt>
                <c:pt idx="39">
                  <c:v>0.4605525833287788</c:v>
                </c:pt>
                <c:pt idx="40">
                  <c:v>0.47206639791199823</c:v>
                </c:pt>
                <c:pt idx="41">
                  <c:v>0.48358021249521776</c:v>
                </c:pt>
                <c:pt idx="42">
                  <c:v>0.49509402707843719</c:v>
                </c:pt>
                <c:pt idx="43">
                  <c:v>0.50660784166165662</c:v>
                </c:pt>
                <c:pt idx="44">
                  <c:v>0.51812165624487616</c:v>
                </c:pt>
                <c:pt idx="45">
                  <c:v>0.5296354708280957</c:v>
                </c:pt>
                <c:pt idx="46">
                  <c:v>0.54114928541131513</c:v>
                </c:pt>
                <c:pt idx="47">
                  <c:v>0.55266309999453456</c:v>
                </c:pt>
                <c:pt idx="48">
                  <c:v>0.56417691457775399</c:v>
                </c:pt>
                <c:pt idx="49">
                  <c:v>0.57569072916097352</c:v>
                </c:pt>
                <c:pt idx="50">
                  <c:v>0.58720454374419306</c:v>
                </c:pt>
                <c:pt idx="51">
                  <c:v>0.59871835832741249</c:v>
                </c:pt>
                <c:pt idx="52">
                  <c:v>0.61023217291063192</c:v>
                </c:pt>
                <c:pt idx="53">
                  <c:v>0.62174598749385146</c:v>
                </c:pt>
                <c:pt idx="54">
                  <c:v>0.633259802077071</c:v>
                </c:pt>
                <c:pt idx="55">
                  <c:v>0.64477361666029043</c:v>
                </c:pt>
                <c:pt idx="56">
                  <c:v>0.65628743124350974</c:v>
                </c:pt>
                <c:pt idx="57">
                  <c:v>0.66780124582672928</c:v>
                </c:pt>
                <c:pt idx="58">
                  <c:v>0.67931506040994871</c:v>
                </c:pt>
                <c:pt idx="59">
                  <c:v>0.69082887499316814</c:v>
                </c:pt>
                <c:pt idx="60">
                  <c:v>0.70234268957638768</c:v>
                </c:pt>
                <c:pt idx="61">
                  <c:v>0.71385650415960722</c:v>
                </c:pt>
                <c:pt idx="62">
                  <c:v>0.72537031874282665</c:v>
                </c:pt>
                <c:pt idx="63">
                  <c:v>0.73688413332604608</c:v>
                </c:pt>
                <c:pt idx="64">
                  <c:v>0.74839794790926562</c:v>
                </c:pt>
                <c:pt idx="65">
                  <c:v>0.75991176249248515</c:v>
                </c:pt>
                <c:pt idx="66">
                  <c:v>0.77142557707570458</c:v>
                </c:pt>
                <c:pt idx="67">
                  <c:v>0.78293939165892401</c:v>
                </c:pt>
                <c:pt idx="68">
                  <c:v>0.79445320624214344</c:v>
                </c:pt>
                <c:pt idx="69">
                  <c:v>0.80596702082536287</c:v>
                </c:pt>
                <c:pt idx="70">
                  <c:v>0.8174808354085823</c:v>
                </c:pt>
                <c:pt idx="71">
                  <c:v>0.82899464999180184</c:v>
                </c:pt>
                <c:pt idx="72">
                  <c:v>0.84050846457502137</c:v>
                </c:pt>
                <c:pt idx="73">
                  <c:v>0.8520222791582408</c:v>
                </c:pt>
                <c:pt idx="74">
                  <c:v>0.86353609374146023</c:v>
                </c:pt>
                <c:pt idx="75">
                  <c:v>0.87504990832467977</c:v>
                </c:pt>
                <c:pt idx="76">
                  <c:v>0.8865637229078992</c:v>
                </c:pt>
                <c:pt idx="77">
                  <c:v>0.89807753749111874</c:v>
                </c:pt>
                <c:pt idx="78">
                  <c:v>0.90959135207433817</c:v>
                </c:pt>
                <c:pt idx="79">
                  <c:v>0.92110516665755771</c:v>
                </c:pt>
                <c:pt idx="80">
                  <c:v>0.93261898124077713</c:v>
                </c:pt>
                <c:pt idx="81">
                  <c:v>0.94413279582399656</c:v>
                </c:pt>
                <c:pt idx="82">
                  <c:v>0.95564661040721599</c:v>
                </c:pt>
                <c:pt idx="83">
                  <c:v>0.96716042499043553</c:v>
                </c:pt>
                <c:pt idx="84">
                  <c:v>0.97867423957365496</c:v>
                </c:pt>
                <c:pt idx="85">
                  <c:v>0.9901880541568745</c:v>
                </c:pt>
                <c:pt idx="86">
                  <c:v>1.0017018687400938</c:v>
                </c:pt>
                <c:pt idx="87">
                  <c:v>1.0132156833233135</c:v>
                </c:pt>
                <c:pt idx="88">
                  <c:v>1.0247294979065329</c:v>
                </c:pt>
                <c:pt idx="89">
                  <c:v>1.0362433124897523</c:v>
                </c:pt>
                <c:pt idx="90">
                  <c:v>1.0477571270729718</c:v>
                </c:pt>
                <c:pt idx="91">
                  <c:v>1.0592709416561914</c:v>
                </c:pt>
                <c:pt idx="92">
                  <c:v>1.0707847562394108</c:v>
                </c:pt>
                <c:pt idx="93">
                  <c:v>1.0822985708226303</c:v>
                </c:pt>
                <c:pt idx="94">
                  <c:v>1.0938123854058497</c:v>
                </c:pt>
                <c:pt idx="95">
                  <c:v>1.1053261999890691</c:v>
                </c:pt>
                <c:pt idx="96">
                  <c:v>1.1168400145722885</c:v>
                </c:pt>
                <c:pt idx="97">
                  <c:v>1.128353829155508</c:v>
                </c:pt>
                <c:pt idx="98">
                  <c:v>1.1398676437387276</c:v>
                </c:pt>
                <c:pt idx="99">
                  <c:v>1.151381458321947</c:v>
                </c:pt>
                <c:pt idx="100">
                  <c:v>1.1628952729051665</c:v>
                </c:pt>
                <c:pt idx="101">
                  <c:v>1.1744090874883861</c:v>
                </c:pt>
                <c:pt idx="102">
                  <c:v>1.1859229020716056</c:v>
                </c:pt>
                <c:pt idx="103">
                  <c:v>1.197436716654825</c:v>
                </c:pt>
                <c:pt idx="104">
                  <c:v>1.2089505312380444</c:v>
                </c:pt>
                <c:pt idx="105">
                  <c:v>1.2204643458212638</c:v>
                </c:pt>
                <c:pt idx="106">
                  <c:v>1.2319781604044835</c:v>
                </c:pt>
                <c:pt idx="107">
                  <c:v>1.2434919749877029</c:v>
                </c:pt>
                <c:pt idx="108">
                  <c:v>1.2550057895709223</c:v>
                </c:pt>
                <c:pt idx="109">
                  <c:v>1.2665196041541418</c:v>
                </c:pt>
                <c:pt idx="110">
                  <c:v>1.2780334187373614</c:v>
                </c:pt>
                <c:pt idx="111">
                  <c:v>1.2895472333205809</c:v>
                </c:pt>
                <c:pt idx="112">
                  <c:v>1.3010610479038001</c:v>
                </c:pt>
                <c:pt idx="113">
                  <c:v>1.3125748624870195</c:v>
                </c:pt>
                <c:pt idx="114">
                  <c:v>1.3240886770702389</c:v>
                </c:pt>
                <c:pt idx="115">
                  <c:v>1.3356024916534586</c:v>
                </c:pt>
                <c:pt idx="116">
                  <c:v>1.347116306236678</c:v>
                </c:pt>
                <c:pt idx="117">
                  <c:v>1.3586301208198974</c:v>
                </c:pt>
                <c:pt idx="118">
                  <c:v>1.3701439354031169</c:v>
                </c:pt>
                <c:pt idx="119">
                  <c:v>1.3816577499863363</c:v>
                </c:pt>
                <c:pt idx="120">
                  <c:v>1.3931715645695559</c:v>
                </c:pt>
                <c:pt idx="121">
                  <c:v>1.4046853791527754</c:v>
                </c:pt>
                <c:pt idx="122">
                  <c:v>1.4161991937359948</c:v>
                </c:pt>
                <c:pt idx="123">
                  <c:v>1.4277130083192144</c:v>
                </c:pt>
                <c:pt idx="124">
                  <c:v>1.4392268229024339</c:v>
                </c:pt>
                <c:pt idx="125">
                  <c:v>1.4507406374856533</c:v>
                </c:pt>
                <c:pt idx="126">
                  <c:v>1.4622544520688727</c:v>
                </c:pt>
                <c:pt idx="127">
                  <c:v>1.4737682666520922</c:v>
                </c:pt>
                <c:pt idx="128">
                  <c:v>1.4852820812353118</c:v>
                </c:pt>
                <c:pt idx="129">
                  <c:v>1.4967958958185312</c:v>
                </c:pt>
                <c:pt idx="130">
                  <c:v>1.5083097104017507</c:v>
                </c:pt>
                <c:pt idx="131">
                  <c:v>1.5198235249849703</c:v>
                </c:pt>
                <c:pt idx="132">
                  <c:v>1.5313373395681897</c:v>
                </c:pt>
                <c:pt idx="133">
                  <c:v>1.5428511541514092</c:v>
                </c:pt>
                <c:pt idx="134">
                  <c:v>1.5543649687346286</c:v>
                </c:pt>
                <c:pt idx="135">
                  <c:v>1.565878783317848</c:v>
                </c:pt>
                <c:pt idx="136">
                  <c:v>1.5773925979010675</c:v>
                </c:pt>
                <c:pt idx="137">
                  <c:v>1.5889064124842869</c:v>
                </c:pt>
                <c:pt idx="138">
                  <c:v>1.6004202270675063</c:v>
                </c:pt>
                <c:pt idx="139">
                  <c:v>1.6119340416507257</c:v>
                </c:pt>
                <c:pt idx="140">
                  <c:v>1.6234478562339452</c:v>
                </c:pt>
                <c:pt idx="141">
                  <c:v>1.6349616708171646</c:v>
                </c:pt>
                <c:pt idx="142">
                  <c:v>1.6464754854003842</c:v>
                </c:pt>
                <c:pt idx="143">
                  <c:v>1.6579892999836037</c:v>
                </c:pt>
                <c:pt idx="144">
                  <c:v>1.6695031145668233</c:v>
                </c:pt>
                <c:pt idx="145">
                  <c:v>1.6810169291500427</c:v>
                </c:pt>
                <c:pt idx="146">
                  <c:v>1.6925307437332622</c:v>
                </c:pt>
                <c:pt idx="147">
                  <c:v>1.7040445583164816</c:v>
                </c:pt>
                <c:pt idx="148">
                  <c:v>1.715558372899701</c:v>
                </c:pt>
                <c:pt idx="149">
                  <c:v>1.7270721874829205</c:v>
                </c:pt>
                <c:pt idx="150">
                  <c:v>1.7385860020661399</c:v>
                </c:pt>
                <c:pt idx="151">
                  <c:v>1.7500998166493595</c:v>
                </c:pt>
                <c:pt idx="152">
                  <c:v>1.761613631232579</c:v>
                </c:pt>
                <c:pt idx="153">
                  <c:v>1.7731274458157986</c:v>
                </c:pt>
                <c:pt idx="154">
                  <c:v>1.784641260399018</c:v>
                </c:pt>
                <c:pt idx="155">
                  <c:v>1.7961550749822375</c:v>
                </c:pt>
                <c:pt idx="156">
                  <c:v>1.8076688895654569</c:v>
                </c:pt>
                <c:pt idx="157">
                  <c:v>1.8191827041486763</c:v>
                </c:pt>
                <c:pt idx="158">
                  <c:v>1.8306965187318958</c:v>
                </c:pt>
                <c:pt idx="159">
                  <c:v>1.8422103333151154</c:v>
                </c:pt>
                <c:pt idx="160">
                  <c:v>1.8537241478983348</c:v>
                </c:pt>
                <c:pt idx="161">
                  <c:v>1.8652379624815545</c:v>
                </c:pt>
                <c:pt idx="162">
                  <c:v>1.8767517770647735</c:v>
                </c:pt>
                <c:pt idx="163">
                  <c:v>1.8882655916479929</c:v>
                </c:pt>
                <c:pt idx="164">
                  <c:v>1.8997794062312126</c:v>
                </c:pt>
                <c:pt idx="165">
                  <c:v>1.911293220814432</c:v>
                </c:pt>
                <c:pt idx="166">
                  <c:v>1.9228070353976516</c:v>
                </c:pt>
                <c:pt idx="167">
                  <c:v>1.9343208499808711</c:v>
                </c:pt>
                <c:pt idx="168">
                  <c:v>1.9458346645640905</c:v>
                </c:pt>
                <c:pt idx="169">
                  <c:v>1.9573484791473099</c:v>
                </c:pt>
                <c:pt idx="170">
                  <c:v>1.9688622937305293</c:v>
                </c:pt>
                <c:pt idx="171">
                  <c:v>1.9803761083137488</c:v>
                </c:pt>
                <c:pt idx="172">
                  <c:v>1.9918899228969684</c:v>
                </c:pt>
                <c:pt idx="173">
                  <c:v>2.0034037374801876</c:v>
                </c:pt>
                <c:pt idx="174">
                  <c:v>2.0149175520634071</c:v>
                </c:pt>
                <c:pt idx="175">
                  <c:v>2.0264313666466265</c:v>
                </c:pt>
                <c:pt idx="176">
                  <c:v>2.0379451812298464</c:v>
                </c:pt>
                <c:pt idx="177">
                  <c:v>2.0494589958130658</c:v>
                </c:pt>
                <c:pt idx="178">
                  <c:v>2.0609728103962852</c:v>
                </c:pt>
                <c:pt idx="179">
                  <c:v>2.0724866249795046</c:v>
                </c:pt>
                <c:pt idx="180">
                  <c:v>2.0840004395627245</c:v>
                </c:pt>
                <c:pt idx="181">
                  <c:v>2.0955142541459439</c:v>
                </c:pt>
                <c:pt idx="182">
                  <c:v>2.1070280687291634</c:v>
                </c:pt>
                <c:pt idx="183">
                  <c:v>2.1185418833123828</c:v>
                </c:pt>
                <c:pt idx="184">
                  <c:v>2.1300556978956022</c:v>
                </c:pt>
                <c:pt idx="185">
                  <c:v>2.1415695124788217</c:v>
                </c:pt>
                <c:pt idx="186">
                  <c:v>2.1530833270620411</c:v>
                </c:pt>
                <c:pt idx="187">
                  <c:v>2.1645971416452605</c:v>
                </c:pt>
                <c:pt idx="188">
                  <c:v>2.1761109562284799</c:v>
                </c:pt>
                <c:pt idx="189">
                  <c:v>2.1876247708116994</c:v>
                </c:pt>
                <c:pt idx="190">
                  <c:v>2.1991385853949188</c:v>
                </c:pt>
                <c:pt idx="191">
                  <c:v>2.2106523999781382</c:v>
                </c:pt>
                <c:pt idx="192">
                  <c:v>2.2221662145613577</c:v>
                </c:pt>
                <c:pt idx="193">
                  <c:v>2.2336800291445771</c:v>
                </c:pt>
                <c:pt idx="194">
                  <c:v>2.2451938437277965</c:v>
                </c:pt>
                <c:pt idx="195">
                  <c:v>2.2567076583110164</c:v>
                </c:pt>
                <c:pt idx="196">
                  <c:v>2.2682214728942354</c:v>
                </c:pt>
                <c:pt idx="197">
                  <c:v>2.2797352874774552</c:v>
                </c:pt>
                <c:pt idx="198">
                  <c:v>2.2912491020606742</c:v>
                </c:pt>
                <c:pt idx="199">
                  <c:v>2.3027629166438945</c:v>
                </c:pt>
                <c:pt idx="200">
                  <c:v>2.3142767312271135</c:v>
                </c:pt>
                <c:pt idx="201">
                  <c:v>2.3257905458103334</c:v>
                </c:pt>
                <c:pt idx="202">
                  <c:v>2.3373043603935524</c:v>
                </c:pt>
                <c:pt idx="203">
                  <c:v>2.3488181749767723</c:v>
                </c:pt>
                <c:pt idx="204">
                  <c:v>2.3603319895599917</c:v>
                </c:pt>
                <c:pt idx="205">
                  <c:v>2.3718458041432111</c:v>
                </c:pt>
                <c:pt idx="206">
                  <c:v>2.3833596187264305</c:v>
                </c:pt>
                <c:pt idx="207">
                  <c:v>2.39487343330965</c:v>
                </c:pt>
                <c:pt idx="208">
                  <c:v>2.4063872478928694</c:v>
                </c:pt>
                <c:pt idx="209">
                  <c:v>2.4179010624760888</c:v>
                </c:pt>
                <c:pt idx="210">
                  <c:v>2.4294148770593083</c:v>
                </c:pt>
                <c:pt idx="211">
                  <c:v>2.4409286916425277</c:v>
                </c:pt>
                <c:pt idx="212">
                  <c:v>2.4524425062257471</c:v>
                </c:pt>
                <c:pt idx="213">
                  <c:v>2.463956320808967</c:v>
                </c:pt>
                <c:pt idx="214">
                  <c:v>2.475470135392186</c:v>
                </c:pt>
                <c:pt idx="215">
                  <c:v>2.4869839499754058</c:v>
                </c:pt>
                <c:pt idx="216">
                  <c:v>2.4984977645586248</c:v>
                </c:pt>
                <c:pt idx="217">
                  <c:v>2.5100115791418451</c:v>
                </c:pt>
                <c:pt idx="218">
                  <c:v>2.5215253937250641</c:v>
                </c:pt>
                <c:pt idx="219">
                  <c:v>2.533039208308284</c:v>
                </c:pt>
                <c:pt idx="220">
                  <c:v>2.544553022891503</c:v>
                </c:pt>
                <c:pt idx="221">
                  <c:v>2.5560668374747229</c:v>
                </c:pt>
                <c:pt idx="222">
                  <c:v>2.5675806520579423</c:v>
                </c:pt>
                <c:pt idx="223">
                  <c:v>2.5790944666411617</c:v>
                </c:pt>
                <c:pt idx="224">
                  <c:v>2.5906082812243811</c:v>
                </c:pt>
                <c:pt idx="225">
                  <c:v>2.6021220958076001</c:v>
                </c:pt>
                <c:pt idx="226">
                  <c:v>2.61363591039082</c:v>
                </c:pt>
                <c:pt idx="227">
                  <c:v>2.6251497249740394</c:v>
                </c:pt>
                <c:pt idx="228">
                  <c:v>2.6366635395572589</c:v>
                </c:pt>
                <c:pt idx="229">
                  <c:v>2.6481773541404783</c:v>
                </c:pt>
                <c:pt idx="230">
                  <c:v>2.6596911687236977</c:v>
                </c:pt>
                <c:pt idx="231">
                  <c:v>2.6712049833069171</c:v>
                </c:pt>
                <c:pt idx="232">
                  <c:v>2.6827187978901366</c:v>
                </c:pt>
                <c:pt idx="233">
                  <c:v>2.694232612473356</c:v>
                </c:pt>
                <c:pt idx="234">
                  <c:v>2.7057464270565759</c:v>
                </c:pt>
                <c:pt idx="235">
                  <c:v>2.7172602416397948</c:v>
                </c:pt>
                <c:pt idx="236">
                  <c:v>2.7287740562230147</c:v>
                </c:pt>
                <c:pt idx="237">
                  <c:v>2.7402878708062337</c:v>
                </c:pt>
                <c:pt idx="238">
                  <c:v>2.751801685389454</c:v>
                </c:pt>
                <c:pt idx="239">
                  <c:v>2.763315499972673</c:v>
                </c:pt>
                <c:pt idx="240">
                  <c:v>2.7748293145558929</c:v>
                </c:pt>
                <c:pt idx="241">
                  <c:v>2.7863431291391119</c:v>
                </c:pt>
                <c:pt idx="242">
                  <c:v>2.7978569437223317</c:v>
                </c:pt>
                <c:pt idx="243">
                  <c:v>2.8093707583055512</c:v>
                </c:pt>
                <c:pt idx="244">
                  <c:v>2.8208845728887706</c:v>
                </c:pt>
                <c:pt idx="245">
                  <c:v>2.83239838747199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2-4AEA-8664-2EE6D0DADFEC}"/>
            </c:ext>
          </c:extLst>
        </c:ser>
        <c:ser>
          <c:idx val="2"/>
          <c:order val="2"/>
          <c:tx>
            <c:strRef>
              <c:f>'Ship Design Balancing'!$G$27</c:f>
              <c:strCache>
                <c:ptCount val="1"/>
                <c:pt idx="0">
                  <c:v>Armor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92-4AEA-8664-2EE6D0DA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70776"/>
        <c:axId val="281369136"/>
      </c:scatterChart>
      <c:valAx>
        <c:axId val="28137077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69136"/>
        <c:crosses val="autoZero"/>
        <c:crossBetween val="midCat"/>
      </c:valAx>
      <c:valAx>
        <c:axId val="28136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7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6</xdr:row>
      <xdr:rowOff>66674</xdr:rowOff>
    </xdr:from>
    <xdr:to>
      <xdr:col>20</xdr:col>
      <xdr:colOff>85724</xdr:colOff>
      <xdr:row>35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249</xdr:row>
      <xdr:rowOff>85725</xdr:rowOff>
    </xdr:from>
    <xdr:to>
      <xdr:col>16</xdr:col>
      <xdr:colOff>514350</xdr:colOff>
      <xdr:row>268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opLeftCell="A61" workbookViewId="0">
      <selection activeCell="S7" sqref="S7"/>
    </sheetView>
  </sheetViews>
  <sheetFormatPr defaultRowHeight="15" x14ac:dyDescent="0.25"/>
  <cols>
    <col min="1" max="1" width="30.85546875" customWidth="1"/>
    <col min="9" max="9" width="13.7109375" customWidth="1"/>
  </cols>
  <sheetData>
    <row r="1" spans="1:17" x14ac:dyDescent="0.25">
      <c r="A1" s="15" t="s">
        <v>0</v>
      </c>
    </row>
    <row r="2" spans="1:17" x14ac:dyDescent="0.25">
      <c r="A2" s="15" t="s">
        <v>1</v>
      </c>
    </row>
    <row r="3" spans="1:17" x14ac:dyDescent="0.25">
      <c r="A3" s="15" t="s">
        <v>2</v>
      </c>
      <c r="H3" t="s">
        <v>3</v>
      </c>
    </row>
    <row r="4" spans="1:17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7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7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  <c r="Q6" t="s">
        <v>133</v>
      </c>
    </row>
    <row r="7" spans="1:17" x14ac:dyDescent="0.25">
      <c r="A7" s="15" t="s">
        <v>22</v>
      </c>
    </row>
    <row r="8" spans="1:17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  <c r="Q8">
        <f>(AVERAGE(D8:E8)*M8)/((AVERAGE(I8:J8)+K8)/10)</f>
        <v>1.38</v>
      </c>
    </row>
    <row r="9" spans="1:17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  <c r="Q9" s="30">
        <f t="shared" ref="Q9:Q72" si="0">(AVERAGE(D9:E9)*M9)/((AVERAGE(I9:J9)+K9)/10)</f>
        <v>3.3066666666666666</v>
      </c>
    </row>
    <row r="10" spans="1:17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  <c r="Q10" s="30">
        <f t="shared" si="0"/>
        <v>6.6</v>
      </c>
    </row>
    <row r="11" spans="1:17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  <c r="Q11" s="30">
        <f t="shared" si="0"/>
        <v>1.968</v>
      </c>
    </row>
    <row r="12" spans="1:17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  <c r="Q12" s="30">
        <f t="shared" si="0"/>
        <v>3.9466666666666668</v>
      </c>
    </row>
    <row r="13" spans="1:17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  <c r="Q13" s="30">
        <f t="shared" si="0"/>
        <v>7.9</v>
      </c>
    </row>
    <row r="14" spans="1:17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  <c r="Q14" s="30">
        <f t="shared" si="0"/>
        <v>2.2959999999999998</v>
      </c>
    </row>
    <row r="15" spans="1:17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  <c r="Q15" s="30">
        <f t="shared" si="0"/>
        <v>4.5866666666666669</v>
      </c>
    </row>
    <row r="16" spans="1:17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  <c r="Q16" s="30">
        <f t="shared" si="0"/>
        <v>9.1999999999999993</v>
      </c>
    </row>
    <row r="17" spans="1:17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  <c r="Q17" s="30">
        <f t="shared" si="0"/>
        <v>2.6240000000000001</v>
      </c>
    </row>
    <row r="18" spans="1:17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  <c r="Q18" s="30">
        <f t="shared" si="0"/>
        <v>5.2266666666666675</v>
      </c>
    </row>
    <row r="19" spans="1:17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  <c r="Q19" s="30">
        <f t="shared" si="0"/>
        <v>10.5</v>
      </c>
    </row>
    <row r="20" spans="1:17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  <c r="Q20" s="30">
        <f t="shared" si="0"/>
        <v>2.9519999999999995</v>
      </c>
    </row>
    <row r="21" spans="1:17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  <c r="Q21" s="30">
        <f t="shared" si="0"/>
        <v>5.8666666666666663</v>
      </c>
    </row>
    <row r="22" spans="1:17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  <c r="Q22" s="30">
        <f t="shared" si="0"/>
        <v>11.8</v>
      </c>
    </row>
    <row r="23" spans="1:17" x14ac:dyDescent="0.25">
      <c r="A23" s="15" t="s">
        <v>150</v>
      </c>
      <c r="Q23" s="30" t="e">
        <f t="shared" si="0"/>
        <v>#DIV/0!</v>
      </c>
    </row>
    <row r="24" spans="1:17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  <c r="Q24" s="30">
        <f t="shared" si="0"/>
        <v>1.8214285714285714</v>
      </c>
    </row>
    <row r="25" spans="1:17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  <c r="Q25" s="30">
        <f t="shared" si="0"/>
        <v>3.6314285714285712</v>
      </c>
    </row>
    <row r="26" spans="1:17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  <c r="Q26" s="30">
        <f t="shared" si="0"/>
        <v>7.4485714285714284</v>
      </c>
    </row>
    <row r="27" spans="1:17" x14ac:dyDescent="0.25">
      <c r="A27" s="15" t="s">
        <v>39</v>
      </c>
      <c r="Q27" s="30" t="e">
        <f t="shared" si="0"/>
        <v>#DIV/0!</v>
      </c>
    </row>
    <row r="28" spans="1:17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  <c r="Q28" s="30">
        <f t="shared" si="0"/>
        <v>14.593220338983052</v>
      </c>
    </row>
    <row r="29" spans="1:17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  <c r="Q29" s="30">
        <f t="shared" si="0"/>
        <v>16.118644067796613</v>
      </c>
    </row>
    <row r="30" spans="1:17" x14ac:dyDescent="0.25">
      <c r="A30" s="15" t="s">
        <v>42</v>
      </c>
      <c r="Q30" s="30" t="e">
        <f t="shared" si="0"/>
        <v>#DIV/0!</v>
      </c>
    </row>
    <row r="31" spans="1:17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  <c r="Q31" s="30">
        <f t="shared" si="0"/>
        <v>2.0735632183908046</v>
      </c>
    </row>
    <row r="32" spans="1:17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  <c r="Q32" s="30">
        <f t="shared" si="0"/>
        <v>4.1379310344827589</v>
      </c>
    </row>
    <row r="33" spans="1:17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  <c r="Q33" s="30">
        <f t="shared" si="0"/>
        <v>8.2758620689655178</v>
      </c>
    </row>
    <row r="34" spans="1:17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  <c r="Q34" s="30">
        <f t="shared" si="0"/>
        <v>2.4505747126436783</v>
      </c>
    </row>
    <row r="35" spans="1:17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  <c r="Q35" s="30">
        <f t="shared" si="0"/>
        <v>4.8735632183908058</v>
      </c>
    </row>
    <row r="36" spans="1:17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  <c r="Q36" s="30">
        <f t="shared" si="0"/>
        <v>9.8275862068965534</v>
      </c>
    </row>
    <row r="37" spans="1:17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  <c r="Q37" s="30">
        <f t="shared" si="0"/>
        <v>2.8275862068965516</v>
      </c>
    </row>
    <row r="38" spans="1:17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  <c r="Q38" s="30">
        <f t="shared" si="0"/>
        <v>5.7011494252873574</v>
      </c>
    </row>
    <row r="39" spans="1:17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  <c r="Q39" s="30">
        <f t="shared" si="0"/>
        <v>11.293103448275863</v>
      </c>
    </row>
    <row r="40" spans="1:17" x14ac:dyDescent="0.25">
      <c r="A40" s="15" t="s">
        <v>52</v>
      </c>
      <c r="Q40" s="30" t="e">
        <f t="shared" si="0"/>
        <v>#DIV/0!</v>
      </c>
    </row>
    <row r="41" spans="1:17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  <c r="Q41" s="30">
        <f t="shared" si="0"/>
        <v>13.106060606060607</v>
      </c>
    </row>
    <row r="42" spans="1:17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  <c r="Q42" s="30">
        <f t="shared" si="0"/>
        <v>14.84848484848485</v>
      </c>
    </row>
    <row r="43" spans="1:17" x14ac:dyDescent="0.25">
      <c r="A43" s="15" t="s">
        <v>55</v>
      </c>
      <c r="Q43" s="30" t="e">
        <f t="shared" si="0"/>
        <v>#DIV/0!</v>
      </c>
    </row>
    <row r="44" spans="1:17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  <c r="Q44" s="30">
        <f t="shared" si="0"/>
        <v>1.822222222222222</v>
      </c>
    </row>
    <row r="45" spans="1:17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  <c r="Q45" s="30">
        <f t="shared" si="0"/>
        <v>3.666666666666667</v>
      </c>
    </row>
    <row r="46" spans="1:17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  <c r="Q46" s="30">
        <f t="shared" si="0"/>
        <v>7.395833333333333</v>
      </c>
    </row>
    <row r="47" spans="1:17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  <c r="Q47" s="30">
        <f t="shared" si="0"/>
        <v>2.1638888888888888</v>
      </c>
    </row>
    <row r="48" spans="1:17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  <c r="Q48" s="30">
        <f t="shared" si="0"/>
        <v>4.3333333333333339</v>
      </c>
    </row>
    <row r="49" spans="1:17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  <c r="Q49" s="30">
        <f t="shared" si="0"/>
        <v>8.75</v>
      </c>
    </row>
    <row r="50" spans="1:17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  <c r="Q50" s="30">
        <f t="shared" si="0"/>
        <v>2.5055555555555555</v>
      </c>
    </row>
    <row r="51" spans="1:17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  <c r="Q51" s="30">
        <f t="shared" si="0"/>
        <v>5</v>
      </c>
    </row>
    <row r="52" spans="1:17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  <c r="Q52" s="30">
        <f t="shared" si="0"/>
        <v>10.104166666666666</v>
      </c>
    </row>
    <row r="53" spans="1:17" x14ac:dyDescent="0.25">
      <c r="A53" s="15" t="s">
        <v>65</v>
      </c>
      <c r="Q53" s="30" t="e">
        <f t="shared" si="0"/>
        <v>#DIV/0!</v>
      </c>
    </row>
    <row r="54" spans="1:17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  <c r="Q54" s="30">
        <f t="shared" si="0"/>
        <v>13.827777777777776</v>
      </c>
    </row>
    <row r="55" spans="1:17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  <c r="Q55" s="30">
        <f t="shared" si="0"/>
        <v>15.62222222222222</v>
      </c>
    </row>
    <row r="56" spans="1:17" x14ac:dyDescent="0.25">
      <c r="A56" s="15" t="s">
        <v>68</v>
      </c>
      <c r="Q56" s="30" t="e">
        <f t="shared" si="0"/>
        <v>#DIV/0!</v>
      </c>
    </row>
    <row r="57" spans="1:17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  <c r="Q57" s="30">
        <f t="shared" si="0"/>
        <v>1.8240000000000001</v>
      </c>
    </row>
    <row r="58" spans="1:17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  <c r="Q58" s="30">
        <f t="shared" si="0"/>
        <v>3.552</v>
      </c>
    </row>
    <row r="59" spans="1:17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  <c r="Q59" s="30">
        <f t="shared" si="0"/>
        <v>7.3253333333333339</v>
      </c>
    </row>
    <row r="60" spans="1:17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  <c r="Q60" s="30">
        <f t="shared" si="0"/>
        <v>2.1280000000000001</v>
      </c>
    </row>
    <row r="61" spans="1:17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  <c r="Q61" s="30">
        <f t="shared" si="0"/>
        <v>4.2240000000000002</v>
      </c>
    </row>
    <row r="62" spans="1:17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  <c r="Q62" s="30">
        <f t="shared" si="0"/>
        <v>8.4866666666666681</v>
      </c>
    </row>
    <row r="63" spans="1:17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  <c r="Q63" s="30">
        <f t="shared" si="0"/>
        <v>2.4320000000000004</v>
      </c>
    </row>
    <row r="64" spans="1:17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  <c r="Q64" s="30">
        <f t="shared" si="0"/>
        <v>4.8</v>
      </c>
    </row>
    <row r="65" spans="1:17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  <c r="Q65" s="30">
        <f t="shared" si="0"/>
        <v>9.7373333333333338</v>
      </c>
    </row>
    <row r="66" spans="1:17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  <c r="Q66" s="30">
        <f t="shared" si="0"/>
        <v>2.7359999999999998</v>
      </c>
    </row>
    <row r="67" spans="1:17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  <c r="Q67" s="30">
        <f t="shared" si="0"/>
        <v>5.4719999999999995</v>
      </c>
    </row>
    <row r="68" spans="1:17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  <c r="Q68" s="30">
        <f t="shared" si="0"/>
        <v>10.898666666666667</v>
      </c>
    </row>
    <row r="69" spans="1:17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  <c r="Q69" s="30">
        <f t="shared" si="0"/>
        <v>3.04</v>
      </c>
    </row>
    <row r="70" spans="1:17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  <c r="Q70" s="30">
        <f t="shared" si="0"/>
        <v>5.8559999999999999</v>
      </c>
    </row>
    <row r="71" spans="1:17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  <c r="Q71" s="30">
        <f t="shared" si="0"/>
        <v>12.06</v>
      </c>
    </row>
    <row r="72" spans="1:17" x14ac:dyDescent="0.25">
      <c r="A72" s="15" t="s">
        <v>150</v>
      </c>
      <c r="Q72" s="30" t="e">
        <f t="shared" si="0"/>
        <v>#DIV/0!</v>
      </c>
    </row>
    <row r="73" spans="1:17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  <c r="Q73" s="30">
        <f t="shared" ref="Q73:Q136" si="1">(AVERAGE(D73:E73)*M73)/((AVERAGE(I73:J73)+K73)/10)</f>
        <v>2.1085714285714285</v>
      </c>
    </row>
    <row r="74" spans="1:17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  <c r="Q74" s="30">
        <f t="shared" si="1"/>
        <v>4.2285714285714286</v>
      </c>
    </row>
    <row r="75" spans="1:17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  <c r="Q75" s="30">
        <f t="shared" si="1"/>
        <v>8.7857142857142865</v>
      </c>
    </row>
    <row r="76" spans="1:17" x14ac:dyDescent="0.25">
      <c r="A76" s="15" t="s">
        <v>84</v>
      </c>
      <c r="Q76" s="30" t="e">
        <f t="shared" si="1"/>
        <v>#DIV/0!</v>
      </c>
    </row>
    <row r="77" spans="1:17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  <c r="Q77" s="30">
        <f t="shared" si="1"/>
        <v>14.174999999999999</v>
      </c>
    </row>
    <row r="78" spans="1:17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  <c r="Q78" s="30">
        <f t="shared" si="1"/>
        <v>15.749999999999998</v>
      </c>
    </row>
    <row r="79" spans="1:17" x14ac:dyDescent="0.25">
      <c r="A79" s="15" t="s">
        <v>87</v>
      </c>
      <c r="Q79" s="30" t="e">
        <f t="shared" si="1"/>
        <v>#DIV/0!</v>
      </c>
    </row>
    <row r="80" spans="1:17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  <c r="Q80" s="30">
        <f t="shared" si="1"/>
        <v>2.342857142857143</v>
      </c>
    </row>
    <row r="81" spans="1:17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  <c r="Q81" s="30">
        <f t="shared" si="1"/>
        <v>4.6984126984126986</v>
      </c>
    </row>
    <row r="82" spans="1:17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  <c r="Q82" s="30">
        <f t="shared" si="1"/>
        <v>9.7619047619047628</v>
      </c>
    </row>
    <row r="83" spans="1:17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  <c r="Q83" s="30">
        <f t="shared" si="1"/>
        <v>2.7333333333333334</v>
      </c>
    </row>
    <row r="84" spans="1:17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  <c r="Q84" s="30">
        <f t="shared" si="1"/>
        <v>5.5873015873015879</v>
      </c>
    </row>
    <row r="85" spans="1:17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  <c r="Q85" s="30">
        <f t="shared" si="1"/>
        <v>11.30952380952381</v>
      </c>
    </row>
    <row r="86" spans="1:17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  <c r="Q86" s="30">
        <f t="shared" si="1"/>
        <v>3.1238095238095238</v>
      </c>
    </row>
    <row r="87" spans="1:17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  <c r="Q87" s="30">
        <f t="shared" si="1"/>
        <v>6.3492063492063497</v>
      </c>
    </row>
    <row r="88" spans="1:17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  <c r="Q88" s="30">
        <f t="shared" si="1"/>
        <v>12.976190476190476</v>
      </c>
    </row>
    <row r="89" spans="1:17" x14ac:dyDescent="0.25">
      <c r="A89" s="15" t="s">
        <v>97</v>
      </c>
      <c r="Q89" s="30" t="e">
        <f t="shared" si="1"/>
        <v>#DIV/0!</v>
      </c>
    </row>
    <row r="90" spans="1:17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  <c r="Q90" s="30">
        <f t="shared" si="1"/>
        <v>23.7</v>
      </c>
    </row>
    <row r="91" spans="1:17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  <c r="Q91" s="30">
        <f t="shared" si="1"/>
        <v>22.5</v>
      </c>
    </row>
    <row r="92" spans="1:17" x14ac:dyDescent="0.25">
      <c r="A92" s="15" t="s">
        <v>100</v>
      </c>
      <c r="Q92" s="30" t="e">
        <f t="shared" si="1"/>
        <v>#DIV/0!</v>
      </c>
    </row>
    <row r="93" spans="1:17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  <c r="Q93" s="30">
        <f t="shared" si="1"/>
        <v>1.8181818181818181</v>
      </c>
    </row>
    <row r="94" spans="1:17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  <c r="Q94" s="30">
        <f t="shared" si="1"/>
        <v>3.6363636363636362</v>
      </c>
    </row>
    <row r="95" spans="1:17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  <c r="Q95" s="30">
        <f t="shared" si="1"/>
        <v>7.2727272727272725</v>
      </c>
    </row>
    <row r="96" spans="1:17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  <c r="Q96" s="30">
        <f t="shared" si="1"/>
        <v>2.0909090909090908</v>
      </c>
    </row>
    <row r="97" spans="1:17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  <c r="Q97" s="30">
        <f t="shared" si="1"/>
        <v>4.1818181818181817</v>
      </c>
    </row>
    <row r="98" spans="1:17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  <c r="Q98" s="30">
        <f t="shared" si="1"/>
        <v>8.3636363636363633</v>
      </c>
    </row>
    <row r="99" spans="1:17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  <c r="Q99" s="30">
        <f t="shared" si="1"/>
        <v>2.3636363636363638</v>
      </c>
    </row>
    <row r="100" spans="1:17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  <c r="Q100" s="30">
        <f t="shared" si="1"/>
        <v>4.7272727272727275</v>
      </c>
    </row>
    <row r="101" spans="1:17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  <c r="Q101" s="30">
        <f t="shared" si="1"/>
        <v>9.454545454545455</v>
      </c>
    </row>
    <row r="102" spans="1:17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  <c r="Q102" s="30">
        <f t="shared" si="1"/>
        <v>2.6363636363636362</v>
      </c>
    </row>
    <row r="103" spans="1:17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  <c r="Q103" s="30">
        <f t="shared" si="1"/>
        <v>5.2727272727272725</v>
      </c>
    </row>
    <row r="104" spans="1:17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  <c r="Q104" s="30">
        <f t="shared" si="1"/>
        <v>10.545454545454545</v>
      </c>
    </row>
    <row r="105" spans="1:17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  <c r="Q105" s="30">
        <f t="shared" si="1"/>
        <v>2.9090909090909092</v>
      </c>
    </row>
    <row r="106" spans="1:17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  <c r="Q106" s="30">
        <f t="shared" si="1"/>
        <v>5.8181818181818183</v>
      </c>
    </row>
    <row r="107" spans="1:17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  <c r="Q107" s="30">
        <f t="shared" si="1"/>
        <v>11.636363636363637</v>
      </c>
    </row>
    <row r="108" spans="1:17" x14ac:dyDescent="0.25">
      <c r="A108" s="15" t="s">
        <v>157</v>
      </c>
      <c r="Q108" s="30" t="e">
        <f t="shared" si="1"/>
        <v>#DIV/0!</v>
      </c>
    </row>
    <row r="109" spans="1:17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  <c r="Q109" s="30">
        <f t="shared" si="1"/>
        <v>1.9626168224299068</v>
      </c>
    </row>
    <row r="110" spans="1:17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  <c r="Q110" s="30">
        <f t="shared" si="1"/>
        <v>3.9252336448598135</v>
      </c>
    </row>
    <row r="111" spans="1:17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  <c r="Q111" s="30">
        <f t="shared" si="1"/>
        <v>7.850467289719627</v>
      </c>
    </row>
    <row r="112" spans="1:17" x14ac:dyDescent="0.25">
      <c r="A112" s="15" t="s">
        <v>116</v>
      </c>
      <c r="Q112" s="30" t="e">
        <f t="shared" si="1"/>
        <v>#DIV/0!</v>
      </c>
    </row>
    <row r="113" spans="1:17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  <c r="Q113" s="30">
        <f t="shared" si="1"/>
        <v>2.5149700598802398</v>
      </c>
    </row>
    <row r="114" spans="1:17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  <c r="Q114" s="30">
        <f t="shared" si="1"/>
        <v>5.0299401197604796</v>
      </c>
    </row>
    <row r="115" spans="1:17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  <c r="Q115" s="30">
        <f t="shared" si="1"/>
        <v>10.059880239520959</v>
      </c>
    </row>
    <row r="116" spans="1:17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  <c r="Q116" s="30">
        <f t="shared" si="1"/>
        <v>2.8143712574850301</v>
      </c>
    </row>
    <row r="117" spans="1:17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  <c r="Q117" s="30">
        <f t="shared" si="1"/>
        <v>5.6287425149700603</v>
      </c>
    </row>
    <row r="118" spans="1:17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  <c r="Q118" s="30">
        <f t="shared" si="1"/>
        <v>11.257485029940121</v>
      </c>
    </row>
    <row r="119" spans="1:17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  <c r="Q119" s="30">
        <f t="shared" si="1"/>
        <v>3.1137724550898205</v>
      </c>
    </row>
    <row r="120" spans="1:17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  <c r="Q120" s="30">
        <f t="shared" si="1"/>
        <v>6.227544910179641</v>
      </c>
    </row>
    <row r="121" spans="1:17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  <c r="Q121" s="30">
        <f t="shared" si="1"/>
        <v>12.455089820359282</v>
      </c>
    </row>
    <row r="122" spans="1:17" x14ac:dyDescent="0.25">
      <c r="A122" s="15" t="s">
        <v>126</v>
      </c>
      <c r="Q122" s="30" t="e">
        <f t="shared" si="1"/>
        <v>#DIV/0!</v>
      </c>
    </row>
    <row r="123" spans="1:17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  <c r="Q123" s="30">
        <f t="shared" si="1"/>
        <v>11.2</v>
      </c>
    </row>
    <row r="124" spans="1:17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  <c r="Q124" s="30">
        <f t="shared" si="1"/>
        <v>12.4</v>
      </c>
    </row>
    <row r="125" spans="1:17" x14ac:dyDescent="0.25">
      <c r="A125" s="15" t="s">
        <v>161</v>
      </c>
      <c r="Q125" s="30" t="e">
        <f t="shared" si="1"/>
        <v>#DIV/0!</v>
      </c>
    </row>
    <row r="126" spans="1:17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  <c r="Q126" s="30">
        <f t="shared" si="1"/>
        <v>1.5517241379310347</v>
      </c>
    </row>
    <row r="127" spans="1:17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  <c r="Q127" s="30">
        <f t="shared" si="1"/>
        <v>6.3563218390804597</v>
      </c>
    </row>
    <row r="128" spans="1:17" x14ac:dyDescent="0.25">
      <c r="A128" s="15" t="s">
        <v>164</v>
      </c>
      <c r="Q128" s="30" t="e">
        <f t="shared" si="1"/>
        <v>#DIV/0!</v>
      </c>
    </row>
    <row r="129" spans="1:17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  <c r="Q129" s="30">
        <f t="shared" si="1"/>
        <v>1.3793103448275863</v>
      </c>
    </row>
    <row r="130" spans="1:17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  <c r="Q130" s="30">
        <f t="shared" si="1"/>
        <v>2.5747126436781609</v>
      </c>
    </row>
    <row r="131" spans="1:17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  <c r="Q131" s="30">
        <f t="shared" si="1"/>
        <v>5.0804597701149437</v>
      </c>
    </row>
    <row r="132" spans="1:17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  <c r="Q132" s="30">
        <f t="shared" si="1"/>
        <v>1.6379310344827587</v>
      </c>
    </row>
    <row r="133" spans="1:17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  <c r="Q133" s="30">
        <f t="shared" si="1"/>
        <v>3.0574712643678161</v>
      </c>
    </row>
    <row r="134" spans="1:17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  <c r="Q134" s="30">
        <f t="shared" si="1"/>
        <v>6.0517241379310347</v>
      </c>
    </row>
    <row r="135" spans="1:17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  <c r="Q135" s="30">
        <f t="shared" si="1"/>
        <v>1.8965517241379313</v>
      </c>
    </row>
    <row r="136" spans="1:17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  <c r="Q136" s="30">
        <f t="shared" si="1"/>
        <v>3.5402298850574714</v>
      </c>
    </row>
    <row r="137" spans="1:17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  <c r="Q137" s="30">
        <f t="shared" ref="Q137:Q178" si="2">(AVERAGE(D137:E137)*M137)/((AVERAGE(I137:J137)+K137)/10)</f>
        <v>7.0229885057471275</v>
      </c>
    </row>
    <row r="138" spans="1:17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  <c r="Q138" s="30">
        <f t="shared" si="2"/>
        <v>2.1551724137931036</v>
      </c>
    </row>
    <row r="139" spans="1:17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  <c r="Q139" s="30">
        <f t="shared" si="2"/>
        <v>4.0229885057471266</v>
      </c>
    </row>
    <row r="140" spans="1:17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  <c r="Q140" s="30">
        <f t="shared" si="2"/>
        <v>7.9942528735632186</v>
      </c>
    </row>
    <row r="141" spans="1:17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  <c r="Q141" s="30">
        <f t="shared" si="2"/>
        <v>1.6379310344827587</v>
      </c>
    </row>
    <row r="142" spans="1:17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  <c r="Q142" s="30">
        <f t="shared" si="2"/>
        <v>3.0574712643678161</v>
      </c>
    </row>
    <row r="143" spans="1:17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  <c r="Q143" s="30">
        <f t="shared" si="2"/>
        <v>6.0517241379310347</v>
      </c>
    </row>
    <row r="144" spans="1:17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  <c r="Q144" s="30">
        <f t="shared" si="2"/>
        <v>1.8965517241379313</v>
      </c>
    </row>
    <row r="145" spans="1:17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  <c r="Q145" s="30">
        <f t="shared" si="2"/>
        <v>3.5402298850574714</v>
      </c>
    </row>
    <row r="146" spans="1:17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  <c r="Q146" s="30">
        <f t="shared" si="2"/>
        <v>7.0229885057471275</v>
      </c>
    </row>
    <row r="147" spans="1:17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  <c r="Q147" s="30">
        <f t="shared" si="2"/>
        <v>2.1551724137931036</v>
      </c>
    </row>
    <row r="148" spans="1:17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  <c r="Q148" s="30">
        <f t="shared" si="2"/>
        <v>4.0229885057471266</v>
      </c>
    </row>
    <row r="149" spans="1:17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  <c r="Q149" s="30">
        <f t="shared" si="2"/>
        <v>7.9942528735632186</v>
      </c>
    </row>
    <row r="150" spans="1:17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  <c r="Q150" s="30">
        <f t="shared" si="2"/>
        <v>2.4137931034482762</v>
      </c>
    </row>
    <row r="151" spans="1:17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  <c r="Q151" s="30">
        <f t="shared" si="2"/>
        <v>4.5057471264367814</v>
      </c>
    </row>
    <row r="152" spans="1:17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  <c r="Q152" s="30">
        <f t="shared" si="2"/>
        <v>9.0402298850574727</v>
      </c>
    </row>
    <row r="153" spans="1:17" x14ac:dyDescent="0.25">
      <c r="A153" s="15" t="s">
        <v>189</v>
      </c>
      <c r="Q153" s="30" t="e">
        <f t="shared" si="2"/>
        <v>#DIV/0!</v>
      </c>
    </row>
    <row r="154" spans="1:17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  <c r="Q154" s="30">
        <f t="shared" si="2"/>
        <v>4.6896551724137936</v>
      </c>
    </row>
    <row r="155" spans="1:17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  <c r="Q155" s="30">
        <f t="shared" si="2"/>
        <v>1.6379310344827587</v>
      </c>
    </row>
    <row r="156" spans="1:17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  <c r="Q156" s="30">
        <f t="shared" si="2"/>
        <v>3.1379310344827585</v>
      </c>
    </row>
    <row r="157" spans="1:17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  <c r="Q157" s="30">
        <f t="shared" si="2"/>
        <v>6.2011494252873574</v>
      </c>
    </row>
    <row r="158" spans="1:17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  <c r="Q158" s="30">
        <f t="shared" si="2"/>
        <v>2.0689655172413794</v>
      </c>
    </row>
    <row r="159" spans="1:17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  <c r="Q159" s="30">
        <f t="shared" si="2"/>
        <v>4.0517241379310347</v>
      </c>
    </row>
    <row r="160" spans="1:17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  <c r="Q160" s="30">
        <f t="shared" si="2"/>
        <v>1.8965517241379313</v>
      </c>
    </row>
    <row r="161" spans="1:17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  <c r="Q161" s="30">
        <f t="shared" si="2"/>
        <v>3.6206896551724137</v>
      </c>
    </row>
    <row r="162" spans="1:17" x14ac:dyDescent="0.25">
      <c r="A162" s="15" t="s">
        <v>198</v>
      </c>
      <c r="Q162" s="30" t="e">
        <f t="shared" si="2"/>
        <v>#DIV/0!</v>
      </c>
    </row>
    <row r="163" spans="1:17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  <c r="Q163" s="30">
        <f t="shared" si="2"/>
        <v>3.2415584415584417</v>
      </c>
    </row>
    <row r="164" spans="1:17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  <c r="Q164" s="30">
        <f t="shared" si="2"/>
        <v>6.6233766233766236</v>
      </c>
    </row>
    <row r="165" spans="1:17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  <c r="Q165" s="30">
        <f t="shared" si="2"/>
        <v>14.896103896103897</v>
      </c>
    </row>
    <row r="166" spans="1:17" x14ac:dyDescent="0.25">
      <c r="A166" s="15" t="s">
        <v>202</v>
      </c>
      <c r="Q166" s="30" t="e">
        <f t="shared" si="2"/>
        <v>#DIV/0!</v>
      </c>
    </row>
    <row r="167" spans="1:17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  <c r="Q167" s="30">
        <f t="shared" si="2"/>
        <v>3.6448598130841123</v>
      </c>
    </row>
    <row r="168" spans="1:17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  <c r="Q168" s="30">
        <f t="shared" si="2"/>
        <v>7.0093457943925239</v>
      </c>
    </row>
    <row r="169" spans="1:17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  <c r="Q169" s="30">
        <f t="shared" si="2"/>
        <v>13.271028037383179</v>
      </c>
    </row>
    <row r="170" spans="1:17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  <c r="Q170" s="30">
        <f t="shared" si="2"/>
        <v>13.271028037383179</v>
      </c>
    </row>
    <row r="171" spans="1:17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  <c r="Q171" s="30">
        <f t="shared" si="2"/>
        <v>2.8448275862068968</v>
      </c>
    </row>
    <row r="172" spans="1:17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  <c r="Q172" s="30">
        <f t="shared" si="2"/>
        <v>5.6896551724137936</v>
      </c>
    </row>
    <row r="173" spans="1:17" x14ac:dyDescent="0.25">
      <c r="A173" s="15" t="s">
        <v>209</v>
      </c>
      <c r="Q173" s="30" t="e">
        <f t="shared" si="2"/>
        <v>#DIV/0!</v>
      </c>
    </row>
    <row r="174" spans="1:17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  <c r="Q174" s="30">
        <f t="shared" si="2"/>
        <v>13.480176211453745</v>
      </c>
    </row>
    <row r="175" spans="1:17" x14ac:dyDescent="0.25">
      <c r="A175" s="15" t="s">
        <v>211</v>
      </c>
      <c r="Q175" s="30" t="e">
        <f t="shared" si="2"/>
        <v>#DIV/0!</v>
      </c>
    </row>
    <row r="176" spans="1:17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  <c r="Q176" s="30">
        <f t="shared" si="2"/>
        <v>1.1111111111111112</v>
      </c>
    </row>
    <row r="177" spans="1:17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  <c r="Q177" s="30">
        <f t="shared" si="2"/>
        <v>1.5555555555555556</v>
      </c>
    </row>
    <row r="178" spans="1:17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  <c r="Q178" s="30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3"/>
  <sheetViews>
    <sheetView zoomScale="85" zoomScaleNormal="85" workbookViewId="0">
      <selection activeCell="L23" sqref="L23"/>
    </sheetView>
  </sheetViews>
  <sheetFormatPr defaultRowHeight="15" x14ac:dyDescent="0.25"/>
  <cols>
    <col min="1" max="1" width="9.140625" style="2"/>
    <col min="2" max="2" width="11.140625" style="2" customWidth="1"/>
    <col min="5" max="5" width="34.14062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0.14000000000000001</v>
      </c>
      <c r="N2">
        <v>1</v>
      </c>
      <c r="O2" s="2">
        <f ca="1">'Ship Design Balancing'!J19/2</f>
        <v>8.0596702082536276E-2</v>
      </c>
      <c r="P2" s="2">
        <v>0.04</v>
      </c>
      <c r="Q2">
        <f>P2*2</f>
        <v>0.08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(F3*F$6)/2</f>
        <v>0.05</v>
      </c>
      <c r="I3" t="s">
        <v>267</v>
      </c>
      <c r="J3">
        <f>0.12</f>
        <v>0.12</v>
      </c>
      <c r="M3" s="2">
        <f>M2+0.14</f>
        <v>0.28000000000000003</v>
      </c>
      <c r="N3">
        <v>2</v>
      </c>
      <c r="O3" s="33">
        <f ca="1">'Ship Design Balancing'!J20/2</f>
        <v>0.16119340416507255</v>
      </c>
      <c r="P3" s="2">
        <v>0.18</v>
      </c>
      <c r="Q3" s="2">
        <f>P3*2</f>
        <v>0.36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0">(Y$2*$W3)-$W3</f>
        <v>1</v>
      </c>
      <c r="Z3" s="2">
        <f t="shared" si="0"/>
        <v>2</v>
      </c>
      <c r="AA3" s="2">
        <f t="shared" si="0"/>
        <v>3</v>
      </c>
      <c r="AB3" s="2">
        <f t="shared" si="0"/>
        <v>4</v>
      </c>
      <c r="AC3" s="2">
        <f t="shared" si="0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7">
        <f t="shared" ref="M4:M6" si="1">M3+0.14</f>
        <v>0.42000000000000004</v>
      </c>
      <c r="N4">
        <v>3</v>
      </c>
      <c r="O4" s="33">
        <f ca="1">'Ship Design Balancing'!J21/2</f>
        <v>0.24179010624760883</v>
      </c>
      <c r="P4" s="2">
        <v>0.3</v>
      </c>
      <c r="Q4" s="2">
        <f>P4*2</f>
        <v>0.6</v>
      </c>
      <c r="T4">
        <v>5</v>
      </c>
      <c r="W4">
        <v>2</v>
      </c>
      <c r="X4" s="2">
        <f t="shared" ref="X4:AC8" si="2">(X$2*$W4)-$W4</f>
        <v>0</v>
      </c>
      <c r="Y4" s="2">
        <f t="shared" si="2"/>
        <v>2</v>
      </c>
      <c r="Z4" s="2">
        <f t="shared" si="2"/>
        <v>4</v>
      </c>
      <c r="AA4" s="2">
        <f t="shared" si="2"/>
        <v>6</v>
      </c>
      <c r="AB4" s="2">
        <f t="shared" si="2"/>
        <v>8</v>
      </c>
      <c r="AC4" s="2">
        <f t="shared" si="2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7">
        <f t="shared" si="1"/>
        <v>0.56000000000000005</v>
      </c>
      <c r="N5">
        <v>4</v>
      </c>
      <c r="O5" s="33">
        <f ca="1">'Ship Design Balancing'!J22/2</f>
        <v>0.3223868083301451</v>
      </c>
      <c r="P5" s="2">
        <v>0.32500000000000001</v>
      </c>
      <c r="Q5" s="2">
        <f>P5*2</f>
        <v>0.65</v>
      </c>
      <c r="T5">
        <v>7.5</v>
      </c>
      <c r="W5">
        <v>3</v>
      </c>
      <c r="X5" s="2">
        <f t="shared" si="2"/>
        <v>0</v>
      </c>
      <c r="Y5" s="2">
        <f t="shared" si="2"/>
        <v>3</v>
      </c>
      <c r="Z5" s="2">
        <f t="shared" si="2"/>
        <v>6</v>
      </c>
      <c r="AA5" s="2">
        <f t="shared" si="2"/>
        <v>9</v>
      </c>
      <c r="AB5" s="2">
        <f t="shared" si="2"/>
        <v>12</v>
      </c>
      <c r="AC5" s="2">
        <f t="shared" si="2"/>
        <v>15</v>
      </c>
    </row>
    <row r="6" spans="1:29" x14ac:dyDescent="0.25">
      <c r="E6" t="s">
        <v>138</v>
      </c>
      <c r="F6" s="10">
        <v>0.1</v>
      </c>
      <c r="M6" s="27">
        <f t="shared" si="1"/>
        <v>0.70000000000000007</v>
      </c>
      <c r="N6">
        <v>5</v>
      </c>
      <c r="O6" s="33">
        <f ca="1">'Ship Design Balancing'!J23/2</f>
        <v>0.40298351041268143</v>
      </c>
      <c r="P6" s="2">
        <v>0.375</v>
      </c>
      <c r="Q6" s="2">
        <f>P6*2</f>
        <v>0.75</v>
      </c>
      <c r="T6">
        <v>10</v>
      </c>
      <c r="W6">
        <v>4</v>
      </c>
      <c r="X6" s="2">
        <f t="shared" si="2"/>
        <v>0</v>
      </c>
      <c r="Y6" s="2">
        <f t="shared" si="2"/>
        <v>4</v>
      </c>
      <c r="Z6" s="2">
        <f t="shared" si="2"/>
        <v>8</v>
      </c>
      <c r="AA6" s="2">
        <f t="shared" si="2"/>
        <v>12</v>
      </c>
      <c r="AB6" s="2">
        <f t="shared" si="2"/>
        <v>16</v>
      </c>
      <c r="AC6" s="2">
        <f t="shared" si="2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2"/>
        <v>0</v>
      </c>
      <c r="Y7" s="2">
        <f t="shared" si="2"/>
        <v>5</v>
      </c>
      <c r="Z7" s="2">
        <f t="shared" si="2"/>
        <v>10</v>
      </c>
      <c r="AA7" s="2">
        <f t="shared" si="2"/>
        <v>15</v>
      </c>
      <c r="AB7" s="2">
        <f t="shared" si="2"/>
        <v>20</v>
      </c>
      <c r="AC7" s="2">
        <f t="shared" si="2"/>
        <v>25</v>
      </c>
    </row>
    <row r="8" spans="1:29" x14ac:dyDescent="0.25">
      <c r="E8" t="s">
        <v>240</v>
      </c>
      <c r="F8" s="12">
        <v>0.2</v>
      </c>
      <c r="H8" s="35" t="s">
        <v>141</v>
      </c>
      <c r="I8" s="35"/>
      <c r="J8" s="35"/>
      <c r="T8" s="2"/>
      <c r="U8" s="2"/>
      <c r="W8">
        <v>6</v>
      </c>
      <c r="X8" s="2">
        <f t="shared" si="2"/>
        <v>0</v>
      </c>
      <c r="Y8" s="2">
        <f t="shared" si="2"/>
        <v>6</v>
      </c>
      <c r="Z8" s="2">
        <f t="shared" si="2"/>
        <v>12</v>
      </c>
      <c r="AA8" s="2">
        <f t="shared" si="2"/>
        <v>18</v>
      </c>
      <c r="AB8" s="2">
        <f t="shared" si="2"/>
        <v>24</v>
      </c>
      <c r="AC8" s="2">
        <f t="shared" si="2"/>
        <v>30</v>
      </c>
    </row>
    <row r="9" spans="1:29" x14ac:dyDescent="0.25">
      <c r="E9" s="5" t="s">
        <v>9</v>
      </c>
      <c r="F9" t="s">
        <v>140</v>
      </c>
      <c r="G9">
        <v>0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  <c r="V10" t="s">
        <v>292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 ca="1">IF(G$9=1,H11,H11/(R11-INDEX($O$2:$O$6,C11)))</f>
        <v>2.7876776228728346</v>
      </c>
      <c r="H11">
        <f>$F11*(INDEX($F$3:$F$5,H$9)+(($C11+($D11*$F$7))*INDEX($G$3:$G$5,H$9)))</f>
        <v>2.5630000000000002</v>
      </c>
      <c r="I11" s="2">
        <f>$F11*(INDEX($F$3:$F$5,I$9)+(($C11+($D11*$F$7))*INDEX($G$3:$G$5,I$9)))</f>
        <v>2.0504000000000002</v>
      </c>
      <c r="J11" s="2">
        <f>$F11*(INDEX($F$3:$F$5,J$9)+(($C11+($D11*$F$7))*INDEX($G$3:$G$5,J$9)))</f>
        <v>0.51260000000000006</v>
      </c>
      <c r="K11" s="10">
        <f ca="1">1-((1-(I11/(G11*R11)))/INDEX($P$2:$P$6,C11))</f>
        <v>-5.6119340416507217</v>
      </c>
      <c r="L11" s="20">
        <f>(INDEX($Q$2:$Q$6,C11)/((1/INDEX($F$4:$F$6,J$9))-1))</f>
        <v>8.8888888888888889E-3</v>
      </c>
      <c r="M11" s="10">
        <v>0</v>
      </c>
      <c r="N11" s="2">
        <f ca="1">((AVERAGE(O11,P11)*R11)/Q11)/INDEX($R$1:$R$3,D11+2)</f>
        <v>2.7876776228728346</v>
      </c>
      <c r="O11" s="2">
        <f t="shared" ref="O11:O25" ca="1" si="3">0.75*(((G11*INDEX($R$1:$R$3,$D11+2))*Q11)/R11)</f>
        <v>7.8403433143298473</v>
      </c>
      <c r="P11">
        <f t="shared" ref="P11:P25" ca="1" si="4">1.25*(((G11*INDEX($R$1:$R$3,$D11+2))*Q11)/R11)</f>
        <v>13.067238857216413</v>
      </c>
      <c r="Q11">
        <f>(AVERAGE(VLOOKUP(E11,weapon_components!$A$8:$M$178,9,0),VLOOKUP(E11,weapon_components!$A$8:$M$178,10,0))+VLOOKUP(E11,weapon_components!$A$8:$M$178,11,0))/10</f>
        <v>3.75</v>
      </c>
      <c r="R11">
        <f ca="1">IF((H11/F11)+INDEX($O$2:$O$6,$C11)&gt;1,1,(H11/F11)+INDEX($O$2:$O$6,$C11))</f>
        <v>1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  <c r="V11">
        <v>0.69</v>
      </c>
    </row>
    <row r="12" spans="1:29" x14ac:dyDescent="0.25">
      <c r="A12" s="21">
        <f t="shared" ref="A12:A75" si="5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6">($F$2+(C12*$F$1))*(B12+1)+A12</f>
        <v>2.5449999999999999</v>
      </c>
      <c r="G12" s="32">
        <f t="shared" ref="G12:G25" ca="1" si="7">IF(G$9=1,H12,H12/(R12-INDEX($O$2:$O$6,C12)))</f>
        <v>2.9065046928294702</v>
      </c>
      <c r="H12" s="2">
        <f t="shared" ref="H12:H25" si="8">$F12*(INDEX($F$3:$F$5,H$9)+(($C12+($D12*$F$7))*INDEX($G$3:$G$5,H$9)))</f>
        <v>2.67225</v>
      </c>
      <c r="I12" s="2">
        <f t="shared" ref="I11:J25" si="9">$F12*(INDEX($F$3:$F$5,I$9)+(($C12+($D12*$F$7))*INDEX($G$3:$G$5,I$9)))</f>
        <v>1.8323999999999998</v>
      </c>
      <c r="J12" s="2">
        <f t="shared" si="9"/>
        <v>0.45809999999999995</v>
      </c>
      <c r="K12" s="10">
        <f t="shared" ref="K12:K76" ca="1" si="10">1-((1-(I12/(G12*R12)))/INDEX($P$2:$P$6,C12))</f>
        <v>-8.2388006071291944</v>
      </c>
      <c r="L12" s="10">
        <f t="shared" ref="L12:L24" si="11">(INDEX($Q$2:$Q$6,C12)/((1/INDEX($F$4:$F$6,J$9))-1))</f>
        <v>8.8888888888888889E-3</v>
      </c>
      <c r="M12" s="10">
        <v>0</v>
      </c>
      <c r="N12" s="2">
        <f t="shared" ref="N12:N25" ca="1" si="12">((AVERAGE(O12,P12)*R12)/Q12)/INDEX($R$1:$R$3,D12+2)</f>
        <v>2.9065046928294702</v>
      </c>
      <c r="O12" s="2">
        <f t="shared" ca="1" si="3"/>
        <v>16.349088897165771</v>
      </c>
      <c r="P12" s="2">
        <f t="shared" ca="1" si="4"/>
        <v>27.24848149527628</v>
      </c>
      <c r="Q12" s="2">
        <f>(AVERAGE(VLOOKUP(E12,weapon_components!$A$8:$M$178,9,0),VLOOKUP(E12,weapon_components!$A$8:$M$178,10,0))+VLOOKUP(E12,weapon_components!$A$8:$M$178,11,0))/10</f>
        <v>3.75</v>
      </c>
      <c r="R12" s="32">
        <f t="shared" ref="R12:R76" ca="1" si="13">IF((H12/F12)+INDEX($O$2:$O$6,$C12)&gt;1,1,(H12/F12)+INDEX($O$2:$O$6,$C12))</f>
        <v>1</v>
      </c>
      <c r="S12" s="25">
        <f t="shared" ref="S12:S25" si="14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  <c r="V12">
        <v>0.8</v>
      </c>
    </row>
    <row r="13" spans="1:29" x14ac:dyDescent="0.25">
      <c r="A13" s="21">
        <f t="shared" si="5"/>
        <v>2.7E-2</v>
      </c>
      <c r="C13">
        <v>1</v>
      </c>
      <c r="D13">
        <v>1</v>
      </c>
      <c r="E13" s="5" t="s">
        <v>26</v>
      </c>
      <c r="F13" s="2">
        <f t="shared" si="6"/>
        <v>2.5270000000000001</v>
      </c>
      <c r="G13" s="32">
        <f t="shared" ca="1" si="7"/>
        <v>3.0233739712444869</v>
      </c>
      <c r="H13" s="2">
        <f t="shared" si="8"/>
        <v>2.7797000000000005</v>
      </c>
      <c r="I13" s="2">
        <f t="shared" si="9"/>
        <v>1.6172800000000001</v>
      </c>
      <c r="J13" s="2">
        <f t="shared" si="9"/>
        <v>0.40432000000000001</v>
      </c>
      <c r="K13" s="10">
        <f t="shared" ca="1" si="10"/>
        <v>-10.626861121200529</v>
      </c>
      <c r="L13" s="10">
        <f t="shared" si="11"/>
        <v>8.8888888888888889E-3</v>
      </c>
      <c r="M13" s="10">
        <v>0</v>
      </c>
      <c r="N13" s="2">
        <f t="shared" ca="1" si="12"/>
        <v>3.0233739712444869</v>
      </c>
      <c r="O13" s="2">
        <f t="shared" ca="1" si="3"/>
        <v>34.012957176500478</v>
      </c>
      <c r="P13" s="2">
        <f t="shared" ca="1" si="4"/>
        <v>56.688261960834126</v>
      </c>
      <c r="Q13" s="2">
        <f>(AVERAGE(VLOOKUP(E13,weapon_components!$A$8:$M$178,9,0),VLOOKUP(E13,weapon_components!$A$8:$M$178,10,0))+VLOOKUP(E13,weapon_components!$A$8:$M$178,11,0))/10</f>
        <v>3.75</v>
      </c>
      <c r="R13" s="32">
        <f t="shared" ca="1" si="13"/>
        <v>1</v>
      </c>
      <c r="S13" s="25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  <c r="V13">
        <v>0.75</v>
      </c>
    </row>
    <row r="14" spans="1:29" x14ac:dyDescent="0.25">
      <c r="A14" s="21">
        <f t="shared" si="5"/>
        <v>5.4359999999999992E-2</v>
      </c>
      <c r="C14">
        <v>2</v>
      </c>
      <c r="D14">
        <v>-1</v>
      </c>
      <c r="E14" s="5" t="s">
        <v>27</v>
      </c>
      <c r="F14" s="2">
        <f t="shared" si="6"/>
        <v>5.05436</v>
      </c>
      <c r="G14" s="32">
        <f t="shared" ca="1" si="7"/>
        <v>6.3269388037148966</v>
      </c>
      <c r="H14" s="2">
        <f t="shared" si="8"/>
        <v>5.3070780000000006</v>
      </c>
      <c r="I14" s="2">
        <f t="shared" si="9"/>
        <v>3.6391391999999998</v>
      </c>
      <c r="J14" s="2">
        <f t="shared" si="9"/>
        <v>0.90978479999999995</v>
      </c>
      <c r="K14" s="10">
        <f t="shared" ca="1" si="10"/>
        <v>-1.3601018571367849</v>
      </c>
      <c r="L14" s="10">
        <f t="shared" si="11"/>
        <v>0.04</v>
      </c>
      <c r="M14" s="10">
        <v>0</v>
      </c>
      <c r="N14" s="2">
        <f t="shared" ca="1" si="12"/>
        <v>6.3269388037148966</v>
      </c>
      <c r="O14" s="2">
        <f t="shared" ca="1" si="3"/>
        <v>17.794515385448147</v>
      </c>
      <c r="P14" s="2">
        <f t="shared" ca="1" si="4"/>
        <v>29.657525642413578</v>
      </c>
      <c r="Q14" s="2">
        <f>(AVERAGE(VLOOKUP(E14,weapon_components!$A$8:$M$178,9,0),VLOOKUP(E14,weapon_components!$A$8:$M$178,10,0))+VLOOKUP(E14,weapon_components!$A$8:$M$178,11,0))/10</f>
        <v>3.75</v>
      </c>
      <c r="R14" s="32">
        <f t="shared" ca="1" si="13"/>
        <v>1</v>
      </c>
      <c r="S14" s="25">
        <f t="shared" si="14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  <c r="V14">
        <v>0.82</v>
      </c>
    </row>
    <row r="15" spans="1:29" x14ac:dyDescent="0.25">
      <c r="A15" s="21">
        <f t="shared" si="5"/>
        <v>3.4199999999999994E-2</v>
      </c>
      <c r="C15">
        <v>2</v>
      </c>
      <c r="D15">
        <v>0</v>
      </c>
      <c r="E15" s="5" t="s">
        <v>28</v>
      </c>
      <c r="F15" s="2">
        <f t="shared" si="6"/>
        <v>5.0342000000000002</v>
      </c>
      <c r="G15" s="32">
        <f t="shared" ca="1" si="7"/>
        <v>6.6017840435410378</v>
      </c>
      <c r="H15" s="2">
        <f t="shared" si="8"/>
        <v>5.5376200000000004</v>
      </c>
      <c r="I15" s="2">
        <f t="shared" si="9"/>
        <v>3.2218880000000003</v>
      </c>
      <c r="J15" s="2">
        <f t="shared" si="9"/>
        <v>0.80547200000000008</v>
      </c>
      <c r="K15" s="10">
        <f t="shared" ca="1" si="10"/>
        <v>-1.8442615084123553</v>
      </c>
      <c r="L15" s="10">
        <f t="shared" si="11"/>
        <v>0.04</v>
      </c>
      <c r="M15" s="10">
        <v>0</v>
      </c>
      <c r="N15" s="2">
        <f t="shared" ca="1" si="12"/>
        <v>6.6017840435410369</v>
      </c>
      <c r="O15" s="2">
        <f t="shared" ca="1" si="3"/>
        <v>37.135035244918335</v>
      </c>
      <c r="P15" s="2">
        <f t="shared" ca="1" si="4"/>
        <v>61.891725408197225</v>
      </c>
      <c r="Q15" s="2">
        <f>(AVERAGE(VLOOKUP(E15,weapon_components!$A$8:$M$178,9,0),VLOOKUP(E15,weapon_components!$A$8:$M$178,10,0))+VLOOKUP(E15,weapon_components!$A$8:$M$178,11,0))/10</f>
        <v>3.75</v>
      </c>
      <c r="R15" s="32">
        <f t="shared" ca="1" si="13"/>
        <v>1</v>
      </c>
      <c r="S15" s="25">
        <f t="shared" si="14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  <c r="V15">
        <v>0.8</v>
      </c>
    </row>
    <row r="16" spans="1:29" x14ac:dyDescent="0.25">
      <c r="A16" s="21">
        <f t="shared" si="5"/>
        <v>1.4039999999999978E-2</v>
      </c>
      <c r="C16">
        <v>2</v>
      </c>
      <c r="D16">
        <v>1</v>
      </c>
      <c r="E16" s="5" t="s">
        <v>29</v>
      </c>
      <c r="F16" s="2">
        <f t="shared" si="6"/>
        <v>5.0140399999999996</v>
      </c>
      <c r="G16" s="32">
        <f t="shared" ca="1" si="7"/>
        <v>6.8742258687898365</v>
      </c>
      <c r="H16" s="2">
        <f t="shared" si="8"/>
        <v>5.7661459999999991</v>
      </c>
      <c r="I16" s="2">
        <f t="shared" si="9"/>
        <v>2.8078623999999999</v>
      </c>
      <c r="J16" s="2">
        <f t="shared" si="9"/>
        <v>0.70196559999999997</v>
      </c>
      <c r="K16" s="10">
        <f t="shared" ca="1" si="10"/>
        <v>-2.2863203204465732</v>
      </c>
      <c r="L16" s="10">
        <f t="shared" si="11"/>
        <v>0.04</v>
      </c>
      <c r="M16" s="10">
        <v>0</v>
      </c>
      <c r="N16" s="2">
        <f t="shared" ca="1" si="12"/>
        <v>6.8742258687898374</v>
      </c>
      <c r="O16" s="2">
        <f t="shared" ca="1" si="3"/>
        <v>77.335041023885665</v>
      </c>
      <c r="P16" s="2">
        <f t="shared" ca="1" si="4"/>
        <v>128.89173503980945</v>
      </c>
      <c r="Q16" s="2">
        <f>(AVERAGE(VLOOKUP(E16,weapon_components!$A$8:$M$178,9,0),VLOOKUP(E16,weapon_components!$A$8:$M$178,10,0))+VLOOKUP(E16,weapon_components!$A$8:$M$178,11,0))/10</f>
        <v>3.75</v>
      </c>
      <c r="R16" s="32">
        <f t="shared" ca="1" si="13"/>
        <v>1</v>
      </c>
      <c r="S16" s="25">
        <f t="shared" si="14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  <c r="V16">
        <v>0.75</v>
      </c>
    </row>
    <row r="17" spans="1:42" x14ac:dyDescent="0.25">
      <c r="A17" s="21">
        <f t="shared" si="5"/>
        <v>4.5720000000000004E-2</v>
      </c>
      <c r="C17" s="2">
        <v>3</v>
      </c>
      <c r="D17" s="2">
        <v>-1</v>
      </c>
      <c r="E17" s="5" t="s">
        <v>30</v>
      </c>
      <c r="F17" s="2">
        <f t="shared" si="6"/>
        <v>7.5457200000000002</v>
      </c>
      <c r="G17" s="32">
        <f t="shared" ca="1" si="7"/>
        <v>10.947221961087505</v>
      </c>
      <c r="H17" s="2">
        <f t="shared" si="8"/>
        <v>8.3002920000000007</v>
      </c>
      <c r="I17" s="2">
        <f t="shared" si="9"/>
        <v>4.8292608000000001</v>
      </c>
      <c r="J17" s="2">
        <f t="shared" si="9"/>
        <v>1.2073152</v>
      </c>
      <c r="K17" s="10">
        <f t="shared" ca="1" si="10"/>
        <v>-0.86286566060142356</v>
      </c>
      <c r="L17" s="10">
        <f t="shared" si="11"/>
        <v>6.6666666666666666E-2</v>
      </c>
      <c r="M17" s="10">
        <v>0</v>
      </c>
      <c r="N17" s="2">
        <f t="shared" ca="1" si="12"/>
        <v>10.947221961087505</v>
      </c>
      <c r="O17" s="2">
        <f t="shared" ca="1" si="3"/>
        <v>30.789061765558607</v>
      </c>
      <c r="P17" s="2">
        <f t="shared" ca="1" si="4"/>
        <v>51.315102942597683</v>
      </c>
      <c r="Q17" s="2">
        <f>(AVERAGE(VLOOKUP(E17,weapon_components!$A$8:$M$178,9,0),VLOOKUP(E17,weapon_components!$A$8:$M$178,10,0))+VLOOKUP(E17,weapon_components!$A$8:$M$178,11,0))/10</f>
        <v>3.75</v>
      </c>
      <c r="R17" s="32">
        <f t="shared" ca="1" si="13"/>
        <v>1</v>
      </c>
      <c r="S17" s="25">
        <f t="shared" si="14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  <c r="V17">
        <v>0.82</v>
      </c>
    </row>
    <row r="18" spans="1:42" x14ac:dyDescent="0.25">
      <c r="A18" s="21">
        <f t="shared" si="5"/>
        <v>2.339999999999999E-2</v>
      </c>
      <c r="C18" s="2">
        <v>3</v>
      </c>
      <c r="D18" s="2">
        <v>0</v>
      </c>
      <c r="E18" s="5" t="s">
        <v>31</v>
      </c>
      <c r="F18" s="2">
        <f t="shared" si="6"/>
        <v>7.5233999999999996</v>
      </c>
      <c r="G18" s="32">
        <f t="shared" ca="1" si="7"/>
        <v>11.410969536656371</v>
      </c>
      <c r="H18" s="2">
        <f t="shared" si="8"/>
        <v>8.6519099999999991</v>
      </c>
      <c r="I18" s="2">
        <f t="shared" si="9"/>
        <v>4.2131040000000004</v>
      </c>
      <c r="J18" s="2">
        <f t="shared" si="9"/>
        <v>1.0532760000000001</v>
      </c>
      <c r="K18" s="10">
        <f t="shared" ca="1" si="10"/>
        <v>-1.1026158246337996</v>
      </c>
      <c r="L18" s="10">
        <f t="shared" si="11"/>
        <v>6.6666666666666666E-2</v>
      </c>
      <c r="M18" s="10">
        <v>0</v>
      </c>
      <c r="N18" s="2">
        <f t="shared" ca="1" si="12"/>
        <v>11.410969536656371</v>
      </c>
      <c r="O18" s="2">
        <f t="shared" ca="1" si="3"/>
        <v>64.186703643692084</v>
      </c>
      <c r="P18" s="2">
        <f t="shared" ca="1" si="4"/>
        <v>106.97783940615346</v>
      </c>
      <c r="Q18" s="2">
        <f>(AVERAGE(VLOOKUP(E18,weapon_components!$A$8:$M$178,9,0),VLOOKUP(E18,weapon_components!$A$8:$M$178,10,0))+VLOOKUP(E18,weapon_components!$A$8:$M$178,11,0))/10</f>
        <v>3.75</v>
      </c>
      <c r="R18" s="32">
        <f t="shared" ca="1" si="13"/>
        <v>1</v>
      </c>
      <c r="S18" s="25">
        <f t="shared" si="14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  <c r="V18">
        <v>0.8</v>
      </c>
    </row>
    <row r="19" spans="1:42" x14ac:dyDescent="0.25">
      <c r="A19" s="21">
        <f t="shared" si="5"/>
        <v>1.0799999999999983E-3</v>
      </c>
      <c r="C19" s="2">
        <v>3</v>
      </c>
      <c r="D19" s="2">
        <v>1</v>
      </c>
      <c r="E19" s="5" t="s">
        <v>32</v>
      </c>
      <c r="F19" s="2">
        <f t="shared" si="6"/>
        <v>7.50108</v>
      </c>
      <c r="G19" s="32">
        <f t="shared" ca="1" si="7"/>
        <v>11.871773336341555</v>
      </c>
      <c r="H19" s="2">
        <f t="shared" si="8"/>
        <v>9.001296</v>
      </c>
      <c r="I19" s="2">
        <f t="shared" si="9"/>
        <v>3.6005183999999999</v>
      </c>
      <c r="J19" s="2">
        <f t="shared" si="9"/>
        <v>0.90012959999999997</v>
      </c>
      <c r="K19" s="10">
        <f t="shared" ca="1" si="10"/>
        <v>-1.3223868083301453</v>
      </c>
      <c r="L19" s="10">
        <f t="shared" si="11"/>
        <v>6.6666666666666666E-2</v>
      </c>
      <c r="M19" s="10">
        <v>0</v>
      </c>
      <c r="N19" s="2">
        <f t="shared" ca="1" si="12"/>
        <v>11.871773336341555</v>
      </c>
      <c r="O19" s="2">
        <f t="shared" ca="1" si="3"/>
        <v>133.55745003384249</v>
      </c>
      <c r="P19" s="2">
        <f t="shared" ca="1" si="4"/>
        <v>222.59575005640414</v>
      </c>
      <c r="Q19" s="2">
        <f>(AVERAGE(VLOOKUP(E19,weapon_components!$A$8:$M$178,9,0),VLOOKUP(E19,weapon_components!$A$8:$M$178,10,0))+VLOOKUP(E19,weapon_components!$A$8:$M$178,11,0))/10</f>
        <v>3.75</v>
      </c>
      <c r="R19" s="32">
        <f t="shared" ca="1" si="13"/>
        <v>1</v>
      </c>
      <c r="S19" s="25">
        <f t="shared" si="14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  <c r="V19">
        <v>0.75</v>
      </c>
    </row>
    <row r="20" spans="1:42" x14ac:dyDescent="0.25">
      <c r="A20" s="21">
        <f t="shared" si="5"/>
        <v>3.7080000000000002E-2</v>
      </c>
      <c r="C20" s="2">
        <v>4</v>
      </c>
      <c r="D20" s="2">
        <v>-1</v>
      </c>
      <c r="E20" s="5" t="s">
        <v>33</v>
      </c>
      <c r="F20" s="2">
        <f t="shared" si="6"/>
        <v>10.03708</v>
      </c>
      <c r="G20" s="32">
        <f t="shared" ca="1" si="7"/>
        <v>17.034264004741775</v>
      </c>
      <c r="H20" s="2">
        <f t="shared" si="8"/>
        <v>11.542641999999999</v>
      </c>
      <c r="I20" s="2">
        <f t="shared" si="9"/>
        <v>5.6207647999999999</v>
      </c>
      <c r="J20" s="2">
        <f t="shared" si="9"/>
        <v>1.4051912</v>
      </c>
      <c r="K20" s="10">
        <f t="shared" ca="1" si="10"/>
        <v>-1.0616364218458361</v>
      </c>
      <c r="L20" s="10">
        <f t="shared" si="11"/>
        <v>7.2222222222222229E-2</v>
      </c>
      <c r="M20" s="10">
        <v>0</v>
      </c>
      <c r="N20" s="2">
        <f t="shared" ca="1" si="12"/>
        <v>17.034264004741775</v>
      </c>
      <c r="O20" s="2">
        <f t="shared" ca="1" si="3"/>
        <v>47.908867513336247</v>
      </c>
      <c r="P20" s="2">
        <f t="shared" ca="1" si="4"/>
        <v>79.848112522227069</v>
      </c>
      <c r="Q20" s="2">
        <f>(AVERAGE(VLOOKUP(E20,weapon_components!$A$8:$M$178,9,0),VLOOKUP(E20,weapon_components!$A$8:$M$178,10,0))+VLOOKUP(E20,weapon_components!$A$8:$M$178,11,0))/10</f>
        <v>3.75</v>
      </c>
      <c r="R20" s="32">
        <f t="shared" ca="1" si="13"/>
        <v>1</v>
      </c>
      <c r="S20" s="25">
        <f t="shared" si="14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V20">
        <v>0.82</v>
      </c>
      <c r="X20" s="14"/>
      <c r="Y20" s="14"/>
    </row>
    <row r="21" spans="1:42" x14ac:dyDescent="0.25">
      <c r="A21" s="21">
        <f t="shared" si="5"/>
        <v>1.2600000000000009E-2</v>
      </c>
      <c r="C21" s="2">
        <v>4</v>
      </c>
      <c r="D21" s="2">
        <v>0</v>
      </c>
      <c r="E21" s="5" t="s">
        <v>34</v>
      </c>
      <c r="F21" s="2">
        <f t="shared" si="6"/>
        <v>10.012600000000001</v>
      </c>
      <c r="G21" s="32">
        <f t="shared" ca="1" si="7"/>
        <v>17.731532012225021</v>
      </c>
      <c r="H21" s="2">
        <f t="shared" si="8"/>
        <v>12.015120000000001</v>
      </c>
      <c r="I21" s="2">
        <f t="shared" si="9"/>
        <v>4.8060480000000005</v>
      </c>
      <c r="J21" s="2">
        <f t="shared" si="9"/>
        <v>1.2015120000000001</v>
      </c>
      <c r="K21" s="10">
        <f t="shared" ca="1" si="10"/>
        <v>-1.2429376102524863</v>
      </c>
      <c r="L21" s="10">
        <f t="shared" si="11"/>
        <v>7.2222222222222229E-2</v>
      </c>
      <c r="M21" s="10">
        <v>0</v>
      </c>
      <c r="N21" s="2">
        <f t="shared" ca="1" si="12"/>
        <v>17.731532012225021</v>
      </c>
      <c r="O21" s="2">
        <f t="shared" ca="1" si="3"/>
        <v>99.739867568765732</v>
      </c>
      <c r="P21" s="2">
        <f t="shared" ca="1" si="4"/>
        <v>166.23311261460955</v>
      </c>
      <c r="Q21" s="2">
        <f>(AVERAGE(VLOOKUP(E21,weapon_components!$A$8:$M$178,9,0),VLOOKUP(E21,weapon_components!$A$8:$M$178,10,0))+VLOOKUP(E21,weapon_components!$A$8:$M$178,11,0))/10</f>
        <v>3.75</v>
      </c>
      <c r="R21" s="32">
        <f t="shared" ca="1" si="13"/>
        <v>1</v>
      </c>
      <c r="S21" s="25">
        <f t="shared" si="14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  <c r="V21">
        <v>0.8</v>
      </c>
    </row>
    <row r="22" spans="1:42" x14ac:dyDescent="0.25">
      <c r="A22" s="21">
        <f t="shared" si="5"/>
        <v>-1.1879999999999981E-2</v>
      </c>
      <c r="C22" s="2">
        <v>4</v>
      </c>
      <c r="D22" s="2">
        <v>1</v>
      </c>
      <c r="E22" s="5" t="s">
        <v>35</v>
      </c>
      <c r="F22" s="2">
        <f t="shared" si="6"/>
        <v>9.9881200000000003</v>
      </c>
      <c r="G22" s="32">
        <f t="shared" ca="1" si="7"/>
        <v>18.425187339155265</v>
      </c>
      <c r="H22" s="2">
        <f t="shared" si="8"/>
        <v>12.485150000000001</v>
      </c>
      <c r="I22" s="2">
        <f t="shared" si="9"/>
        <v>3.9952479999999997</v>
      </c>
      <c r="J22" s="2">
        <f t="shared" si="9"/>
        <v>0.99881199999999992</v>
      </c>
      <c r="K22" s="10">
        <f t="shared" ca="1" si="10"/>
        <v>-1.4097347035866044</v>
      </c>
      <c r="L22" s="10">
        <f>(INDEX($Q$2:$Q$6,C22)/((1/INDEX($F$4:$F$6,J$9))-1))</f>
        <v>7.2222222222222229E-2</v>
      </c>
      <c r="M22" s="10">
        <v>0</v>
      </c>
      <c r="N22" s="2">
        <f t="shared" ca="1" si="12"/>
        <v>18.425187339155265</v>
      </c>
      <c r="O22" s="2">
        <f t="shared" ca="1" si="3"/>
        <v>207.28335756549671</v>
      </c>
      <c r="P22" s="2">
        <f t="shared" ca="1" si="4"/>
        <v>345.47226260916119</v>
      </c>
      <c r="Q22" s="2">
        <f>(AVERAGE(VLOOKUP(E22,weapon_components!$A$8:$M$178,9,0),VLOOKUP(E22,weapon_components!$A$8:$M$178,10,0))+VLOOKUP(E22,weapon_components!$A$8:$M$178,11,0))/10</f>
        <v>3.75</v>
      </c>
      <c r="R22" s="32">
        <f t="shared" ca="1" si="13"/>
        <v>1</v>
      </c>
      <c r="S22" s="25">
        <f t="shared" si="14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  <c r="V22">
        <v>0.75</v>
      </c>
    </row>
    <row r="23" spans="1:42" x14ac:dyDescent="0.25">
      <c r="A23" s="21">
        <f t="shared" si="5"/>
        <v>2.8440000000000014E-2</v>
      </c>
      <c r="C23" s="2">
        <v>5</v>
      </c>
      <c r="D23" s="2">
        <v>-1</v>
      </c>
      <c r="E23" s="5" t="s">
        <v>36</v>
      </c>
      <c r="F23" s="2">
        <f t="shared" si="6"/>
        <v>12.52844</v>
      </c>
      <c r="G23" s="32">
        <f t="shared" ca="1" si="7"/>
        <v>25.18209842142247</v>
      </c>
      <c r="H23" s="2">
        <f t="shared" si="8"/>
        <v>15.034127999999999</v>
      </c>
      <c r="I23" s="2">
        <f t="shared" si="9"/>
        <v>6.0136512</v>
      </c>
      <c r="J23" s="2">
        <f t="shared" si="9"/>
        <v>1.5034128</v>
      </c>
      <c r="K23" s="10">
        <f t="shared" ca="1" si="10"/>
        <v>-1.0298490777735267</v>
      </c>
      <c r="L23" s="10">
        <f t="shared" si="11"/>
        <v>8.3333333333333329E-2</v>
      </c>
      <c r="M23" s="10">
        <v>0</v>
      </c>
      <c r="N23" s="2">
        <f t="shared" ca="1" si="12"/>
        <v>25.18209842142247</v>
      </c>
      <c r="O23" s="2">
        <f t="shared" ca="1" si="3"/>
        <v>70.824651810250685</v>
      </c>
      <c r="P23" s="2">
        <f t="shared" ca="1" si="4"/>
        <v>118.04108635041783</v>
      </c>
      <c r="Q23" s="2">
        <f>(AVERAGE(VLOOKUP(E23,weapon_components!$A$8:$M$178,9,0),VLOOKUP(E23,weapon_components!$A$8:$M$178,10,0))+VLOOKUP(E23,weapon_components!$A$8:$M$178,11,0))/10</f>
        <v>3.75</v>
      </c>
      <c r="R23" s="32">
        <f t="shared" ca="1" si="13"/>
        <v>1</v>
      </c>
      <c r="S23" s="25">
        <f t="shared" si="14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  <c r="V23">
        <v>0.82</v>
      </c>
    </row>
    <row r="24" spans="1:42" x14ac:dyDescent="0.25">
      <c r="A24" s="21">
        <f t="shared" si="5"/>
        <v>1.8000000000000043E-3</v>
      </c>
      <c r="C24" s="2">
        <v>5</v>
      </c>
      <c r="D24" s="2">
        <v>0</v>
      </c>
      <c r="E24" s="5" t="s">
        <v>37</v>
      </c>
      <c r="F24" s="2">
        <f t="shared" si="6"/>
        <v>12.501799999999999</v>
      </c>
      <c r="G24" s="32">
        <f t="shared" ca="1" si="7"/>
        <v>26.175575168455019</v>
      </c>
      <c r="H24" s="2">
        <f t="shared" si="8"/>
        <v>15.62725</v>
      </c>
      <c r="I24" s="2">
        <f t="shared" si="9"/>
        <v>5.0007199999999994</v>
      </c>
      <c r="J24" s="2">
        <f t="shared" si="9"/>
        <v>1.2501799999999998</v>
      </c>
      <c r="K24" s="10">
        <f t="shared" ca="1" si="10"/>
        <v>-1.1572125955521551</v>
      </c>
      <c r="L24" s="10">
        <f t="shared" si="11"/>
        <v>8.3333333333333329E-2</v>
      </c>
      <c r="M24" s="10">
        <v>0</v>
      </c>
      <c r="N24" s="2">
        <f t="shared" ca="1" si="12"/>
        <v>26.175575168455019</v>
      </c>
      <c r="O24" s="2">
        <f t="shared" ca="1" si="3"/>
        <v>147.23761032255948</v>
      </c>
      <c r="P24" s="2">
        <f t="shared" ca="1" si="4"/>
        <v>245.39601720426583</v>
      </c>
      <c r="Q24" s="2">
        <f>(AVERAGE(VLOOKUP(E24,weapon_components!$A$8:$M$178,9,0),VLOOKUP(E24,weapon_components!$A$8:$M$178,10,0))+VLOOKUP(E24,weapon_components!$A$8:$M$178,11,0))/10</f>
        <v>3.75</v>
      </c>
      <c r="R24" s="32">
        <f t="shared" ca="1" si="13"/>
        <v>1</v>
      </c>
      <c r="S24" s="25">
        <f t="shared" si="14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  <c r="V24">
        <v>0.8</v>
      </c>
    </row>
    <row r="25" spans="1:42" x14ac:dyDescent="0.25">
      <c r="A25" s="21">
        <f t="shared" si="5"/>
        <v>-2.4840000000000004E-2</v>
      </c>
      <c r="C25" s="2">
        <v>5</v>
      </c>
      <c r="D25" s="2">
        <v>1</v>
      </c>
      <c r="E25" s="5" t="s">
        <v>38</v>
      </c>
      <c r="F25" s="2">
        <f t="shared" si="6"/>
        <v>12.475160000000001</v>
      </c>
      <c r="G25" s="32">
        <f t="shared" ca="1" si="7"/>
        <v>27.164589727178765</v>
      </c>
      <c r="H25" s="2">
        <f t="shared" si="8"/>
        <v>16.217708000000002</v>
      </c>
      <c r="I25" s="2">
        <f t="shared" si="9"/>
        <v>3.9920511999999997</v>
      </c>
      <c r="J25" s="2">
        <f t="shared" si="9"/>
        <v>0.99801279999999992</v>
      </c>
      <c r="K25" s="10">
        <f t="shared" ca="1" si="10"/>
        <v>-1.2747789196555037</v>
      </c>
      <c r="L25" s="10">
        <f>(INDEX($Q$2:$Q$6,C25)/((1/INDEX($F$4:$F$6,J$9))-1))</f>
        <v>8.3333333333333329E-2</v>
      </c>
      <c r="M25" s="10">
        <v>0</v>
      </c>
      <c r="N25" s="2">
        <f t="shared" ca="1" si="12"/>
        <v>27.164589727178768</v>
      </c>
      <c r="O25" s="2">
        <f t="shared" ca="1" si="3"/>
        <v>305.60163443076112</v>
      </c>
      <c r="P25" s="2">
        <f t="shared" ca="1" si="4"/>
        <v>509.33605738460187</v>
      </c>
      <c r="Q25" s="2">
        <f>(AVERAGE(VLOOKUP(E25,weapon_components!$A$8:$M$178,9,0),VLOOKUP(E25,weapon_components!$A$8:$M$178,10,0))+VLOOKUP(E25,weapon_components!$A$8:$M$178,11,0))/10</f>
        <v>3.75</v>
      </c>
      <c r="R25" s="32">
        <f t="shared" ca="1" si="13"/>
        <v>1</v>
      </c>
      <c r="S25" s="25">
        <f t="shared" si="14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V25">
        <v>0.75</v>
      </c>
      <c r="W25" s="14" t="s">
        <v>220</v>
      </c>
      <c r="X25" s="14" t="s">
        <v>144</v>
      </c>
    </row>
    <row r="26" spans="1:42" x14ac:dyDescent="0.25">
      <c r="A26" s="21">
        <f t="shared" si="5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V26" t="s">
        <v>247</v>
      </c>
      <c r="W26" s="14" t="s">
        <v>130</v>
      </c>
      <c r="X26" s="2">
        <v>0.05</v>
      </c>
      <c r="Y26" s="2">
        <f t="shared" ref="Y26:AP26" si="15">X26+0.05</f>
        <v>0.1</v>
      </c>
      <c r="Z26" s="2">
        <f t="shared" si="15"/>
        <v>0.15000000000000002</v>
      </c>
      <c r="AA26" s="2">
        <f t="shared" si="15"/>
        <v>0.2</v>
      </c>
      <c r="AB26" s="2">
        <f t="shared" si="15"/>
        <v>0.25</v>
      </c>
      <c r="AC26" s="2">
        <f t="shared" si="15"/>
        <v>0.3</v>
      </c>
      <c r="AD26" s="2">
        <f t="shared" si="15"/>
        <v>0.35</v>
      </c>
      <c r="AE26" s="2">
        <f t="shared" si="15"/>
        <v>0.39999999999999997</v>
      </c>
      <c r="AF26" s="2">
        <f t="shared" si="15"/>
        <v>0.44999999999999996</v>
      </c>
      <c r="AG26" s="2">
        <f t="shared" si="15"/>
        <v>0.49999999999999994</v>
      </c>
      <c r="AH26" s="2">
        <f t="shared" si="15"/>
        <v>0.54999999999999993</v>
      </c>
      <c r="AI26" s="2">
        <f t="shared" si="15"/>
        <v>0.6</v>
      </c>
      <c r="AJ26" s="2">
        <f t="shared" si="15"/>
        <v>0.65</v>
      </c>
      <c r="AK26" s="2">
        <f t="shared" si="15"/>
        <v>0.70000000000000007</v>
      </c>
      <c r="AL26" s="2">
        <f t="shared" si="15"/>
        <v>0.75000000000000011</v>
      </c>
      <c r="AM26" s="2">
        <f t="shared" si="15"/>
        <v>0.80000000000000016</v>
      </c>
      <c r="AN26" s="2">
        <f t="shared" si="15"/>
        <v>0.8500000000000002</v>
      </c>
      <c r="AO26" s="2">
        <f t="shared" si="15"/>
        <v>0.90000000000000024</v>
      </c>
      <c r="AP26" s="2">
        <f t="shared" si="15"/>
        <v>0.95000000000000029</v>
      </c>
    </row>
    <row r="27" spans="1:42" x14ac:dyDescent="0.25">
      <c r="A27" s="21">
        <f t="shared" si="5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6"/>
        <v>19.988119999999999</v>
      </c>
      <c r="G27" s="32">
        <f ca="1">IF(G$26=1,H27,H27/(R27-INDEX($O$2:$O$6,C27)))</f>
        <v>19.988119999999999</v>
      </c>
      <c r="H27" s="2">
        <f>$F27*(INDEX($F$3:$F$5,H$26)+(($C27+($D27*$F$7))*INDEX($G$3:$G$5,H$26)))</f>
        <v>7.9952479999999984</v>
      </c>
      <c r="I27" s="2">
        <f>$F27*(INDEX($F$3:$F$5,I$26)+(($C27+($D27*$F$7))*INDEX($G$3:$G$5,I$26)))</f>
        <v>24.985149999999997</v>
      </c>
      <c r="J27" s="2">
        <f t="shared" ref="I27:J28" si="16">$F27*(INDEX($F$3:$F$5,J$26)+(($C27+($D27*$F$7))*INDEX($G$3:$G$5,J$26)))</f>
        <v>1.9988119999999996</v>
      </c>
      <c r="K27" s="10">
        <f t="shared" ca="1" si="10"/>
        <v>3.2473073793951088</v>
      </c>
      <c r="L27" s="10">
        <f>(INDEX($Q$2:$Q$6,C27)/((1/INDEX($F$4:$F$6,J$26))-1))</f>
        <v>7.2222222222222229E-2</v>
      </c>
      <c r="M27" s="10">
        <v>0</v>
      </c>
      <c r="N27" s="2">
        <f ca="1">((AVERAGE(O27,P27)*R27)/Q27)/INDEX($R$1:$R$3,D27+2)</f>
        <v>19.988119999999999</v>
      </c>
      <c r="O27" s="2">
        <f ca="1">0.75*(((G27*INDEX($R$1:$R$3,$D27+2))*Q27)/R27)</f>
        <v>734.62662922474999</v>
      </c>
      <c r="P27" s="2">
        <f ca="1">1.25*(((G27*INDEX($R$1:$R$3,$D27+2))*Q27)/R27)</f>
        <v>1224.3777153745832</v>
      </c>
      <c r="Q27" s="2">
        <f>(AVERAGE(VLOOKUP(E27,weapon_components!$A$8:$M$178,9,0),VLOOKUP(E27,weapon_components!$A$8:$M$178,10,0))+VLOOKUP(E27,weapon_components!$A$8:$M$178,11,0))/10</f>
        <v>8.85</v>
      </c>
      <c r="R27" s="32">
        <f t="shared" ca="1" si="13"/>
        <v>0.72238680833014501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V27">
        <v>0.9</v>
      </c>
      <c r="W27" s="14" t="s">
        <v>221</v>
      </c>
      <c r="X27">
        <f ca="1">$G30*(1-(X$26*(1-$K30)))</f>
        <v>7.8569336602991369</v>
      </c>
      <c r="Y27" s="2">
        <f t="shared" ref="Y27:AP27" ca="1" si="17">$G30*(1-(Y$26*(1-$K30)))</f>
        <v>8.1681473205982726</v>
      </c>
      <c r="Z27" s="2">
        <f t="shared" ca="1" si="17"/>
        <v>8.4793609808974093</v>
      </c>
      <c r="AA27" s="2">
        <f t="shared" ca="1" si="17"/>
        <v>8.7905746411965442</v>
      </c>
      <c r="AB27" s="2">
        <f t="shared" ca="1" si="17"/>
        <v>9.1017883014956791</v>
      </c>
      <c r="AC27" s="2">
        <f t="shared" ca="1" si="17"/>
        <v>9.4130019617948157</v>
      </c>
      <c r="AD27" s="2">
        <f t="shared" ca="1" si="17"/>
        <v>9.7242156220939506</v>
      </c>
      <c r="AE27" s="2">
        <f t="shared" ca="1" si="17"/>
        <v>10.035429282393087</v>
      </c>
      <c r="AF27" s="2">
        <f t="shared" ca="1" si="17"/>
        <v>10.346642942692222</v>
      </c>
      <c r="AG27" s="2">
        <f t="shared" ca="1" si="17"/>
        <v>10.657856602991359</v>
      </c>
      <c r="AH27" s="2">
        <f t="shared" ca="1" si="17"/>
        <v>10.969070263290494</v>
      </c>
      <c r="AI27" s="2">
        <f t="shared" ca="1" si="17"/>
        <v>11.280283923589629</v>
      </c>
      <c r="AJ27" s="2">
        <f t="shared" ca="1" si="17"/>
        <v>11.591497583888765</v>
      </c>
      <c r="AK27" s="2">
        <f t="shared" ca="1" si="17"/>
        <v>11.902711244187902</v>
      </c>
      <c r="AL27" s="2">
        <f t="shared" ca="1" si="17"/>
        <v>12.213924904487037</v>
      </c>
      <c r="AM27" s="2">
        <f t="shared" ca="1" si="17"/>
        <v>12.525138564786173</v>
      </c>
      <c r="AN27" s="2">
        <f t="shared" ca="1" si="17"/>
        <v>12.836352225085308</v>
      </c>
      <c r="AO27" s="2">
        <f t="shared" ca="1" si="17"/>
        <v>13.147565885384445</v>
      </c>
      <c r="AP27" s="2">
        <f t="shared" ca="1" si="17"/>
        <v>13.458779545683582</v>
      </c>
    </row>
    <row r="28" spans="1:42" x14ac:dyDescent="0.25">
      <c r="A28" s="21">
        <f t="shared" si="5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6"/>
        <v>24.975159999999999</v>
      </c>
      <c r="G28" s="32">
        <f ca="1">IF(G$26=1,H28,H28/(R28-INDEX($O$2:$O$6,C28)))</f>
        <v>24.975159999999999</v>
      </c>
      <c r="H28" s="2">
        <f>$F28*(INDEX($F$3:$F$5,H$26)+(($C28+($D28*$F$7))*INDEX($G$3:$G$5,H$26)))</f>
        <v>7.9920511999999988</v>
      </c>
      <c r="I28" s="2">
        <f t="shared" si="16"/>
        <v>32.467708000000002</v>
      </c>
      <c r="J28" s="2">
        <f t="shared" si="16"/>
        <v>1.9980127999999997</v>
      </c>
      <c r="K28" s="10">
        <f t="shared" ca="1" si="10"/>
        <v>3.1282790226034556</v>
      </c>
      <c r="L28" s="10">
        <f>(INDEX($Q$2:$Q$6,C28)/((1/INDEX($F$4:$F$6,J$26))-1))</f>
        <v>8.3333333333333329E-2</v>
      </c>
      <c r="M28" s="10">
        <v>0</v>
      </c>
      <c r="N28" s="2">
        <f ca="1">((AVERAGE(O28,P28)*R28)/Q28)/INDEX($R$1:$R$3,D28+2)</f>
        <v>24.975159999999999</v>
      </c>
      <c r="O28" s="2">
        <f ca="1">0.75*(((G28*INDEX($R$1:$R$3,$D28+2))*Q28)/R28)</f>
        <v>917.15853605223401</v>
      </c>
      <c r="P28" s="2">
        <f ca="1">1.25*(((G28*INDEX($R$1:$R$3,$D28+2))*Q28)/R28)</f>
        <v>1528.5975600870565</v>
      </c>
      <c r="Q28" s="2">
        <f>(AVERAGE(VLOOKUP(E28,weapon_components!$A$8:$M$178,9,0),VLOOKUP(E28,weapon_components!$A$8:$M$178,10,0))+VLOOKUP(E28,weapon_components!$A$8:$M$178,11,0))/10</f>
        <v>8.85</v>
      </c>
      <c r="R28" s="32">
        <f t="shared" ca="1" si="13"/>
        <v>0.72298351041268138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V28">
        <v>0.9</v>
      </c>
      <c r="W28" s="14" t="s">
        <v>222</v>
      </c>
      <c r="X28" s="2">
        <f t="shared" ref="X28:AP28" ca="1" si="18">$G31*(1-(X$26*(1-$K31)))</f>
        <v>8.0679569636915502</v>
      </c>
      <c r="Y28" s="2">
        <f t="shared" ca="1" si="18"/>
        <v>8.6125139273830982</v>
      </c>
      <c r="Z28" s="2">
        <f t="shared" ca="1" si="18"/>
        <v>9.1570708910746497</v>
      </c>
      <c r="AA28" s="2">
        <f t="shared" ca="1" si="18"/>
        <v>9.7016278547661994</v>
      </c>
      <c r="AB28" s="2">
        <f t="shared" ca="1" si="18"/>
        <v>10.246184818457751</v>
      </c>
      <c r="AC28" s="2">
        <f t="shared" ca="1" si="18"/>
        <v>10.790741782149299</v>
      </c>
      <c r="AD28" s="2">
        <f t="shared" ca="1" si="18"/>
        <v>11.335298745840849</v>
      </c>
      <c r="AE28" s="2">
        <f t="shared" ca="1" si="18"/>
        <v>11.8798557095324</v>
      </c>
      <c r="AF28" s="2">
        <f t="shared" ca="1" si="18"/>
        <v>12.424412673223948</v>
      </c>
      <c r="AG28" s="2">
        <f t="shared" ca="1" si="18"/>
        <v>12.968969636915498</v>
      </c>
      <c r="AH28" s="2">
        <f t="shared" ca="1" si="18"/>
        <v>13.513526600607049</v>
      </c>
      <c r="AI28" s="2">
        <f t="shared" ca="1" si="18"/>
        <v>14.058083564298599</v>
      </c>
      <c r="AJ28" s="2">
        <f t="shared" ca="1" si="18"/>
        <v>14.602640527990149</v>
      </c>
      <c r="AK28" s="2">
        <f t="shared" ca="1" si="18"/>
        <v>15.147197491681698</v>
      </c>
      <c r="AL28" s="2">
        <f t="shared" ca="1" si="18"/>
        <v>15.691754455373248</v>
      </c>
      <c r="AM28" s="2">
        <f t="shared" ca="1" si="18"/>
        <v>16.236311419064801</v>
      </c>
      <c r="AN28" s="2">
        <f t="shared" ca="1" si="18"/>
        <v>16.780868382756353</v>
      </c>
      <c r="AO28" s="2">
        <f t="shared" ca="1" si="18"/>
        <v>17.325425346447901</v>
      </c>
      <c r="AP28" s="2">
        <f t="shared" ca="1" si="18"/>
        <v>17.869982310139449</v>
      </c>
    </row>
    <row r="29" spans="1:42" x14ac:dyDescent="0.25">
      <c r="A29" s="21">
        <f t="shared" si="5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29" si="19">$S$9*(1+(D29*$F$8))</f>
        <v>30</v>
      </c>
      <c r="T29" s="2">
        <v>0</v>
      </c>
      <c r="U29" s="14"/>
      <c r="V29" t="s">
        <v>247</v>
      </c>
      <c r="W29" s="14" t="s">
        <v>223</v>
      </c>
      <c r="X29" s="2">
        <f t="shared" ref="X29:AP29" ca="1" si="20">$G32*(1-(X$26*(1-$K32)))</f>
        <v>8.3293657298770913</v>
      </c>
      <c r="Y29" s="2">
        <f t="shared" ca="1" si="20"/>
        <v>9.1576514597541827</v>
      </c>
      <c r="Z29" s="2">
        <f t="shared" ca="1" si="20"/>
        <v>9.9859371896312759</v>
      </c>
      <c r="AA29" s="2">
        <f t="shared" ca="1" si="20"/>
        <v>10.814222919508367</v>
      </c>
      <c r="AB29" s="2">
        <f t="shared" ca="1" si="20"/>
        <v>11.64250864938546</v>
      </c>
      <c r="AC29" s="2">
        <f t="shared" ca="1" si="20"/>
        <v>12.470794379262552</v>
      </c>
      <c r="AD29" s="2">
        <f t="shared" ca="1" si="20"/>
        <v>13.299080109139643</v>
      </c>
      <c r="AE29" s="2">
        <f t="shared" ca="1" si="20"/>
        <v>14.127365839016734</v>
      </c>
      <c r="AF29" s="2">
        <f t="shared" ca="1" si="20"/>
        <v>14.955651568893826</v>
      </c>
      <c r="AG29" s="2">
        <f t="shared" ca="1" si="20"/>
        <v>15.783937298770917</v>
      </c>
      <c r="AH29" s="2">
        <f t="shared" ca="1" si="20"/>
        <v>16.61222302864801</v>
      </c>
      <c r="AI29" s="2">
        <f t="shared" ca="1" si="20"/>
        <v>17.440508758525105</v>
      </c>
      <c r="AJ29" s="2">
        <f t="shared" ca="1" si="20"/>
        <v>18.268794488402197</v>
      </c>
      <c r="AK29" s="2">
        <f t="shared" ca="1" si="20"/>
        <v>19.097080218279288</v>
      </c>
      <c r="AL29" s="2">
        <f t="shared" ca="1" si="20"/>
        <v>19.925365948156383</v>
      </c>
      <c r="AM29" s="2">
        <f t="shared" ca="1" si="20"/>
        <v>20.753651678033474</v>
      </c>
      <c r="AN29" s="2">
        <f t="shared" ca="1" si="20"/>
        <v>21.581937407910566</v>
      </c>
      <c r="AO29" s="2">
        <f t="shared" ca="1" si="20"/>
        <v>22.410223137787657</v>
      </c>
      <c r="AP29" s="2">
        <f t="shared" ca="1" si="20"/>
        <v>23.238508867664752</v>
      </c>
    </row>
    <row r="30" spans="1:42" x14ac:dyDescent="0.25">
      <c r="A30" s="21">
        <f t="shared" si="5"/>
        <v>4.5720000000000004E-2</v>
      </c>
      <c r="C30" s="2">
        <v>3</v>
      </c>
      <c r="D30">
        <v>-1</v>
      </c>
      <c r="E30" s="5" t="s">
        <v>43</v>
      </c>
      <c r="F30" s="2">
        <f>($F$2+(C30*$F$1))*(B30+1)+A30</f>
        <v>7.5457200000000002</v>
      </c>
      <c r="G30" s="32">
        <f ca="1">IF(G$29=1,H30,H30/(R30-INDEX($O$2:$O$6,C30)))</f>
        <v>7.5457200000000011</v>
      </c>
      <c r="H30" s="2">
        <f>$F30*(INDEX($F$3:$F$5,H$29)+(($C30+($D30*$F$7))*INDEX($G$3:$G$5,H$29)))</f>
        <v>4.8292608000000001</v>
      </c>
      <c r="I30" s="2">
        <f t="shared" ref="I30:J38" si="21">$F30*(INDEX($F$3:$F$5,I$29)+(($C30+($D30*$F$7))*INDEX($G$3:$G$5,I$29)))</f>
        <v>8.3002920000000007</v>
      </c>
      <c r="J30" s="2">
        <f t="shared" si="21"/>
        <v>1.2073152</v>
      </c>
      <c r="K30" s="10">
        <f t="shared" ca="1" si="10"/>
        <v>1.8248746582145525</v>
      </c>
      <c r="L30" s="10">
        <f>(INDEX($Q$2:$Q$6,C30)/((1/INDEX($F$4:$F$6,J$29))-1))</f>
        <v>6.6666666666666666E-2</v>
      </c>
      <c r="M30" s="10">
        <v>0</v>
      </c>
      <c r="N30" s="2">
        <f t="shared" ref="N30:N38" ca="1" si="22">((AVERAGE(O30,P30)*R30)/Q30)/INDEX($R$1:$R$3,D30+2)</f>
        <v>7.545720000000002</v>
      </c>
      <c r="O30" s="2">
        <f t="shared" ref="O30:O38" ca="1" si="23">0.75*(((G30*INDEX($R$1:$R$3,$D30+2))*Q30)/R30)</f>
        <v>27.918108091232352</v>
      </c>
      <c r="P30" s="2">
        <f t="shared" ref="P30:P38" ca="1" si="24">1.25*(((G30*INDEX($R$1:$R$3,$D30+2))*Q30)/R30)</f>
        <v>46.530180152053916</v>
      </c>
      <c r="Q30" s="2">
        <f>(AVERAGE(VLOOKUP(E30,weapon_components!$A$8:$M$178,9,0),VLOOKUP(E30,weapon_components!$A$8:$M$178,10,0))+VLOOKUP(E30,weapon_components!$A$8:$M$178,11,0))/10</f>
        <v>4.3499999999999996</v>
      </c>
      <c r="R30" s="32">
        <f t="shared" ca="1" si="13"/>
        <v>0.88179010624760878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V30">
        <v>0.82</v>
      </c>
      <c r="W30" s="14" t="s">
        <v>224</v>
      </c>
      <c r="X30" s="2">
        <f t="shared" ref="X30:AP30" ca="1" si="25">$G33*(1-(X$26*(1-$K33)))</f>
        <v>10.505399821871951</v>
      </c>
      <c r="Y30" s="2">
        <f t="shared" ca="1" si="25"/>
        <v>10.973719643743902</v>
      </c>
      <c r="Z30" s="2">
        <f t="shared" ca="1" si="25"/>
        <v>11.442039465615853</v>
      </c>
      <c r="AA30" s="2">
        <f t="shared" ca="1" si="25"/>
        <v>11.910359287487806</v>
      </c>
      <c r="AB30" s="2">
        <f t="shared" ca="1" si="25"/>
        <v>12.378679109359757</v>
      </c>
      <c r="AC30" s="2">
        <f t="shared" ca="1" si="25"/>
        <v>12.846998931231708</v>
      </c>
      <c r="AD30" s="2">
        <f t="shared" ca="1" si="25"/>
        <v>13.315318753103659</v>
      </c>
      <c r="AE30" s="2">
        <f t="shared" ca="1" si="25"/>
        <v>13.78363857497561</v>
      </c>
      <c r="AF30" s="2">
        <f t="shared" ca="1" si="25"/>
        <v>14.251958396847561</v>
      </c>
      <c r="AG30" s="2">
        <f t="shared" ca="1" si="25"/>
        <v>14.720278218719514</v>
      </c>
      <c r="AH30" s="2">
        <f t="shared" ca="1" si="25"/>
        <v>15.188598040591465</v>
      </c>
      <c r="AI30" s="2">
        <f t="shared" ca="1" si="25"/>
        <v>15.656917862463416</v>
      </c>
      <c r="AJ30" s="2">
        <f t="shared" ca="1" si="25"/>
        <v>16.125237684335367</v>
      </c>
      <c r="AK30" s="2">
        <f t="shared" ca="1" si="25"/>
        <v>16.593557506207318</v>
      </c>
      <c r="AL30" s="2">
        <f t="shared" ca="1" si="25"/>
        <v>17.061877328079269</v>
      </c>
      <c r="AM30" s="2">
        <f t="shared" ca="1" si="25"/>
        <v>17.530197149951221</v>
      </c>
      <c r="AN30" s="2">
        <f t="shared" ca="1" si="25"/>
        <v>17.998516971823175</v>
      </c>
      <c r="AO30" s="2">
        <f t="shared" ca="1" si="25"/>
        <v>18.466836793695126</v>
      </c>
      <c r="AP30" s="2">
        <f t="shared" ca="1" si="25"/>
        <v>18.935156615567077</v>
      </c>
    </row>
    <row r="31" spans="1:42" x14ac:dyDescent="0.25">
      <c r="A31" s="21">
        <f t="shared" si="5"/>
        <v>2.339999999999999E-2</v>
      </c>
      <c r="C31" s="2">
        <v>3</v>
      </c>
      <c r="D31">
        <v>0</v>
      </c>
      <c r="E31" s="5" t="s">
        <v>44</v>
      </c>
      <c r="F31" s="2">
        <f t="shared" si="6"/>
        <v>7.5233999999999996</v>
      </c>
      <c r="G31" s="32">
        <f t="shared" ref="G31:G38" ca="1" si="26">IF(G$29=1,H31,H31/(R31-INDEX($O$2:$O$6,C31)))</f>
        <v>7.5233999999999996</v>
      </c>
      <c r="H31" s="2">
        <f t="shared" ref="H31:H38" si="27">$F31*(INDEX($F$3:$F$5,H$29)+(($C31+($D31*$F$7))*INDEX($G$3:$G$5,H$29)))</f>
        <v>4.2131040000000004</v>
      </c>
      <c r="I31" s="2">
        <f t="shared" si="21"/>
        <v>8.6519099999999991</v>
      </c>
      <c r="J31" s="2">
        <f t="shared" si="21"/>
        <v>1.0532760000000001</v>
      </c>
      <c r="K31" s="10">
        <f t="shared" ca="1" si="10"/>
        <v>2.4476352811004332</v>
      </c>
      <c r="L31" s="10">
        <f t="shared" ref="L31:L38" si="28">(INDEX($Q$2:$Q$6,C31)/((1/INDEX($F$4:$F$6,J$29))-1))</f>
        <v>6.6666666666666666E-2</v>
      </c>
      <c r="M31" s="10">
        <v>0</v>
      </c>
      <c r="N31" s="2">
        <f t="shared" ca="1" si="22"/>
        <v>7.5233999999999996</v>
      </c>
      <c r="O31" s="2">
        <f t="shared" ca="1" si="23"/>
        <v>61.225730546542749</v>
      </c>
      <c r="P31" s="2">
        <f t="shared" ca="1" si="24"/>
        <v>102.04288424423792</v>
      </c>
      <c r="Q31" s="2">
        <f>(AVERAGE(VLOOKUP(E31,weapon_components!$A$8:$M$178,9,0),VLOOKUP(E31,weapon_components!$A$8:$M$178,10,0))+VLOOKUP(E31,weapon_components!$A$8:$M$178,11,0))/10</f>
        <v>4.3499999999999996</v>
      </c>
      <c r="R31" s="32">
        <f t="shared" ca="1" si="13"/>
        <v>0.80179010624760894</v>
      </c>
      <c r="S31" s="25">
        <f t="shared" ref="S31:S38" si="29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V31">
        <v>0.8</v>
      </c>
      <c r="W31" s="14" t="s">
        <v>225</v>
      </c>
      <c r="X31" s="2">
        <f t="shared" ref="X31:AP31" ca="1" si="30">$G34*(1-(X$26*(1-$K34)))</f>
        <v>10.775926807083094</v>
      </c>
      <c r="Y31" s="2">
        <f t="shared" ca="1" si="30"/>
        <v>11.53925361416619</v>
      </c>
      <c r="Z31" s="2">
        <f t="shared" ca="1" si="30"/>
        <v>12.302580421249283</v>
      </c>
      <c r="AA31" s="2">
        <f t="shared" ca="1" si="30"/>
        <v>13.06590722833238</v>
      </c>
      <c r="AB31" s="2">
        <f t="shared" ca="1" si="30"/>
        <v>13.829234035415473</v>
      </c>
      <c r="AC31" s="2">
        <f t="shared" ca="1" si="30"/>
        <v>14.592560842498568</v>
      </c>
      <c r="AD31" s="2">
        <f t="shared" ca="1" si="30"/>
        <v>15.355887649581661</v>
      </c>
      <c r="AE31" s="2">
        <f t="shared" ca="1" si="30"/>
        <v>16.119214456664757</v>
      </c>
      <c r="AF31" s="2">
        <f t="shared" ca="1" si="30"/>
        <v>16.882541263747854</v>
      </c>
      <c r="AG31" s="2">
        <f t="shared" ca="1" si="30"/>
        <v>17.645868070830947</v>
      </c>
      <c r="AH31" s="2">
        <f t="shared" ca="1" si="30"/>
        <v>18.40919487791404</v>
      </c>
      <c r="AI31" s="2">
        <f t="shared" ca="1" si="30"/>
        <v>19.172521684997132</v>
      </c>
      <c r="AJ31" s="2">
        <f t="shared" ca="1" si="30"/>
        <v>19.935848492080229</v>
      </c>
      <c r="AK31" s="2">
        <f t="shared" ca="1" si="30"/>
        <v>20.699175299163326</v>
      </c>
      <c r="AL31" s="2">
        <f t="shared" ca="1" si="30"/>
        <v>21.462502106246419</v>
      </c>
      <c r="AM31" s="2">
        <f t="shared" ca="1" si="30"/>
        <v>22.225828913329515</v>
      </c>
      <c r="AN31" s="2">
        <f t="shared" ca="1" si="30"/>
        <v>22.989155720412608</v>
      </c>
      <c r="AO31" s="2">
        <f t="shared" ca="1" si="30"/>
        <v>23.752482527495705</v>
      </c>
      <c r="AP31" s="2">
        <f t="shared" ca="1" si="30"/>
        <v>24.515809334578801</v>
      </c>
    </row>
    <row r="32" spans="1:42" x14ac:dyDescent="0.25">
      <c r="A32" s="21">
        <f t="shared" si="5"/>
        <v>1.0799999999999983E-3</v>
      </c>
      <c r="C32" s="2">
        <v>3</v>
      </c>
      <c r="D32">
        <v>1</v>
      </c>
      <c r="E32" s="5" t="s">
        <v>45</v>
      </c>
      <c r="F32" s="2">
        <f t="shared" si="6"/>
        <v>7.50108</v>
      </c>
      <c r="G32" s="32">
        <f t="shared" ca="1" si="26"/>
        <v>7.5010799999999991</v>
      </c>
      <c r="H32" s="2">
        <f t="shared" si="27"/>
        <v>3.6005183999999999</v>
      </c>
      <c r="I32" s="2">
        <f t="shared" si="21"/>
        <v>9.001296</v>
      </c>
      <c r="J32" s="2">
        <f t="shared" si="21"/>
        <v>0.90012959999999997</v>
      </c>
      <c r="K32" s="10">
        <f t="shared" ca="1" si="10"/>
        <v>3.2084439304129329</v>
      </c>
      <c r="L32" s="10">
        <f t="shared" si="28"/>
        <v>6.6666666666666666E-2</v>
      </c>
      <c r="M32" s="10">
        <v>0</v>
      </c>
      <c r="N32" s="2">
        <f t="shared" ca="1" si="22"/>
        <v>7.5010799999999982</v>
      </c>
      <c r="O32" s="2">
        <f t="shared" ca="1" si="23"/>
        <v>135.61988887448018</v>
      </c>
      <c r="P32" s="2">
        <f t="shared" ca="1" si="24"/>
        <v>226.03314812413367</v>
      </c>
      <c r="Q32" s="2">
        <f>(AVERAGE(VLOOKUP(E32,weapon_components!$A$8:$M$178,9,0),VLOOKUP(E32,weapon_components!$A$8:$M$178,10,0))+VLOOKUP(E32,weapon_components!$A$8:$M$178,11,0))/10</f>
        <v>4.3499999999999996</v>
      </c>
      <c r="R32" s="32">
        <f t="shared" ca="1" si="13"/>
        <v>0.72179010624760886</v>
      </c>
      <c r="S32" s="25">
        <f t="shared" si="29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V32">
        <v>0.75</v>
      </c>
      <c r="W32" s="14" t="s">
        <v>226</v>
      </c>
      <c r="X32" s="2">
        <f t="shared" ref="X32:AP32" ca="1" si="31">$G35*(1-(X$26*(1-$K35)))</f>
        <v>11.110438789114196</v>
      </c>
      <c r="Y32" s="2">
        <f t="shared" ca="1" si="31"/>
        <v>12.232757578228391</v>
      </c>
      <c r="Z32" s="2">
        <f t="shared" ca="1" si="31"/>
        <v>13.355076367342582</v>
      </c>
      <c r="AA32" s="2">
        <f t="shared" ca="1" si="31"/>
        <v>14.477395156456776</v>
      </c>
      <c r="AB32" s="2">
        <f t="shared" ca="1" si="31"/>
        <v>15.59971394557097</v>
      </c>
      <c r="AC32" s="2">
        <f t="shared" ca="1" si="31"/>
        <v>16.722032734685161</v>
      </c>
      <c r="AD32" s="2">
        <f t="shared" ca="1" si="31"/>
        <v>17.844351523799361</v>
      </c>
      <c r="AE32" s="2">
        <f t="shared" ca="1" si="31"/>
        <v>18.96667031291355</v>
      </c>
      <c r="AF32" s="2">
        <f t="shared" ca="1" si="31"/>
        <v>20.088989102027742</v>
      </c>
      <c r="AG32" s="2">
        <f t="shared" ca="1" si="31"/>
        <v>21.211307891141939</v>
      </c>
      <c r="AH32" s="2">
        <f t="shared" ca="1" si="31"/>
        <v>22.333626680256131</v>
      </c>
      <c r="AI32" s="2">
        <f t="shared" ca="1" si="31"/>
        <v>23.455945469370324</v>
      </c>
      <c r="AJ32" s="2">
        <f t="shared" ca="1" si="31"/>
        <v>24.57826425848452</v>
      </c>
      <c r="AK32" s="2">
        <f t="shared" ca="1" si="31"/>
        <v>25.700583047598716</v>
      </c>
      <c r="AL32" s="2">
        <f t="shared" ca="1" si="31"/>
        <v>26.822901836712912</v>
      </c>
      <c r="AM32" s="2">
        <f t="shared" ca="1" si="31"/>
        <v>27.945220625827105</v>
      </c>
      <c r="AN32" s="2">
        <f t="shared" ca="1" si="31"/>
        <v>29.067539414941301</v>
      </c>
      <c r="AO32" s="2">
        <f t="shared" ca="1" si="31"/>
        <v>30.189858204055493</v>
      </c>
      <c r="AP32" s="2">
        <f t="shared" ca="1" si="31"/>
        <v>31.31217699316969</v>
      </c>
    </row>
    <row r="33" spans="1:42" x14ac:dyDescent="0.25">
      <c r="A33" s="21">
        <f t="shared" si="5"/>
        <v>3.7080000000000002E-2</v>
      </c>
      <c r="C33" s="2">
        <v>4</v>
      </c>
      <c r="D33">
        <v>-1</v>
      </c>
      <c r="E33" s="5" t="s">
        <v>46</v>
      </c>
      <c r="F33" s="2">
        <f t="shared" si="6"/>
        <v>10.03708</v>
      </c>
      <c r="G33" s="32">
        <f t="shared" ca="1" si="26"/>
        <v>10.03708</v>
      </c>
      <c r="H33" s="2">
        <f t="shared" si="27"/>
        <v>5.6207647999999999</v>
      </c>
      <c r="I33" s="2">
        <f t="shared" si="21"/>
        <v>11.542641999999999</v>
      </c>
      <c r="J33" s="2">
        <f t="shared" si="21"/>
        <v>1.4051912</v>
      </c>
      <c r="K33" s="10">
        <f t="shared" ca="1" si="10"/>
        <v>1.9331794144750294</v>
      </c>
      <c r="L33" s="10">
        <f t="shared" si="28"/>
        <v>7.2222222222222229E-2</v>
      </c>
      <c r="M33" s="10">
        <v>0</v>
      </c>
      <c r="N33" s="2">
        <f t="shared" ca="1" si="22"/>
        <v>10.03708</v>
      </c>
      <c r="O33" s="2">
        <f t="shared" ca="1" si="23"/>
        <v>37.110678889193096</v>
      </c>
      <c r="P33" s="2">
        <f t="shared" ca="1" si="24"/>
        <v>61.851131481988503</v>
      </c>
      <c r="Q33" s="2">
        <f>(AVERAGE(VLOOKUP(E33,weapon_components!$A$8:$M$178,9,0),VLOOKUP(E33,weapon_components!$A$8:$M$178,10,0))+VLOOKUP(E33,weapon_components!$A$8:$M$178,11,0))/10</f>
        <v>4.3499999999999996</v>
      </c>
      <c r="R33" s="32">
        <f t="shared" ca="1" si="13"/>
        <v>0.88238680833014516</v>
      </c>
      <c r="S33" s="25">
        <f t="shared" si="29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V33">
        <v>0.82</v>
      </c>
      <c r="W33" s="14" t="s">
        <v>227</v>
      </c>
      <c r="X33" s="2">
        <f t="shared" ref="X33:AP33" ca="1" si="32">$G36*(1-(X$26*(1-$K36)))</f>
        <v>13.128182731616672</v>
      </c>
      <c r="Y33" s="2">
        <f t="shared" ca="1" si="32"/>
        <v>13.727925463233342</v>
      </c>
      <c r="Z33" s="2">
        <f t="shared" ca="1" si="32"/>
        <v>14.327668194850016</v>
      </c>
      <c r="AA33" s="2">
        <f t="shared" ca="1" si="32"/>
        <v>14.927410926466687</v>
      </c>
      <c r="AB33" s="2">
        <f t="shared" ca="1" si="32"/>
        <v>15.527153658083359</v>
      </c>
      <c r="AC33" s="2">
        <f t="shared" ca="1" si="32"/>
        <v>16.126896389700029</v>
      </c>
      <c r="AD33" s="2">
        <f t="shared" ca="1" si="32"/>
        <v>16.726639121316701</v>
      </c>
      <c r="AE33" s="2">
        <f t="shared" ca="1" si="32"/>
        <v>17.326381852933373</v>
      </c>
      <c r="AF33" s="2">
        <f t="shared" ca="1" si="32"/>
        <v>17.926124584550042</v>
      </c>
      <c r="AG33" s="2">
        <f t="shared" ca="1" si="32"/>
        <v>18.525867316166714</v>
      </c>
      <c r="AH33" s="2">
        <f t="shared" ca="1" si="32"/>
        <v>19.125610047783386</v>
      </c>
      <c r="AI33" s="2">
        <f t="shared" ca="1" si="32"/>
        <v>19.725352779400058</v>
      </c>
      <c r="AJ33" s="2">
        <f t="shared" ca="1" si="32"/>
        <v>20.32509551101673</v>
      </c>
      <c r="AK33" s="2">
        <f t="shared" ca="1" si="32"/>
        <v>20.924838242633406</v>
      </c>
      <c r="AL33" s="2">
        <f t="shared" ca="1" si="32"/>
        <v>21.524580974250075</v>
      </c>
      <c r="AM33" s="2">
        <f t="shared" ca="1" si="32"/>
        <v>22.124323705866747</v>
      </c>
      <c r="AN33" s="2">
        <f t="shared" ca="1" si="32"/>
        <v>22.724066437483419</v>
      </c>
      <c r="AO33" s="2">
        <f t="shared" ca="1" si="32"/>
        <v>23.323809169100091</v>
      </c>
      <c r="AP33" s="2">
        <f t="shared" ca="1" si="32"/>
        <v>23.923551900716763</v>
      </c>
    </row>
    <row r="34" spans="1:42" x14ac:dyDescent="0.25">
      <c r="A34" s="21">
        <f t="shared" si="5"/>
        <v>1.2600000000000009E-2</v>
      </c>
      <c r="C34" s="2">
        <v>4</v>
      </c>
      <c r="D34">
        <v>0</v>
      </c>
      <c r="E34" s="5" t="s">
        <v>47</v>
      </c>
      <c r="F34" s="2">
        <f t="shared" si="6"/>
        <v>10.012600000000001</v>
      </c>
      <c r="G34" s="32">
        <f t="shared" ca="1" si="26"/>
        <v>10.012600000000001</v>
      </c>
      <c r="H34" s="2">
        <f t="shared" si="27"/>
        <v>4.8060480000000005</v>
      </c>
      <c r="I34" s="2">
        <f t="shared" si="21"/>
        <v>12.015120000000001</v>
      </c>
      <c r="J34" s="2">
        <f t="shared" si="21"/>
        <v>1.2015120000000001</v>
      </c>
      <c r="K34" s="10">
        <f t="shared" ca="1" si="10"/>
        <v>2.5247324512775791</v>
      </c>
      <c r="L34" s="10">
        <f t="shared" si="28"/>
        <v>7.2222222222222229E-2</v>
      </c>
      <c r="M34" s="10">
        <v>0</v>
      </c>
      <c r="N34" s="2">
        <f t="shared" ca="1" si="22"/>
        <v>10.012600000000001</v>
      </c>
      <c r="O34" s="2">
        <f t="shared" ca="1" si="23"/>
        <v>81.422344337843128</v>
      </c>
      <c r="P34" s="2">
        <f t="shared" ca="1" si="24"/>
        <v>135.70390722973855</v>
      </c>
      <c r="Q34" s="2">
        <f>(AVERAGE(VLOOKUP(E34,weapon_components!$A$8:$M$178,9,0),VLOOKUP(E34,weapon_components!$A$8:$M$178,10,0))+VLOOKUP(E34,weapon_components!$A$8:$M$178,11,0))/10</f>
        <v>4.3499999999999996</v>
      </c>
      <c r="R34" s="32">
        <f t="shared" ca="1" si="13"/>
        <v>0.80238680833014508</v>
      </c>
      <c r="S34" s="25">
        <f t="shared" si="29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V34">
        <v>0.8</v>
      </c>
      <c r="W34" s="14" t="s">
        <v>228</v>
      </c>
      <c r="X34" s="2">
        <f t="shared" ref="X34:AP34" ca="1" si="33">$G37*(1-(X$26*(1-$K37)))</f>
        <v>13.429757743764975</v>
      </c>
      <c r="Y34" s="2">
        <f t="shared" ca="1" si="33"/>
        <v>14.35771548752995</v>
      </c>
      <c r="Z34" s="2">
        <f t="shared" ca="1" si="33"/>
        <v>15.285673231294926</v>
      </c>
      <c r="AA34" s="2">
        <f t="shared" ca="1" si="33"/>
        <v>16.2136309750599</v>
      </c>
      <c r="AB34" s="2">
        <f t="shared" ca="1" si="33"/>
        <v>17.141588718824877</v>
      </c>
      <c r="AC34" s="2">
        <f t="shared" ca="1" si="33"/>
        <v>18.069546462589855</v>
      </c>
      <c r="AD34" s="2">
        <f t="shared" ca="1" si="33"/>
        <v>18.997504206354829</v>
      </c>
      <c r="AE34" s="2">
        <f t="shared" ca="1" si="33"/>
        <v>19.925461950119804</v>
      </c>
      <c r="AF34" s="2">
        <f t="shared" ca="1" si="33"/>
        <v>20.853419693884781</v>
      </c>
      <c r="AG34" s="2">
        <f t="shared" ca="1" si="33"/>
        <v>21.781377437649759</v>
      </c>
      <c r="AH34" s="2">
        <f t="shared" ca="1" si="33"/>
        <v>22.709335181414733</v>
      </c>
      <c r="AI34" s="2">
        <f t="shared" ca="1" si="33"/>
        <v>23.637292925179711</v>
      </c>
      <c r="AJ34" s="2">
        <f t="shared" ca="1" si="33"/>
        <v>24.565250668944685</v>
      </c>
      <c r="AK34" s="2">
        <f t="shared" ca="1" si="33"/>
        <v>25.493208412709663</v>
      </c>
      <c r="AL34" s="2">
        <f t="shared" ca="1" si="33"/>
        <v>26.421166156474641</v>
      </c>
      <c r="AM34" s="2">
        <f t="shared" ca="1" si="33"/>
        <v>27.349123900239622</v>
      </c>
      <c r="AN34" s="2">
        <f t="shared" ca="1" si="33"/>
        <v>28.277081644004596</v>
      </c>
      <c r="AO34" s="2">
        <f t="shared" ca="1" si="33"/>
        <v>29.20503938776957</v>
      </c>
      <c r="AP34" s="2">
        <f t="shared" ca="1" si="33"/>
        <v>30.132997131534548</v>
      </c>
    </row>
    <row r="35" spans="1:42" x14ac:dyDescent="0.25">
      <c r="A35" s="21">
        <f t="shared" si="5"/>
        <v>-1.1879999999999981E-2</v>
      </c>
      <c r="C35" s="2">
        <v>4</v>
      </c>
      <c r="D35">
        <v>1</v>
      </c>
      <c r="E35" s="5" t="s">
        <v>48</v>
      </c>
      <c r="F35" s="2">
        <f t="shared" si="6"/>
        <v>9.9881200000000003</v>
      </c>
      <c r="G35" s="32">
        <f t="shared" ca="1" si="26"/>
        <v>9.9881200000000021</v>
      </c>
      <c r="H35" s="2">
        <f t="shared" si="27"/>
        <v>3.9952479999999997</v>
      </c>
      <c r="I35" s="2">
        <f t="shared" si="21"/>
        <v>12.485150000000001</v>
      </c>
      <c r="J35" s="2">
        <f t="shared" si="21"/>
        <v>0.99881199999999992</v>
      </c>
      <c r="K35" s="10">
        <f t="shared" ca="1" si="10"/>
        <v>3.2473073793951084</v>
      </c>
      <c r="L35" s="10">
        <f t="shared" si="28"/>
        <v>7.2222222222222229E-2</v>
      </c>
      <c r="M35" s="10">
        <v>0</v>
      </c>
      <c r="N35" s="2">
        <f t="shared" ca="1" si="22"/>
        <v>9.9881200000000021</v>
      </c>
      <c r="O35" s="2">
        <f t="shared" ca="1" si="23"/>
        <v>180.43652582928922</v>
      </c>
      <c r="P35" s="2">
        <f t="shared" ca="1" si="24"/>
        <v>300.72754304881539</v>
      </c>
      <c r="Q35" s="2">
        <f>(AVERAGE(VLOOKUP(E35,weapon_components!$A$8:$M$178,9,0),VLOOKUP(E35,weapon_components!$A$8:$M$178,10,0))+VLOOKUP(E35,weapon_components!$A$8:$M$178,11,0))/10</f>
        <v>4.3499999999999996</v>
      </c>
      <c r="R35" s="32">
        <f t="shared" ca="1" si="13"/>
        <v>0.72238680833014501</v>
      </c>
      <c r="S35" s="25">
        <f t="shared" si="29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V35">
        <v>0.75</v>
      </c>
      <c r="W35" s="14" t="s">
        <v>229</v>
      </c>
      <c r="X35" s="2">
        <f t="shared" ref="X35:AP35" ca="1" si="34">$G38*(1-(X$26*(1-$K38)))</f>
        <v>13.802691066581087</v>
      </c>
      <c r="Y35" s="2">
        <f t="shared" ca="1" si="34"/>
        <v>15.130222133162174</v>
      </c>
      <c r="Z35" s="2">
        <f t="shared" ca="1" si="34"/>
        <v>16.457753199743259</v>
      </c>
      <c r="AA35" s="2">
        <f t="shared" ca="1" si="34"/>
        <v>17.785284266324346</v>
      </c>
      <c r="AB35" s="2">
        <f t="shared" ca="1" si="34"/>
        <v>19.112815332905434</v>
      </c>
      <c r="AC35" s="2">
        <f t="shared" ca="1" si="34"/>
        <v>20.440346399486518</v>
      </c>
      <c r="AD35" s="2">
        <f t="shared" ca="1" si="34"/>
        <v>21.767877466067606</v>
      </c>
      <c r="AE35" s="2">
        <f t="shared" ca="1" si="34"/>
        <v>23.09540853264869</v>
      </c>
      <c r="AF35" s="2">
        <f t="shared" ca="1" si="34"/>
        <v>24.422939599229775</v>
      </c>
      <c r="AG35" s="2">
        <f t="shared" ca="1" si="34"/>
        <v>25.750470665810862</v>
      </c>
      <c r="AH35" s="2">
        <f t="shared" ca="1" si="34"/>
        <v>27.078001732391954</v>
      </c>
      <c r="AI35" s="2">
        <f t="shared" ca="1" si="34"/>
        <v>28.405532798973038</v>
      </c>
      <c r="AJ35" s="2">
        <f t="shared" ca="1" si="34"/>
        <v>29.733063865554122</v>
      </c>
      <c r="AK35" s="2">
        <f t="shared" ca="1" si="34"/>
        <v>31.06059493213521</v>
      </c>
      <c r="AL35" s="2">
        <f t="shared" ca="1" si="34"/>
        <v>32.388125998716298</v>
      </c>
      <c r="AM35" s="2">
        <f t="shared" ca="1" si="34"/>
        <v>33.715657065297385</v>
      </c>
      <c r="AN35" s="2">
        <f t="shared" ca="1" si="34"/>
        <v>35.043188131878473</v>
      </c>
      <c r="AO35" s="2">
        <f t="shared" ca="1" si="34"/>
        <v>36.370719198459561</v>
      </c>
      <c r="AP35" s="2">
        <f t="shared" ca="1" si="34"/>
        <v>37.698250265040649</v>
      </c>
    </row>
    <row r="36" spans="1:42" x14ac:dyDescent="0.25">
      <c r="A36" s="21">
        <f t="shared" si="5"/>
        <v>2.8440000000000014E-2</v>
      </c>
      <c r="C36" s="2">
        <v>5</v>
      </c>
      <c r="D36">
        <v>-1</v>
      </c>
      <c r="E36" s="5" t="s">
        <v>49</v>
      </c>
      <c r="F36" s="2">
        <f t="shared" si="6"/>
        <v>12.52844</v>
      </c>
      <c r="G36" s="32">
        <f t="shared" ca="1" si="26"/>
        <v>12.52844</v>
      </c>
      <c r="H36" s="2">
        <f t="shared" si="27"/>
        <v>6.0136512</v>
      </c>
      <c r="I36" s="2">
        <f t="shared" si="21"/>
        <v>15.034127999999999</v>
      </c>
      <c r="J36" s="2">
        <f t="shared" si="21"/>
        <v>1.5034128</v>
      </c>
      <c r="K36" s="10">
        <f t="shared" ca="1" si="10"/>
        <v>1.9574100711926969</v>
      </c>
      <c r="L36" s="10">
        <f t="shared" si="28"/>
        <v>8.3333333333333329E-2</v>
      </c>
      <c r="M36" s="10">
        <v>0</v>
      </c>
      <c r="N36" s="2">
        <f t="shared" ca="1" si="22"/>
        <v>12.52844</v>
      </c>
      <c r="O36" s="2">
        <f t="shared" ca="1" si="23"/>
        <v>46.290825386871191</v>
      </c>
      <c r="P36" s="2">
        <f t="shared" ca="1" si="24"/>
        <v>77.151375644785318</v>
      </c>
      <c r="Q36" s="2">
        <f>(AVERAGE(VLOOKUP(E36,weapon_components!$A$8:$M$178,9,0),VLOOKUP(E36,weapon_components!$A$8:$M$178,10,0))+VLOOKUP(E36,weapon_components!$A$8:$M$178,11,0))/10</f>
        <v>4.3499999999999996</v>
      </c>
      <c r="R36" s="32">
        <f t="shared" ca="1" si="13"/>
        <v>0.88298351041268142</v>
      </c>
      <c r="S36" s="25">
        <f t="shared" si="29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V36">
        <v>0.82</v>
      </c>
      <c r="W36" s="14" t="s">
        <v>230</v>
      </c>
      <c r="X36" s="2">
        <f ca="1">($G27*(1-(X$26*(1-$K27))))/2</f>
        <v>11.117046239405873</v>
      </c>
      <c r="Y36" s="2">
        <f t="shared" ref="Y36:AP36" ca="1" si="35">($G27*(1-(Y$26*(1-$K27))))/2</f>
        <v>12.240032478811747</v>
      </c>
      <c r="Z36" s="2">
        <f t="shared" ca="1" si="35"/>
        <v>13.363018718217623</v>
      </c>
      <c r="AA36" s="2">
        <f t="shared" ca="1" si="35"/>
        <v>14.486004957623496</v>
      </c>
      <c r="AB36" s="2">
        <f t="shared" ca="1" si="35"/>
        <v>15.608991197029368</v>
      </c>
      <c r="AC36" s="2">
        <f t="shared" ca="1" si="35"/>
        <v>16.731977436435244</v>
      </c>
      <c r="AD36" s="2">
        <f t="shared" ca="1" si="35"/>
        <v>17.854963675841116</v>
      </c>
      <c r="AE36" s="2">
        <f t="shared" ca="1" si="35"/>
        <v>18.977949915246992</v>
      </c>
      <c r="AF36" s="2">
        <f t="shared" ca="1" si="35"/>
        <v>20.100936154652864</v>
      </c>
      <c r="AG36" s="2">
        <f t="shared" ca="1" si="35"/>
        <v>21.223922394058736</v>
      </c>
      <c r="AH36" s="2">
        <f t="shared" ca="1" si="35"/>
        <v>22.346908633464615</v>
      </c>
      <c r="AI36" s="2">
        <f t="shared" ca="1" si="35"/>
        <v>23.469894872870491</v>
      </c>
      <c r="AJ36" s="2">
        <f t="shared" ca="1" si="35"/>
        <v>24.592881112276363</v>
      </c>
      <c r="AK36" s="2">
        <f t="shared" ca="1" si="35"/>
        <v>25.715867351682235</v>
      </c>
      <c r="AL36" s="2">
        <f t="shared" ca="1" si="35"/>
        <v>26.83885359108811</v>
      </c>
      <c r="AM36" s="2">
        <f t="shared" ca="1" si="35"/>
        <v>27.961839830493986</v>
      </c>
      <c r="AN36" s="2">
        <f t="shared" ca="1" si="35"/>
        <v>29.084826069899862</v>
      </c>
      <c r="AO36" s="2">
        <f t="shared" ca="1" si="35"/>
        <v>30.207812309305734</v>
      </c>
      <c r="AP36" s="2">
        <f t="shared" ca="1" si="35"/>
        <v>31.330798548711613</v>
      </c>
    </row>
    <row r="37" spans="1:42" x14ac:dyDescent="0.25">
      <c r="A37" s="21">
        <f t="shared" si="5"/>
        <v>1.8000000000000043E-3</v>
      </c>
      <c r="C37" s="2">
        <v>5</v>
      </c>
      <c r="D37">
        <v>0</v>
      </c>
      <c r="E37" s="5" t="s">
        <v>50</v>
      </c>
      <c r="F37" s="2">
        <f t="shared" si="6"/>
        <v>12.501799999999999</v>
      </c>
      <c r="G37" s="32">
        <f t="shared" ca="1" si="26"/>
        <v>12.501799999999998</v>
      </c>
      <c r="H37" s="2">
        <f t="shared" si="27"/>
        <v>5.0007199999999994</v>
      </c>
      <c r="I37" s="2">
        <f t="shared" si="21"/>
        <v>15.62725</v>
      </c>
      <c r="J37" s="2">
        <f t="shared" si="21"/>
        <v>1.2501799999999998</v>
      </c>
      <c r="K37" s="10">
        <f t="shared" ca="1" si="10"/>
        <v>2.4845186193427766</v>
      </c>
      <c r="L37" s="10">
        <f t="shared" si="28"/>
        <v>8.3333333333333329E-2</v>
      </c>
      <c r="M37" s="10">
        <v>0</v>
      </c>
      <c r="N37" s="2">
        <f t="shared" ca="1" si="22"/>
        <v>12.501799999999998</v>
      </c>
      <c r="O37" s="2">
        <f t="shared" ca="1" si="23"/>
        <v>101.58894166839877</v>
      </c>
      <c r="P37" s="2">
        <f t="shared" ca="1" si="24"/>
        <v>169.31490278066462</v>
      </c>
      <c r="Q37" s="2">
        <f>(AVERAGE(VLOOKUP(E37,weapon_components!$A$8:$M$178,9,0),VLOOKUP(E37,weapon_components!$A$8:$M$178,10,0))+VLOOKUP(E37,weapon_components!$A$8:$M$178,11,0))/10</f>
        <v>4.3499999999999996</v>
      </c>
      <c r="R37" s="32">
        <f t="shared" ca="1" si="13"/>
        <v>0.80298351041268146</v>
      </c>
      <c r="S37" s="25">
        <f t="shared" si="29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V37">
        <v>0.8</v>
      </c>
      <c r="W37" s="14" t="s">
        <v>231</v>
      </c>
      <c r="X37" s="2">
        <f ca="1">($G28*(1-(X$26*(1-$K28))))/2</f>
        <v>13.816432727854121</v>
      </c>
      <c r="Y37" s="2">
        <f t="shared" ref="Y37:AP37" ca="1" si="36">($G28*(1-(Y$26*(1-$K28))))/2</f>
        <v>15.145285455708246</v>
      </c>
      <c r="Z37" s="2">
        <f t="shared" ca="1" si="36"/>
        <v>16.474138183562367</v>
      </c>
      <c r="AA37" s="2">
        <f t="shared" ca="1" si="36"/>
        <v>17.80299091141649</v>
      </c>
      <c r="AB37" s="2">
        <f t="shared" ca="1" si="36"/>
        <v>19.131843639270617</v>
      </c>
      <c r="AC37" s="2">
        <f t="shared" ca="1" si="36"/>
        <v>20.460696367124736</v>
      </c>
      <c r="AD37" s="2">
        <f t="shared" ca="1" si="36"/>
        <v>21.78954909497886</v>
      </c>
      <c r="AE37" s="2">
        <f t="shared" ca="1" si="36"/>
        <v>23.118401822832983</v>
      </c>
      <c r="AF37" s="2">
        <f t="shared" ca="1" si="36"/>
        <v>24.447254550687102</v>
      </c>
      <c r="AG37" s="2">
        <f t="shared" ca="1" si="36"/>
        <v>25.776107278541225</v>
      </c>
      <c r="AH37" s="2">
        <f t="shared" ca="1" si="36"/>
        <v>27.104960006395352</v>
      </c>
      <c r="AI37" s="2">
        <f t="shared" ca="1" si="36"/>
        <v>28.433812734249475</v>
      </c>
      <c r="AJ37" s="2">
        <f t="shared" ca="1" si="36"/>
        <v>29.762665462103598</v>
      </c>
      <c r="AK37" s="2">
        <f t="shared" ca="1" si="36"/>
        <v>31.091518189957721</v>
      </c>
      <c r="AL37" s="2">
        <f t="shared" ca="1" si="36"/>
        <v>32.420370917811844</v>
      </c>
      <c r="AM37" s="2">
        <f t="shared" ca="1" si="36"/>
        <v>33.749223645665971</v>
      </c>
      <c r="AN37" s="2">
        <f t="shared" ca="1" si="36"/>
        <v>35.078076373520098</v>
      </c>
      <c r="AO37" s="2">
        <f t="shared" ca="1" si="36"/>
        <v>36.406929101374217</v>
      </c>
      <c r="AP37" s="2">
        <f t="shared" ca="1" si="36"/>
        <v>37.735781829228344</v>
      </c>
    </row>
    <row r="38" spans="1:42" x14ac:dyDescent="0.25">
      <c r="A38" s="21">
        <f t="shared" si="5"/>
        <v>-2.4840000000000004E-2</v>
      </c>
      <c r="C38" s="2">
        <v>5</v>
      </c>
      <c r="D38">
        <v>1</v>
      </c>
      <c r="E38" s="5" t="s">
        <v>51</v>
      </c>
      <c r="F38" s="2">
        <f t="shared" si="6"/>
        <v>12.475160000000001</v>
      </c>
      <c r="G38" s="32">
        <f t="shared" ca="1" si="26"/>
        <v>12.475160000000001</v>
      </c>
      <c r="H38" s="2">
        <f t="shared" si="27"/>
        <v>3.9920511999999997</v>
      </c>
      <c r="I38" s="2">
        <f t="shared" si="21"/>
        <v>16.217708000000002</v>
      </c>
      <c r="J38" s="2">
        <f t="shared" si="21"/>
        <v>0.99801279999999992</v>
      </c>
      <c r="K38" s="10">
        <f t="shared" ca="1" si="10"/>
        <v>3.1282790226034556</v>
      </c>
      <c r="L38" s="10">
        <f t="shared" si="28"/>
        <v>8.3333333333333329E-2</v>
      </c>
      <c r="M38" s="10">
        <v>0</v>
      </c>
      <c r="N38" s="2">
        <f t="shared" ca="1" si="22"/>
        <v>12.475160000000001</v>
      </c>
      <c r="O38" s="2">
        <f t="shared" ca="1" si="23"/>
        <v>225.17918549355676</v>
      </c>
      <c r="P38" s="2">
        <f t="shared" ca="1" si="24"/>
        <v>375.29864248926123</v>
      </c>
      <c r="Q38" s="2">
        <f>(AVERAGE(VLOOKUP(E38,weapon_components!$A$8:$M$178,9,0),VLOOKUP(E38,weapon_components!$A$8:$M$178,10,0))+VLOOKUP(E38,weapon_components!$A$8:$M$178,11,0))/10</f>
        <v>4.3499999999999996</v>
      </c>
      <c r="R38" s="32">
        <f t="shared" ca="1" si="13"/>
        <v>0.72298351041268138</v>
      </c>
      <c r="S38" s="25">
        <f t="shared" si="29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V38">
        <v>0.75</v>
      </c>
      <c r="W38" s="2"/>
    </row>
    <row r="39" spans="1:42" x14ac:dyDescent="0.25">
      <c r="A39" s="21">
        <f t="shared" si="5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V39" t="s">
        <v>247</v>
      </c>
      <c r="W39" s="2"/>
    </row>
    <row r="40" spans="1:42" x14ac:dyDescent="0.25">
      <c r="A40" s="21">
        <f t="shared" si="5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6"/>
        <v>19.988119999999999</v>
      </c>
      <c r="G40" s="32">
        <f ca="1">IF(G$39=1,H40,H40/(R40-INDEX($O$2:$O$6,C40)))</f>
        <v>36.872289836076867</v>
      </c>
      <c r="H40" s="2">
        <f>$F40*(INDEX($F$3:$F$5,H$39)+(($C40+($D40*$F$7))*INDEX($G$3:$G$5,H$39)))</f>
        <v>24.985149999999997</v>
      </c>
      <c r="I40" s="2">
        <f t="shared" ref="I40:J41" si="37">$F40*(INDEX($F$3:$F$5,I$39)+(($C40+($D40*$F$7))*INDEX($G$3:$G$5,I$39)))</f>
        <v>7.9952479999999984</v>
      </c>
      <c r="J40" s="2">
        <f t="shared" si="37"/>
        <v>1.9988119999999996</v>
      </c>
      <c r="K40" s="10">
        <f t="shared" ca="1" si="10"/>
        <v>-1.4097347035866044</v>
      </c>
      <c r="L40" s="10">
        <f>(INDEX($Q$2:$Q$6,C40)/((1/INDEX($F$4:$F$6,J$39))-1))</f>
        <v>7.2222222222222229E-2</v>
      </c>
      <c r="M40" s="10">
        <v>0</v>
      </c>
      <c r="N40" s="2">
        <f ca="1">((AVERAGE(O40,P40)*R40)/Q40)/INDEX($R$1:$R$3,D40+2)</f>
        <v>36.872289836076867</v>
      </c>
      <c r="O40" s="2">
        <f ca="1">0.75*(((G40*INDEX($R$1:$R$3,$D40+2))*Q40)/R40)</f>
        <v>730.07133875432191</v>
      </c>
      <c r="P40" s="2">
        <f ca="1">1.25*(((G40*INDEX($R$1:$R$3,$D40+2))*Q40)/R40)</f>
        <v>1216.7855645905365</v>
      </c>
      <c r="Q40" s="2">
        <f>(AVERAGE(VLOOKUP(E40,weapon_components!$A$8:$M$178,9,0),VLOOKUP(E40,weapon_components!$A$8:$M$178,10,0))+VLOOKUP(E40,weapon_components!$A$8:$M$178,11,0))/10</f>
        <v>6.6</v>
      </c>
      <c r="R40" s="32">
        <f t="shared" ca="1" si="13"/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V40">
        <v>1</v>
      </c>
      <c r="W40" s="2"/>
    </row>
    <row r="41" spans="1:42" x14ac:dyDescent="0.25">
      <c r="A41" s="21">
        <f t="shared" si="5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6"/>
        <v>24.975159999999999</v>
      </c>
      <c r="G41" s="32">
        <f ca="1">IF(G$39=1,H41,H41/(R41-INDEX($O$2:$O$6,C41)))</f>
        <v>54.383268412641279</v>
      </c>
      <c r="H41" s="2">
        <f>$F41*(INDEX($F$3:$F$5,H$39)+(($C41+($D41*$F$7))*INDEX($G$3:$G$5,H$39)))</f>
        <v>32.467708000000002</v>
      </c>
      <c r="I41" s="2">
        <f t="shared" si="37"/>
        <v>7.9920511999999988</v>
      </c>
      <c r="J41" s="2">
        <f t="shared" si="37"/>
        <v>1.9980127999999997</v>
      </c>
      <c r="K41" s="10">
        <f t="shared" ca="1" si="10"/>
        <v>-1.2747789196555037</v>
      </c>
      <c r="L41" s="10">
        <f>(INDEX($Q$2:$Q$6,C41)/((1/INDEX($F$4:$F$6,J$39))-1))</f>
        <v>8.3333333333333329E-2</v>
      </c>
      <c r="M41" s="10">
        <v>0</v>
      </c>
      <c r="N41" s="2">
        <f ca="1">((AVERAGE(O41,P41)*R41)/Q41)/INDEX($R$1:$R$3,D41+2)</f>
        <v>54.383268412641279</v>
      </c>
      <c r="O41" s="2">
        <f ca="1">0.75*(((G41*INDEX($R$1:$R$3,$D41+2))*Q41)/R41)</f>
        <v>1076.7887145702971</v>
      </c>
      <c r="P41" s="2">
        <f ca="1">1.25*(((G41*INDEX($R$1:$R$3,$D41+2))*Q41)/R41)</f>
        <v>1794.6478576171621</v>
      </c>
      <c r="Q41" s="2">
        <f>(AVERAGE(VLOOKUP(E41,weapon_components!$A$8:$M$178,9,0),VLOOKUP(E41,weapon_components!$A$8:$M$178,10,0))+VLOOKUP(E41,weapon_components!$A$8:$M$178,11,0))/10</f>
        <v>6.6</v>
      </c>
      <c r="R41" s="32">
        <f t="shared" ca="1" si="13"/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V41">
        <v>1</v>
      </c>
      <c r="W41" s="2"/>
    </row>
    <row r="42" spans="1:42" x14ac:dyDescent="0.25">
      <c r="A42" s="21">
        <f t="shared" si="5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V42" t="s">
        <v>247</v>
      </c>
      <c r="W42" s="2"/>
    </row>
    <row r="43" spans="1:42" x14ac:dyDescent="0.25">
      <c r="A43" s="21">
        <f t="shared" si="5"/>
        <v>6.8040000000000003E-2</v>
      </c>
      <c r="C43" s="2">
        <v>3</v>
      </c>
      <c r="D43" s="2">
        <v>1</v>
      </c>
      <c r="E43" s="5" t="s">
        <v>56</v>
      </c>
      <c r="F43" s="2">
        <f t="shared" si="6"/>
        <v>7.5680399999999999</v>
      </c>
      <c r="G43" s="32">
        <f ca="1">IF(G$42=1,H43,H43/(R43-INDEX($O$2:$O$6,C43)))</f>
        <v>7.568039999999999</v>
      </c>
      <c r="H43" s="2">
        <f>$F43*(INDEX($F$3:$F$5,H$42)+(($C43+($D43*$F$7))*INDEX($G$3:$G$5,H$42)))</f>
        <v>3.6326592</v>
      </c>
      <c r="I43" s="2">
        <f>$F43*(INDEX($F$3:$F$5,I$42)+(($C43+($D43*$F$7))*INDEX($G$3:$G$5,I$42)))</f>
        <v>0.90816479999999999</v>
      </c>
      <c r="J43" s="2">
        <f t="shared" ref="I43:J51" si="38">$F43*(INDEX($F$3:$F$5,J$42)+(($C43+($D43*$F$7))*INDEX($G$3:$G$5,J$42)))</f>
        <v>9.0816479999999995</v>
      </c>
      <c r="K43" s="10">
        <f t="shared" ca="1" si="10"/>
        <v>-1.7791556069587071</v>
      </c>
      <c r="L43" s="10">
        <f>(INDEX($Q$2:$Q$6,C43)/((1/INDEX($F$4:$F$6,J$42))-1))</f>
        <v>2.4</v>
      </c>
      <c r="M43" s="10">
        <v>0</v>
      </c>
      <c r="N43" s="2">
        <f ca="1">((AVERAGE(O43,P43)*R43)/Q43)/INDEX($R$1:$R$3,D43)</f>
        <v>30.272159999999996</v>
      </c>
      <c r="O43" s="2">
        <f ca="1">0.75*(((G43*INDEX($R$1:$R$3,$D43+2))*Q43)/R43)</f>
        <v>113.23905840843015</v>
      </c>
      <c r="P43" s="2">
        <f ca="1">1.25*(((G43*INDEX($R$1:$R$3,$D43+2))*Q43)/R43)</f>
        <v>188.73176401405027</v>
      </c>
      <c r="Q43" s="2">
        <f>(AVERAGE(VLOOKUP(E43,weapon_components!$A$8:$M$178,9,0),VLOOKUP(E43,weapon_components!$A$8:$M$178,10,0))+VLOOKUP(E43,weapon_components!$A$8:$M$178,11,0))/10</f>
        <v>3.6</v>
      </c>
      <c r="R43" s="32">
        <f t="shared" ca="1" si="13"/>
        <v>0.72179010624760886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V43">
        <v>0.82</v>
      </c>
      <c r="W43" s="2"/>
    </row>
    <row r="44" spans="1:42" x14ac:dyDescent="0.25">
      <c r="A44" s="21">
        <f t="shared" si="5"/>
        <v>5.6880000000000007E-2</v>
      </c>
      <c r="C44" s="2">
        <v>3</v>
      </c>
      <c r="D44" s="2">
        <v>2</v>
      </c>
      <c r="E44" s="5" t="s">
        <v>57</v>
      </c>
      <c r="F44" s="2">
        <f t="shared" si="6"/>
        <v>7.5568799999999996</v>
      </c>
      <c r="G44" s="32">
        <f t="shared" ref="G44:G51" ca="1" si="39">IF(G$42=1,H44,H44/(R44-INDEX($O$2:$O$6,C44)))</f>
        <v>7.5568799999999996</v>
      </c>
      <c r="H44" s="2">
        <f t="shared" ref="H44:H51" si="40">$F44*(INDEX($F$3:$F$5,H$42)+(($C44+($D44*$F$7))*INDEX($G$3:$G$5,H$42)))</f>
        <v>3.0227519999999997</v>
      </c>
      <c r="I44" s="2">
        <f t="shared" si="38"/>
        <v>0.75568799999999992</v>
      </c>
      <c r="J44" s="2">
        <f t="shared" si="38"/>
        <v>9.4460999999999995</v>
      </c>
      <c r="K44" s="10">
        <f t="shared" ca="1" si="10"/>
        <v>-1.8139527288515156</v>
      </c>
      <c r="L44" s="10">
        <f t="shared" ref="L44:L51" si="41">(INDEX($Q$2:$Q$6,C44)/((1/INDEX($F$4:$F$6,J$42))-1))</f>
        <v>2.4</v>
      </c>
      <c r="M44" s="10">
        <v>0</v>
      </c>
      <c r="N44" s="2">
        <f t="shared" ref="N44:N51" ca="1" si="42">((AVERAGE(O44,P44)*R44)/Q44)/INDEX($R$1:$R$3,D44)</f>
        <v>7.5568799999999996</v>
      </c>
      <c r="O44" s="2">
        <f ca="1">0.75*(((G44*INDEX($R$1:$R$3,$D44))*Q44)/R44)</f>
        <v>63.583329818824296</v>
      </c>
      <c r="P44" s="2">
        <f ca="1">1.25*(((G44*INDEX($R$1:$R$3,$D44))*Q44)/R44)</f>
        <v>105.97221636470715</v>
      </c>
      <c r="Q44" s="2">
        <f>(AVERAGE(VLOOKUP(E44,weapon_components!$A$8:$M$178,9,0),VLOOKUP(E44,weapon_components!$A$8:$M$178,10,0))+VLOOKUP(E44,weapon_components!$A$8:$M$178,11,0))/10</f>
        <v>3.6</v>
      </c>
      <c r="R44" s="32">
        <f t="shared" ca="1" si="13"/>
        <v>0.64179010624760879</v>
      </c>
      <c r="S44" s="25">
        <f t="shared" ref="S44:S51" si="43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V44">
        <v>0.8</v>
      </c>
      <c r="W44" s="2"/>
    </row>
    <row r="45" spans="1:42" x14ac:dyDescent="0.25">
      <c r="A45" s="21">
        <f t="shared" si="5"/>
        <v>4.5720000000000004E-2</v>
      </c>
      <c r="C45" s="2">
        <v>3</v>
      </c>
      <c r="D45" s="2">
        <v>3</v>
      </c>
      <c r="E45" s="5" t="s">
        <v>58</v>
      </c>
      <c r="F45" s="2">
        <f t="shared" si="6"/>
        <v>7.5457200000000002</v>
      </c>
      <c r="G45" s="32">
        <f t="shared" ca="1" si="39"/>
        <v>7.5457200000000011</v>
      </c>
      <c r="H45" s="2">
        <f t="shared" si="40"/>
        <v>2.4146303999999996</v>
      </c>
      <c r="I45" s="2">
        <f t="shared" si="38"/>
        <v>0.60365759999999991</v>
      </c>
      <c r="J45" s="2">
        <f t="shared" si="38"/>
        <v>9.8094359999999998</v>
      </c>
      <c r="K45" s="10">
        <f t="shared" ca="1" si="10"/>
        <v>-1.8586602059480439</v>
      </c>
      <c r="L45" s="10">
        <f t="shared" si="41"/>
        <v>2.4</v>
      </c>
      <c r="M45" s="10">
        <v>0</v>
      </c>
      <c r="N45" s="2">
        <f t="shared" ca="1" si="42"/>
        <v>7.5457200000000011</v>
      </c>
      <c r="O45" s="2">
        <f t="shared" ref="O45:O51" ca="1" si="44">0.75*(((G45*INDEX($R$1:$R$3,$D45))*Q45)/R45)</f>
        <v>145.06089568633607</v>
      </c>
      <c r="P45" s="2">
        <f ca="1">1.25*(((G45*INDEX($R$1:$R$3,$D45))*Q45)/R45)</f>
        <v>241.76815947722676</v>
      </c>
      <c r="Q45" s="2">
        <f>(AVERAGE(VLOOKUP(E45,weapon_components!$A$8:$M$178,9,0),VLOOKUP(E45,weapon_components!$A$8:$M$178,10,0))+VLOOKUP(E45,weapon_components!$A$8:$M$178,11,0))/10</f>
        <v>3.6</v>
      </c>
      <c r="R45" s="32">
        <f t="shared" ca="1" si="13"/>
        <v>0.56179010624760872</v>
      </c>
      <c r="S45" s="25">
        <f t="shared" si="43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V45">
        <v>0.75</v>
      </c>
      <c r="W45" s="2"/>
    </row>
    <row r="46" spans="1:42" x14ac:dyDescent="0.25">
      <c r="A46" s="21">
        <f t="shared" si="5"/>
        <v>6.1560000000000011E-2</v>
      </c>
      <c r="C46" s="2">
        <v>4</v>
      </c>
      <c r="D46" s="2">
        <v>1</v>
      </c>
      <c r="E46" s="5" t="s">
        <v>59</v>
      </c>
      <c r="F46" s="2">
        <f t="shared" si="6"/>
        <v>10.06156</v>
      </c>
      <c r="G46" s="32">
        <f t="shared" ca="1" si="39"/>
        <v>10.06156</v>
      </c>
      <c r="H46" s="2">
        <f t="shared" si="40"/>
        <v>4.0246239999999993</v>
      </c>
      <c r="I46" s="2">
        <f t="shared" si="38"/>
        <v>1.0061559999999998</v>
      </c>
      <c r="J46" s="2">
        <f t="shared" si="38"/>
        <v>12.57695</v>
      </c>
      <c r="K46" s="10">
        <f t="shared" ca="1" si="10"/>
        <v>-1.6509846404176218</v>
      </c>
      <c r="L46" s="10">
        <f t="shared" si="41"/>
        <v>2.6</v>
      </c>
      <c r="M46" s="10">
        <v>0</v>
      </c>
      <c r="N46" s="2">
        <f t="shared" ca="1" si="42"/>
        <v>10.061560000000002</v>
      </c>
      <c r="O46" s="2">
        <f t="shared" ca="1" si="44"/>
        <v>37.60618506143112</v>
      </c>
      <c r="P46" s="2">
        <f t="shared" ref="P46:P51" ca="1" si="45">1.25*(((G46*INDEX($R$1:$R$3,$D46))*Q46)/R46)</f>
        <v>62.6769751023852</v>
      </c>
      <c r="Q46" s="2">
        <f>(AVERAGE(VLOOKUP(E46,weapon_components!$A$8:$M$178,9,0),VLOOKUP(E46,weapon_components!$A$8:$M$178,10,0))+VLOOKUP(E46,weapon_components!$A$8:$M$178,11,0))/10</f>
        <v>3.6</v>
      </c>
      <c r="R46" s="32">
        <f t="shared" ca="1" si="13"/>
        <v>0.72238680833014501</v>
      </c>
      <c r="S46" s="25">
        <f t="shared" si="43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V46">
        <v>0.82</v>
      </c>
      <c r="W46" s="2"/>
    </row>
    <row r="47" spans="1:42" x14ac:dyDescent="0.25">
      <c r="A47" s="21">
        <f t="shared" si="5"/>
        <v>4.9320000000000003E-2</v>
      </c>
      <c r="C47" s="2">
        <v>4</v>
      </c>
      <c r="D47" s="2">
        <v>2</v>
      </c>
      <c r="E47" s="5" t="s">
        <v>60</v>
      </c>
      <c r="F47" s="2">
        <f t="shared" si="6"/>
        <v>10.04932</v>
      </c>
      <c r="G47" s="32">
        <f t="shared" ca="1" si="39"/>
        <v>10.04932</v>
      </c>
      <c r="H47" s="2">
        <f t="shared" si="40"/>
        <v>3.2157823999999993</v>
      </c>
      <c r="I47" s="2">
        <f t="shared" si="38"/>
        <v>0.80394559999999982</v>
      </c>
      <c r="J47" s="2">
        <f t="shared" si="38"/>
        <v>13.064116</v>
      </c>
      <c r="K47" s="10">
        <f t="shared" ca="1" si="10"/>
        <v>-1.6937367428298975</v>
      </c>
      <c r="L47" s="10">
        <f t="shared" si="41"/>
        <v>2.6</v>
      </c>
      <c r="M47" s="10">
        <v>0</v>
      </c>
      <c r="N47" s="2">
        <f t="shared" ca="1" si="42"/>
        <v>10.04932</v>
      </c>
      <c r="O47" s="2">
        <f t="shared" ca="1" si="44"/>
        <v>84.476093369760846</v>
      </c>
      <c r="P47" s="2">
        <f t="shared" ca="1" si="45"/>
        <v>140.7934889496014</v>
      </c>
      <c r="Q47" s="2">
        <f>(AVERAGE(VLOOKUP(E47,weapon_components!$A$8:$M$178,9,0),VLOOKUP(E47,weapon_components!$A$8:$M$178,10,0))+VLOOKUP(E47,weapon_components!$A$8:$M$178,11,0))/10</f>
        <v>3.6</v>
      </c>
      <c r="R47" s="32">
        <f t="shared" ca="1" si="13"/>
        <v>0.64238680833014505</v>
      </c>
      <c r="S47" s="25">
        <f t="shared" si="43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V47">
        <v>0.8</v>
      </c>
      <c r="W47" s="14"/>
    </row>
    <row r="48" spans="1:42" x14ac:dyDescent="0.25">
      <c r="A48" s="21">
        <f t="shared" si="5"/>
        <v>3.7080000000000002E-2</v>
      </c>
      <c r="C48" s="2">
        <v>4</v>
      </c>
      <c r="D48" s="2">
        <v>3</v>
      </c>
      <c r="E48" s="5" t="s">
        <v>61</v>
      </c>
      <c r="F48" s="2">
        <f t="shared" si="6"/>
        <v>10.03708</v>
      </c>
      <c r="G48" s="32">
        <f ca="1">IF(G$42=1,H48,H48/(R48-INDEX($O$2:$O$6,C48)))</f>
        <v>10.037080000000001</v>
      </c>
      <c r="H48" s="2">
        <f t="shared" si="40"/>
        <v>2.4088992</v>
      </c>
      <c r="I48" s="2">
        <f t="shared" si="38"/>
        <v>0.6022248</v>
      </c>
      <c r="J48" s="2">
        <f t="shared" si="38"/>
        <v>13.550058</v>
      </c>
      <c r="K48" s="10">
        <f t="shared" ca="1" si="10"/>
        <v>-1.748651890826892</v>
      </c>
      <c r="L48" s="10">
        <f t="shared" si="41"/>
        <v>2.6</v>
      </c>
      <c r="M48" s="10">
        <v>0</v>
      </c>
      <c r="N48" s="2">
        <f t="shared" ca="1" si="42"/>
        <v>10.037080000000001</v>
      </c>
      <c r="O48" s="2">
        <f t="shared" ca="1" si="44"/>
        <v>192.75072315772442</v>
      </c>
      <c r="P48" s="2">
        <f t="shared" ca="1" si="45"/>
        <v>321.25120526287401</v>
      </c>
      <c r="Q48" s="2">
        <f>(AVERAGE(VLOOKUP(E48,weapon_components!$A$8:$M$178,9,0),VLOOKUP(E48,weapon_components!$A$8:$M$178,10,0))+VLOOKUP(E48,weapon_components!$A$8:$M$178,11,0))/10</f>
        <v>3.6</v>
      </c>
      <c r="R48" s="32">
        <f t="shared" ca="1" si="13"/>
        <v>0.56238680833014509</v>
      </c>
      <c r="S48" s="25">
        <f t="shared" si="43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  <c r="V48">
        <v>0.75</v>
      </c>
    </row>
    <row r="49" spans="1:24" x14ac:dyDescent="0.25">
      <c r="A49" s="21">
        <f t="shared" si="5"/>
        <v>5.5079999999999997E-2</v>
      </c>
      <c r="C49" s="2">
        <v>5</v>
      </c>
      <c r="D49" s="2">
        <v>1</v>
      </c>
      <c r="E49" s="5" t="s">
        <v>62</v>
      </c>
      <c r="F49" s="2">
        <f t="shared" si="6"/>
        <v>12.55508</v>
      </c>
      <c r="G49" s="32">
        <f t="shared" ca="1" si="39"/>
        <v>12.55508</v>
      </c>
      <c r="H49" s="2">
        <f t="shared" si="40"/>
        <v>4.0176255999999997</v>
      </c>
      <c r="I49" s="2">
        <f t="shared" si="38"/>
        <v>1.0044063999999999</v>
      </c>
      <c r="J49" s="2">
        <f t="shared" si="38"/>
        <v>16.321604000000001</v>
      </c>
      <c r="K49" s="10">
        <f t="shared" ca="1" si="10"/>
        <v>-1.3715930857885055</v>
      </c>
      <c r="L49" s="10">
        <f t="shared" si="41"/>
        <v>3</v>
      </c>
      <c r="M49" s="10">
        <v>0</v>
      </c>
      <c r="N49" s="2">
        <f t="shared" ca="1" si="42"/>
        <v>12.55508</v>
      </c>
      <c r="O49" s="2">
        <f t="shared" ca="1" si="44"/>
        <v>46.887260237305419</v>
      </c>
      <c r="P49" s="2">
        <f t="shared" ca="1" si="45"/>
        <v>78.145433728842363</v>
      </c>
      <c r="Q49" s="2">
        <f>(AVERAGE(VLOOKUP(E49,weapon_components!$A$8:$M$178,9,0),VLOOKUP(E49,weapon_components!$A$8:$M$178,10,0))+VLOOKUP(E49,weapon_components!$A$8:$M$178,11,0))/10</f>
        <v>3.6</v>
      </c>
      <c r="R49" s="32">
        <f t="shared" ca="1" si="13"/>
        <v>0.72298351041268138</v>
      </c>
      <c r="S49" s="25">
        <f t="shared" si="43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  <c r="V49">
        <v>0.82</v>
      </c>
    </row>
    <row r="50" spans="1:24" x14ac:dyDescent="0.25">
      <c r="A50" s="21">
        <f t="shared" si="5"/>
        <v>4.1760000000000005E-2</v>
      </c>
      <c r="C50" s="2">
        <v>5</v>
      </c>
      <c r="D50" s="2">
        <v>2</v>
      </c>
      <c r="E50" s="5" t="s">
        <v>63</v>
      </c>
      <c r="F50" s="2">
        <f t="shared" si="6"/>
        <v>12.54176</v>
      </c>
      <c r="G50" s="32">
        <f t="shared" ca="1" si="39"/>
        <v>12.54176</v>
      </c>
      <c r="H50" s="2">
        <f t="shared" si="40"/>
        <v>3.0100224</v>
      </c>
      <c r="I50" s="2">
        <f t="shared" si="38"/>
        <v>0.7525056</v>
      </c>
      <c r="J50" s="2">
        <f t="shared" si="38"/>
        <v>16.931376</v>
      </c>
      <c r="K50" s="10">
        <f t="shared" ca="1" si="10"/>
        <v>-1.4178266926876941</v>
      </c>
      <c r="L50" s="10">
        <f t="shared" si="41"/>
        <v>3</v>
      </c>
      <c r="M50" s="10">
        <v>0</v>
      </c>
      <c r="N50" s="2">
        <f t="shared" ca="1" si="42"/>
        <v>12.541759999999998</v>
      </c>
      <c r="O50" s="2">
        <f t="shared" ca="1" si="44"/>
        <v>105.33007908170495</v>
      </c>
      <c r="P50" s="2">
        <f t="shared" ca="1" si="45"/>
        <v>175.55013180284161</v>
      </c>
      <c r="Q50" s="2">
        <f>(AVERAGE(VLOOKUP(E50,weapon_components!$A$8:$M$178,9,0),VLOOKUP(E50,weapon_components!$A$8:$M$178,10,0))+VLOOKUP(E50,weapon_components!$A$8:$M$178,11,0))/10</f>
        <v>3.6</v>
      </c>
      <c r="R50" s="32">
        <f t="shared" ca="1" si="13"/>
        <v>0.64298351041268142</v>
      </c>
      <c r="S50" s="25">
        <f t="shared" si="43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  <c r="V50">
        <v>0.8</v>
      </c>
    </row>
    <row r="51" spans="1:24" x14ac:dyDescent="0.25">
      <c r="A51" s="21">
        <f t="shared" si="5"/>
        <v>2.8440000000000014E-2</v>
      </c>
      <c r="C51" s="2">
        <v>5</v>
      </c>
      <c r="D51" s="2">
        <v>3</v>
      </c>
      <c r="E51" s="5" t="s">
        <v>64</v>
      </c>
      <c r="F51" s="2">
        <f t="shared" si="6"/>
        <v>12.52844</v>
      </c>
      <c r="G51" s="32">
        <f t="shared" ca="1" si="39"/>
        <v>12.52844</v>
      </c>
      <c r="H51" s="2">
        <f t="shared" si="40"/>
        <v>2.004550399999999</v>
      </c>
      <c r="I51" s="2">
        <f t="shared" si="38"/>
        <v>0.50113759999999974</v>
      </c>
      <c r="J51" s="2">
        <f t="shared" si="38"/>
        <v>17.539815999999998</v>
      </c>
      <c r="K51" s="10">
        <f t="shared" ca="1" si="10"/>
        <v>-1.4771998977581471</v>
      </c>
      <c r="L51" s="10">
        <f t="shared" si="41"/>
        <v>3</v>
      </c>
      <c r="M51" s="10">
        <v>0</v>
      </c>
      <c r="N51" s="2">
        <f t="shared" ca="1" si="42"/>
        <v>12.52844</v>
      </c>
      <c r="O51" s="2">
        <f t="shared" ca="1" si="44"/>
        <v>240.33945843425573</v>
      </c>
      <c r="P51" s="2">
        <f t="shared" ca="1" si="45"/>
        <v>400.56576405709285</v>
      </c>
      <c r="Q51" s="2">
        <f>(AVERAGE(VLOOKUP(E51,weapon_components!$A$8:$M$178,9,0),VLOOKUP(E51,weapon_components!$A$8:$M$178,10,0))+VLOOKUP(E51,weapon_components!$A$8:$M$178,11,0))/10</f>
        <v>3.6</v>
      </c>
      <c r="R51" s="32">
        <f t="shared" ca="1" si="13"/>
        <v>0.56298351041268135</v>
      </c>
      <c r="S51" s="25">
        <f t="shared" si="43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  <c r="V51">
        <v>0.75</v>
      </c>
    </row>
    <row r="52" spans="1:24" x14ac:dyDescent="0.25">
      <c r="A52" s="21">
        <f t="shared" si="5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  <c r="V52" t="s">
        <v>247</v>
      </c>
    </row>
    <row r="53" spans="1:24" x14ac:dyDescent="0.25">
      <c r="A53" s="21">
        <f t="shared" si="5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6"/>
        <v>19.841239999999999</v>
      </c>
      <c r="G53" s="32">
        <f>IF(G$52=1,H53,H53/(R53-INDEX($O$2:$O$6,C53)))</f>
        <v>24.801549999999999</v>
      </c>
      <c r="H53" s="2">
        <f>$F53*(INDEX($F$3:$F$5,H$9)+(($C53+($D53*$F$7))*INDEX($G$3:$G$5,H$9)))</f>
        <v>24.801549999999999</v>
      </c>
      <c r="I53" s="2">
        <f>$F53*(INDEX($F$3:$F$5,I$9)+(($C53+($D53*$F$7))*INDEX($G$3:$G$5,I$9)))</f>
        <v>7.9364959999999991</v>
      </c>
      <c r="J53" s="2">
        <f>$F53*(INDEX($F$3:$F$5,J$9)+(($C53+($D53*$F$7))*INDEX($G$3:$G$5,J$9)))</f>
        <v>1.9841239999999998</v>
      </c>
      <c r="K53" s="10">
        <f t="shared" ca="1" si="10"/>
        <v>-1.0923076923076924</v>
      </c>
      <c r="L53" s="10">
        <f>(INDEX($Q$2:$Q$6,C53)/((1/INDEX($F$4:$F$6,J$52))-1))</f>
        <v>7.2222222222222229E-2</v>
      </c>
      <c r="M53" s="10">
        <v>0</v>
      </c>
      <c r="N53" s="2">
        <f t="shared" ref="N53:N89" ca="1" si="46">(AVERAGE(O53,P53)*R53)/Q53</f>
        <v>99.206199999999995</v>
      </c>
      <c r="O53" s="2">
        <f ca="1">0.75*(((G53*INDEX($R$1:$R$3,$D53+2))*Q53)/R53)</f>
        <v>502.23138749999998</v>
      </c>
      <c r="P53" s="2">
        <f ca="1">1.25*(((G53*INDEX($R$1:$R$3,$D53+2))*Q53)/R53)</f>
        <v>837.05231249999997</v>
      </c>
      <c r="Q53" s="2">
        <f>(AVERAGE(VLOOKUP(E53,weapon_components!$A$8:$M$178,9,0),VLOOKUP(E53,weapon_components!$A$8:$M$178,10,0))+VLOOKUP(E53,weapon_components!$A$8:$M$178,11,0))/10</f>
        <v>6.75</v>
      </c>
      <c r="R53" s="32">
        <f t="shared" ca="1" si="13"/>
        <v>1</v>
      </c>
      <c r="S53" s="25">
        <f>($S$52)*(1+(D53*$F$8))*(1+((C53-1)*$J$3))</f>
        <v>97.919999999999987</v>
      </c>
      <c r="T53" s="2">
        <f>7.5*1.5</f>
        <v>11.25</v>
      </c>
      <c r="U53" s="14">
        <f>-INDEX('Ship Design Balancing'!$K$2:$K$6,'Weapon Formulas'!C53)*(INDEX('Weapon Formulas'!$R$1:$R$3,'Weapon Formulas'!D53+2)*(1+'Weapon Formulas'!B53))</f>
        <v>-213.33333333333331</v>
      </c>
      <c r="V53">
        <v>0.95</v>
      </c>
    </row>
    <row r="54" spans="1:24" x14ac:dyDescent="0.25">
      <c r="A54" s="21">
        <f t="shared" si="5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6"/>
        <v>24.81532</v>
      </c>
      <c r="G54" s="32">
        <f>IF(G$52=1,H54,H54/(R54-INDEX($O$2:$O$6,C54)))</f>
        <v>32.259916000000004</v>
      </c>
      <c r="H54" s="2">
        <f t="shared" ref="H54:J75" si="47">$F54*(INDEX($F$3:$F$5,H$9)+(($C54+($D54*$F$7))*INDEX($G$3:$G$5,H$9)))</f>
        <v>32.259916000000004</v>
      </c>
      <c r="I54" s="2">
        <f t="shared" si="47"/>
        <v>7.9409023999999988</v>
      </c>
      <c r="J54" s="2">
        <f t="shared" si="47"/>
        <v>1.9852255999999997</v>
      </c>
      <c r="K54" s="10">
        <f t="shared" ca="1" si="10"/>
        <v>-1.0102564102564107</v>
      </c>
      <c r="L54" s="10">
        <f>(INDEX($Q$2:$Q$6,C54)/((1/INDEX($F$4:$F$6,J$52))-1))</f>
        <v>8.3333333333333329E-2</v>
      </c>
      <c r="M54" s="10">
        <v>0</v>
      </c>
      <c r="N54" s="2">
        <f t="shared" ca="1" si="46"/>
        <v>129.03966400000002</v>
      </c>
      <c r="O54" s="2">
        <f ca="1">0.75*(((G54*INDEX($R$1:$R$3,$D54+2))*Q54)/R54)</f>
        <v>653.26329900000007</v>
      </c>
      <c r="P54" s="2">
        <f ca="1">1.25*(((G54*INDEX($R$1:$R$3,$D54+2))*Q54)/R54)</f>
        <v>1088.7721650000001</v>
      </c>
      <c r="Q54" s="2">
        <f>(AVERAGE(VLOOKUP(E54,weapon_components!$A$8:$M$178,9,0),VLOOKUP(E54,weapon_components!$A$8:$M$178,10,0))+VLOOKUP(E54,weapon_components!$A$8:$M$178,11,0))/10</f>
        <v>6.75</v>
      </c>
      <c r="R54" s="32">
        <f t="shared" ca="1" si="13"/>
        <v>1</v>
      </c>
      <c r="S54" s="25">
        <f>($S$52)*(1+(D54*$F$8))*(1+((C54-1)*$J$3))</f>
        <v>106.56</v>
      </c>
      <c r="T54" s="2">
        <v>15</v>
      </c>
      <c r="U54" s="14">
        <f>-INDEX('Ship Design Balancing'!$K$2:$K$6,'Weapon Formulas'!C54)*(INDEX('Weapon Formulas'!$R$1:$R$3,'Weapon Formulas'!D54+2)*(1+'Weapon Formulas'!B54))</f>
        <v>-426.66666666666663</v>
      </c>
      <c r="V54">
        <v>0.95</v>
      </c>
    </row>
    <row r="55" spans="1:24" x14ac:dyDescent="0.25">
      <c r="A55" s="21">
        <f t="shared" si="5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  <c r="V55" t="s">
        <v>247</v>
      </c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6"/>
        <v>2.5270000000000001</v>
      </c>
      <c r="G56" s="32">
        <f ca="1">IF(G$55=1,H56,H56/(R56-INDEX($O$2:$O$6,C56)))</f>
        <v>2.5270000000000001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ca="1">1-((1-(I56/(G56*R56)))/INDEX($P$2:$P$6,C56))</f>
        <v>-18.322031881137612</v>
      </c>
      <c r="L56" s="10">
        <v>0</v>
      </c>
      <c r="M56" s="10">
        <v>1</v>
      </c>
      <c r="N56" s="2">
        <f t="shared" ca="1" si="46"/>
        <v>2.5270000000000001</v>
      </c>
      <c r="O56" s="2">
        <f t="shared" ref="O56:O70" ca="1" si="48">0.75*(((G56*INDEX($R$1:$R$3,$D56+2))*Q56)/R56)</f>
        <v>8.0708768079554538</v>
      </c>
      <c r="P56" s="2">
        <f t="shared" ref="P56:P70" ca="1" si="49">1.25*(((G56*INDEX($R$1:$R$3,$D56+2))*Q56)/R56)</f>
        <v>13.451461346592424</v>
      </c>
      <c r="Q56" s="2">
        <f>(AVERAGE(VLOOKUP(E56,weapon_components!$A$8:$M$178,9,0),VLOOKUP(E56,weapon_components!$A$8:$M$178,10,0))+VLOOKUP(E56,weapon_components!$A$8:$M$178,11,0))/10</f>
        <v>3.75</v>
      </c>
      <c r="R56" s="32">
        <f t="shared" ca="1" si="13"/>
        <v>0.88059670208253626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  <c r="V56">
        <v>0.76</v>
      </c>
    </row>
    <row r="57" spans="1:24" x14ac:dyDescent="0.25">
      <c r="A57" s="21">
        <f t="shared" si="5"/>
        <v>0</v>
      </c>
      <c r="C57" s="2">
        <v>1</v>
      </c>
      <c r="D57" s="2">
        <v>0</v>
      </c>
      <c r="E57" s="16" t="s">
        <v>70</v>
      </c>
      <c r="F57" s="2">
        <f t="shared" si="6"/>
        <v>2.5</v>
      </c>
      <c r="G57" s="32">
        <f t="shared" ref="G57:G70" ca="1" si="50">IF(G$55=1,H57,H57/(R57-INDEX($O$2:$O$6,C57)))</f>
        <v>2.4999999999999996</v>
      </c>
      <c r="H57" s="2">
        <f>$F57*(0.68-(0.12*$D57))</f>
        <v>1.7000000000000002</v>
      </c>
      <c r="I57" s="2">
        <f t="shared" ref="I57:I70" si="51">$F57*(0.32+(0.12*D57))</f>
        <v>0.8</v>
      </c>
      <c r="J57" s="2">
        <f t="shared" ref="J57:J70" si="52">F57</f>
        <v>2.5</v>
      </c>
      <c r="K57" s="10">
        <f t="shared" ca="1" si="10"/>
        <v>-13.481942298598238</v>
      </c>
      <c r="L57" s="10">
        <v>0</v>
      </c>
      <c r="M57" s="10">
        <v>1</v>
      </c>
      <c r="N57" s="2">
        <f t="shared" ca="1" si="46"/>
        <v>4.9999999999999991</v>
      </c>
      <c r="O57" s="2">
        <f t="shared" ca="1" si="48"/>
        <v>18.488773303245274</v>
      </c>
      <c r="P57" s="2">
        <f t="shared" ca="1" si="49"/>
        <v>30.814622172075453</v>
      </c>
      <c r="Q57" s="2">
        <f>(AVERAGE(VLOOKUP(E57,weapon_components!$A$8:$M$178,9,0),VLOOKUP(E57,weapon_components!$A$8:$M$178,10,0))+VLOOKUP(E57,weapon_components!$A$8:$M$178,11,0))/10</f>
        <v>3.75</v>
      </c>
      <c r="R57" s="32">
        <f t="shared" ca="1" si="13"/>
        <v>0.76059670208253638</v>
      </c>
      <c r="S57" s="25">
        <f t="shared" ref="S57:S69" si="53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  <c r="V57">
        <v>0.72</v>
      </c>
    </row>
    <row r="58" spans="1:24" x14ac:dyDescent="0.25">
      <c r="A58" s="21">
        <f t="shared" si="5"/>
        <v>-2.7E-2</v>
      </c>
      <c r="C58" s="2">
        <v>1</v>
      </c>
      <c r="D58" s="2">
        <v>1</v>
      </c>
      <c r="E58" s="16" t="s">
        <v>71</v>
      </c>
      <c r="F58" s="2">
        <f t="shared" si="6"/>
        <v>2.4729999999999999</v>
      </c>
      <c r="G58" s="32">
        <f t="shared" ca="1" si="50"/>
        <v>2.4729999999999999</v>
      </c>
      <c r="H58" s="2">
        <f t="shared" ref="H58:H70" si="54">$F58*(0.68-(0.12*$D58))</f>
        <v>1.3848800000000001</v>
      </c>
      <c r="I58" s="2">
        <f t="shared" si="51"/>
        <v>1.08812</v>
      </c>
      <c r="J58" s="2">
        <f t="shared" si="52"/>
        <v>2.4729999999999999</v>
      </c>
      <c r="K58" s="10">
        <f t="shared" ca="1" si="10"/>
        <v>-6.828509787453247</v>
      </c>
      <c r="L58" s="10">
        <v>0</v>
      </c>
      <c r="M58" s="10">
        <v>1</v>
      </c>
      <c r="N58" s="2">
        <f t="shared" ca="1" si="46"/>
        <v>9.8919999999999977</v>
      </c>
      <c r="O58" s="2">
        <f t="shared" ca="1" si="48"/>
        <v>43.430211097801482</v>
      </c>
      <c r="P58" s="2">
        <f t="shared" ca="1" si="49"/>
        <v>72.383685163002468</v>
      </c>
      <c r="Q58" s="2">
        <f>(AVERAGE(VLOOKUP(E58,weapon_components!$A$8:$M$178,9,0),VLOOKUP(E58,weapon_components!$A$8:$M$178,10,0))+VLOOKUP(E58,weapon_components!$A$8:$M$178,11,0))/10</f>
        <v>3.75</v>
      </c>
      <c r="R58" s="32">
        <f t="shared" ca="1" si="13"/>
        <v>0.64059670208253627</v>
      </c>
      <c r="S58" s="25">
        <f t="shared" si="53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  <c r="V58">
        <v>0.67</v>
      </c>
    </row>
    <row r="59" spans="1:24" x14ac:dyDescent="0.25">
      <c r="A59" s="21">
        <f t="shared" si="5"/>
        <v>1.4039999999999978E-2</v>
      </c>
      <c r="C59" s="2">
        <v>2</v>
      </c>
      <c r="D59" s="2">
        <v>-1</v>
      </c>
      <c r="E59" s="16" t="s">
        <v>72</v>
      </c>
      <c r="F59" s="2">
        <f t="shared" si="6"/>
        <v>5.0140399999999996</v>
      </c>
      <c r="G59" s="32">
        <f t="shared" ca="1" si="50"/>
        <v>5.0140399999999996</v>
      </c>
      <c r="H59" s="2">
        <f t="shared" si="54"/>
        <v>4.0112319999999997</v>
      </c>
      <c r="I59" s="2">
        <f t="shared" si="51"/>
        <v>1.0028079999999999</v>
      </c>
      <c r="J59" s="2">
        <f t="shared" si="52"/>
        <v>5.0140399999999996</v>
      </c>
      <c r="K59" s="10">
        <f t="shared" ca="1" si="10"/>
        <v>-3.3995851688504342</v>
      </c>
      <c r="L59" s="10">
        <v>0</v>
      </c>
      <c r="M59" s="10">
        <v>1</v>
      </c>
      <c r="N59" s="2">
        <f t="shared" ca="1" si="46"/>
        <v>5.0140399999999996</v>
      </c>
      <c r="O59" s="2">
        <f t="shared" ca="1" si="48"/>
        <v>14.67133194931721</v>
      </c>
      <c r="P59" s="2">
        <f t="shared" ca="1" si="49"/>
        <v>24.452219915528683</v>
      </c>
      <c r="Q59" s="2">
        <f>(AVERAGE(VLOOKUP(E59,weapon_components!$A$8:$M$178,9,0),VLOOKUP(E59,weapon_components!$A$8:$M$178,10,0))+VLOOKUP(E59,weapon_components!$A$8:$M$178,11,0))/10</f>
        <v>3.75</v>
      </c>
      <c r="R59" s="32">
        <f t="shared" ca="1" si="13"/>
        <v>0.9611934041650726</v>
      </c>
      <c r="S59" s="25">
        <f t="shared" si="53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  <c r="V59">
        <v>0.76</v>
      </c>
    </row>
    <row r="60" spans="1:24" x14ac:dyDescent="0.25">
      <c r="A60" s="21">
        <f t="shared" si="5"/>
        <v>-1.6200000000000016E-2</v>
      </c>
      <c r="C60" s="2">
        <v>2</v>
      </c>
      <c r="D60" s="2">
        <v>0</v>
      </c>
      <c r="E60" s="16" t="s">
        <v>73</v>
      </c>
      <c r="F60" s="2">
        <f t="shared" si="6"/>
        <v>4.9837999999999996</v>
      </c>
      <c r="G60" s="32">
        <f t="shared" ca="1" si="50"/>
        <v>4.9837999999999996</v>
      </c>
      <c r="H60" s="2">
        <f t="shared" si="54"/>
        <v>3.3889839999999998</v>
      </c>
      <c r="I60" s="2">
        <f t="shared" si="51"/>
        <v>1.5948159999999998</v>
      </c>
      <c r="J60" s="2">
        <f t="shared" si="52"/>
        <v>4.9837999999999996</v>
      </c>
      <c r="K60" s="10">
        <f t="shared" ca="1" si="10"/>
        <v>-2.4421559865916107</v>
      </c>
      <c r="L60" s="10">
        <v>0</v>
      </c>
      <c r="M60" s="10">
        <v>1</v>
      </c>
      <c r="N60" s="2">
        <f t="shared" ca="1" si="46"/>
        <v>9.9675999999999991</v>
      </c>
      <c r="O60" s="2">
        <f t="shared" ca="1" si="48"/>
        <v>33.326313379531371</v>
      </c>
      <c r="P60" s="2">
        <f t="shared" ca="1" si="49"/>
        <v>55.54385563255228</v>
      </c>
      <c r="Q60" s="2">
        <f>(AVERAGE(VLOOKUP(E60,weapon_components!$A$8:$M$178,9,0),VLOOKUP(E60,weapon_components!$A$8:$M$178,10,0))+VLOOKUP(E60,weapon_components!$A$8:$M$178,11,0))/10</f>
        <v>3.75</v>
      </c>
      <c r="R60" s="32">
        <f t="shared" ca="1" si="13"/>
        <v>0.8411934041650726</v>
      </c>
      <c r="S60" s="25">
        <f t="shared" si="53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  <c r="V60">
        <v>0.72</v>
      </c>
    </row>
    <row r="61" spans="1:24" x14ac:dyDescent="0.25">
      <c r="A61" s="21">
        <f t="shared" si="5"/>
        <v>-4.6440000000000016E-2</v>
      </c>
      <c r="C61" s="2">
        <v>2</v>
      </c>
      <c r="D61" s="2">
        <v>1</v>
      </c>
      <c r="E61" s="16" t="s">
        <v>74</v>
      </c>
      <c r="F61" s="2">
        <f t="shared" si="6"/>
        <v>4.9535600000000004</v>
      </c>
      <c r="G61" s="32">
        <f t="shared" ca="1" si="50"/>
        <v>4.9535600000000004</v>
      </c>
      <c r="H61" s="2">
        <f t="shared" si="54"/>
        <v>2.7739936000000003</v>
      </c>
      <c r="I61" s="2">
        <f t="shared" si="51"/>
        <v>2.1795664000000001</v>
      </c>
      <c r="J61" s="2">
        <f t="shared" si="52"/>
        <v>4.9535600000000004</v>
      </c>
      <c r="K61" s="10">
        <f t="shared" ca="1" si="10"/>
        <v>-1.1661118497102647</v>
      </c>
      <c r="L61" s="10">
        <v>0</v>
      </c>
      <c r="M61" s="10">
        <v>1</v>
      </c>
      <c r="N61" s="2">
        <f t="shared" ca="1" si="46"/>
        <v>19.814240000000002</v>
      </c>
      <c r="O61" s="2">
        <f t="shared" ca="1" si="48"/>
        <v>77.271297377595857</v>
      </c>
      <c r="P61" s="2">
        <f t="shared" ca="1" si="49"/>
        <v>128.78549562932645</v>
      </c>
      <c r="Q61" s="2">
        <f>(AVERAGE(VLOOKUP(E61,weapon_components!$A$8:$M$178,9,0),VLOOKUP(E61,weapon_components!$A$8:$M$178,10,0))+VLOOKUP(E61,weapon_components!$A$8:$M$178,11,0))/10</f>
        <v>3.75</v>
      </c>
      <c r="R61" s="32">
        <f t="shared" ca="1" si="13"/>
        <v>0.7211934041650726</v>
      </c>
      <c r="S61" s="25">
        <f t="shared" si="53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  <c r="V61">
        <v>0.67</v>
      </c>
    </row>
    <row r="62" spans="1:24" x14ac:dyDescent="0.25">
      <c r="A62" s="21">
        <f t="shared" si="5"/>
        <v>1.0799999999999983E-3</v>
      </c>
      <c r="C62" s="2">
        <v>3</v>
      </c>
      <c r="D62" s="2">
        <v>-1</v>
      </c>
      <c r="E62" s="16" t="s">
        <v>75</v>
      </c>
      <c r="F62" s="2">
        <f t="shared" si="6"/>
        <v>7.50108</v>
      </c>
      <c r="G62" s="32">
        <f t="shared" ca="1" si="50"/>
        <v>7.9145155575610362</v>
      </c>
      <c r="H62" s="2">
        <f t="shared" si="54"/>
        <v>6.000864</v>
      </c>
      <c r="I62" s="2">
        <f t="shared" si="51"/>
        <v>1.500216</v>
      </c>
      <c r="J62" s="2">
        <f t="shared" si="52"/>
        <v>7.50108</v>
      </c>
      <c r="K62" s="10">
        <f t="shared" ca="1" si="10"/>
        <v>-1.7014917552063409</v>
      </c>
      <c r="L62" s="10">
        <v>0</v>
      </c>
      <c r="M62" s="10">
        <v>1</v>
      </c>
      <c r="N62" s="2">
        <f t="shared" ca="1" si="46"/>
        <v>7.9145155575610362</v>
      </c>
      <c r="O62" s="2">
        <f t="shared" ca="1" si="48"/>
        <v>22.259575005640414</v>
      </c>
      <c r="P62" s="2">
        <f t="shared" ca="1" si="49"/>
        <v>37.099291676067359</v>
      </c>
      <c r="Q62" s="2">
        <f>(AVERAGE(VLOOKUP(E62,weapon_components!$A$8:$M$178,9,0),VLOOKUP(E62,weapon_components!$A$8:$M$178,10,0))+VLOOKUP(E62,weapon_components!$A$8:$M$178,11,0))/10</f>
        <v>3.75</v>
      </c>
      <c r="R62" s="32">
        <f t="shared" ca="1" si="13"/>
        <v>1</v>
      </c>
      <c r="S62" s="25">
        <f t="shared" si="53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  <c r="V62">
        <v>0.76</v>
      </c>
    </row>
    <row r="63" spans="1:24" x14ac:dyDescent="0.25">
      <c r="A63" s="21">
        <f t="shared" si="5"/>
        <v>-3.2399999999999991E-2</v>
      </c>
      <c r="C63" s="2">
        <v>3</v>
      </c>
      <c r="D63" s="2">
        <v>0</v>
      </c>
      <c r="E63" s="16" t="s">
        <v>76</v>
      </c>
      <c r="F63" s="2">
        <f t="shared" si="6"/>
        <v>7.4676</v>
      </c>
      <c r="G63" s="32">
        <f t="shared" ca="1" si="50"/>
        <v>7.4676000000000009</v>
      </c>
      <c r="H63" s="2">
        <f t="shared" si="54"/>
        <v>5.0779680000000003</v>
      </c>
      <c r="I63" s="2">
        <f t="shared" si="51"/>
        <v>2.3896320000000002</v>
      </c>
      <c r="J63" s="2">
        <f t="shared" si="52"/>
        <v>7.4676</v>
      </c>
      <c r="K63" s="10">
        <f t="shared" ca="1" si="10"/>
        <v>-1.1761646249287532</v>
      </c>
      <c r="L63" s="10">
        <v>0</v>
      </c>
      <c r="M63" s="10">
        <v>1</v>
      </c>
      <c r="N63" s="2">
        <f t="shared" ca="1" si="46"/>
        <v>14.935200000000002</v>
      </c>
      <c r="O63" s="2">
        <f t="shared" ca="1" si="48"/>
        <v>45.569213333167042</v>
      </c>
      <c r="P63" s="2">
        <f t="shared" ca="1" si="49"/>
        <v>75.948688888611741</v>
      </c>
      <c r="Q63" s="2">
        <f>(AVERAGE(VLOOKUP(E63,weapon_components!$A$8:$M$178,9,0),VLOOKUP(E63,weapon_components!$A$8:$M$178,10,0))+VLOOKUP(E63,weapon_components!$A$8:$M$178,11,0))/10</f>
        <v>3.75</v>
      </c>
      <c r="R63" s="32">
        <f t="shared" ca="1" si="13"/>
        <v>0.92179010624760882</v>
      </c>
      <c r="S63" s="25">
        <f t="shared" si="53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V63">
        <v>0.72</v>
      </c>
      <c r="X63" s="14"/>
    </row>
    <row r="64" spans="1:24" x14ac:dyDescent="0.25">
      <c r="A64" s="21">
        <f t="shared" si="5"/>
        <v>-6.587999999999998E-2</v>
      </c>
      <c r="C64" s="2">
        <v>3</v>
      </c>
      <c r="D64" s="2">
        <v>1</v>
      </c>
      <c r="E64" s="16" t="s">
        <v>77</v>
      </c>
      <c r="F64" s="2">
        <f t="shared" si="6"/>
        <v>7.4341200000000001</v>
      </c>
      <c r="G64" s="32">
        <f ca="1">IF(G$55=1,H64,H64/(R64-INDEX($O$2:$O$6,C64)))</f>
        <v>7.4341200000000001</v>
      </c>
      <c r="H64" s="2">
        <f t="shared" si="54"/>
        <v>4.1631072000000007</v>
      </c>
      <c r="I64" s="2">
        <f t="shared" si="51"/>
        <v>3.2710127999999998</v>
      </c>
      <c r="J64" s="2">
        <f t="shared" si="52"/>
        <v>7.4341200000000001</v>
      </c>
      <c r="K64" s="10">
        <f t="shared" ca="1" si="10"/>
        <v>-0.50409316781084912</v>
      </c>
      <c r="L64" s="10">
        <v>0</v>
      </c>
      <c r="M64" s="10">
        <v>1</v>
      </c>
      <c r="N64" s="2">
        <f t="shared" ca="1" si="46"/>
        <v>29.736479999999997</v>
      </c>
      <c r="O64" s="2">
        <f t="shared" ca="1" si="48"/>
        <v>104.30890746632907</v>
      </c>
      <c r="P64" s="2">
        <f t="shared" ca="1" si="49"/>
        <v>173.84817911054847</v>
      </c>
      <c r="Q64" s="2">
        <f>(AVERAGE(VLOOKUP(E64,weapon_components!$A$8:$M$178,9,0),VLOOKUP(E64,weapon_components!$A$8:$M$178,10,0))+VLOOKUP(E64,weapon_components!$A$8:$M$178,11,0))/10</f>
        <v>3.75</v>
      </c>
      <c r="R64" s="32">
        <f t="shared" ca="1" si="13"/>
        <v>0.80179010624760894</v>
      </c>
      <c r="S64" s="25">
        <f t="shared" si="53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  <c r="V64">
        <v>0.67</v>
      </c>
    </row>
    <row r="65" spans="1:22" x14ac:dyDescent="0.25">
      <c r="A65" s="21">
        <f t="shared" si="5"/>
        <v>-1.1879999999999981E-2</v>
      </c>
      <c r="C65" s="2">
        <v>4</v>
      </c>
      <c r="D65" s="2">
        <v>-1</v>
      </c>
      <c r="E65" s="16" t="s">
        <v>78</v>
      </c>
      <c r="F65" s="2">
        <f t="shared" si="6"/>
        <v>9.9881200000000003</v>
      </c>
      <c r="G65" s="32">
        <f t="shared" ca="1" si="50"/>
        <v>11.79211989705937</v>
      </c>
      <c r="H65" s="2">
        <f t="shared" si="54"/>
        <v>7.9904960000000003</v>
      </c>
      <c r="I65" s="2">
        <f t="shared" si="51"/>
        <v>1.9976240000000001</v>
      </c>
      <c r="J65" s="2">
        <f t="shared" si="52"/>
        <v>9.9881200000000003</v>
      </c>
      <c r="K65" s="10">
        <f t="shared" ca="1" si="10"/>
        <v>-1.5556821602539577</v>
      </c>
      <c r="L65" s="10">
        <v>0</v>
      </c>
      <c r="M65" s="10">
        <v>1</v>
      </c>
      <c r="N65" s="2">
        <f t="shared" ca="1" si="46"/>
        <v>11.79211989705937</v>
      </c>
      <c r="O65" s="2">
        <f t="shared" ca="1" si="48"/>
        <v>33.165337210479478</v>
      </c>
      <c r="P65" s="2">
        <f t="shared" ca="1" si="49"/>
        <v>55.275562017465802</v>
      </c>
      <c r="Q65" s="2">
        <f>(AVERAGE(VLOOKUP(E65,weapon_components!$A$8:$M$178,9,0),VLOOKUP(E65,weapon_components!$A$8:$M$178,10,0))+VLOOKUP(E65,weapon_components!$A$8:$M$178,11,0))/10</f>
        <v>3.75</v>
      </c>
      <c r="R65" s="32">
        <f t="shared" ca="1" si="13"/>
        <v>1</v>
      </c>
      <c r="S65" s="25">
        <f t="shared" si="53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  <c r="V65">
        <v>0.76</v>
      </c>
    </row>
    <row r="66" spans="1:22" x14ac:dyDescent="0.25">
      <c r="A66" s="21">
        <f t="shared" si="5"/>
        <v>-4.859999999999999E-2</v>
      </c>
      <c r="C66" s="2">
        <v>4</v>
      </c>
      <c r="D66" s="2">
        <v>0</v>
      </c>
      <c r="E66" s="16" t="s">
        <v>79</v>
      </c>
      <c r="F66" s="2">
        <f t="shared" si="6"/>
        <v>9.9513999999999996</v>
      </c>
      <c r="G66" s="32">
        <f t="shared" ca="1" si="50"/>
        <v>9.9864525708598926</v>
      </c>
      <c r="H66" s="2">
        <f t="shared" si="54"/>
        <v>6.7669519999999999</v>
      </c>
      <c r="I66" s="2">
        <f t="shared" si="51"/>
        <v>3.1844479999999997</v>
      </c>
      <c r="J66" s="2">
        <f t="shared" si="52"/>
        <v>9.9513999999999996</v>
      </c>
      <c r="K66" s="10">
        <f t="shared" ca="1" si="10"/>
        <v>-1.0957637043694408</v>
      </c>
      <c r="L66" s="10">
        <v>0</v>
      </c>
      <c r="M66" s="10">
        <v>1</v>
      </c>
      <c r="N66" s="2">
        <f t="shared" ca="1" si="46"/>
        <v>19.972905141719785</v>
      </c>
      <c r="O66" s="2">
        <f t="shared" ca="1" si="48"/>
        <v>56.173795711086896</v>
      </c>
      <c r="P66" s="2">
        <f t="shared" ca="1" si="49"/>
        <v>93.622992851811503</v>
      </c>
      <c r="Q66" s="2">
        <f>(AVERAGE(VLOOKUP(E66,weapon_components!$A$8:$M$178,9,0),VLOOKUP(E66,weapon_components!$A$8:$M$178,10,0))+VLOOKUP(E66,weapon_components!$A$8:$M$178,11,0))/10</f>
        <v>3.75</v>
      </c>
      <c r="R66" s="32">
        <f t="shared" ca="1" si="13"/>
        <v>1</v>
      </c>
      <c r="S66" s="25">
        <f t="shared" si="53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  <c r="V66">
        <v>0.72</v>
      </c>
    </row>
    <row r="67" spans="1:22" x14ac:dyDescent="0.25">
      <c r="A67" s="21">
        <f t="shared" si="5"/>
        <v>-8.5319999999999993E-2</v>
      </c>
      <c r="C67" s="2">
        <v>4</v>
      </c>
      <c r="D67" s="2">
        <v>1</v>
      </c>
      <c r="E67" s="16" t="s">
        <v>80</v>
      </c>
      <c r="F67" s="2">
        <f t="shared" si="6"/>
        <v>9.9146800000000006</v>
      </c>
      <c r="G67" s="32">
        <f t="shared" ca="1" si="50"/>
        <v>9.9146800000000006</v>
      </c>
      <c r="H67" s="2">
        <f t="shared" si="54"/>
        <v>5.5522208000000006</v>
      </c>
      <c r="I67" s="2">
        <f t="shared" si="51"/>
        <v>4.3624592</v>
      </c>
      <c r="J67" s="2">
        <f t="shared" si="52"/>
        <v>9.9146800000000006</v>
      </c>
      <c r="K67" s="10">
        <f t="shared" ca="1" si="10"/>
        <v>-0.54262299325771468</v>
      </c>
      <c r="L67" s="10">
        <v>0</v>
      </c>
      <c r="M67" s="10">
        <v>1</v>
      </c>
      <c r="N67" s="2">
        <f t="shared" ca="1" si="46"/>
        <v>39.658720000000002</v>
      </c>
      <c r="O67" s="2">
        <f t="shared" ca="1" si="48"/>
        <v>126.40731813645522</v>
      </c>
      <c r="P67" s="2">
        <f t="shared" ca="1" si="49"/>
        <v>210.67886356075871</v>
      </c>
      <c r="Q67" s="2">
        <f>(AVERAGE(VLOOKUP(E67,weapon_components!$A$8:$M$178,9,0),VLOOKUP(E67,weapon_components!$A$8:$M$178,10,0))+VLOOKUP(E67,weapon_components!$A$8:$M$178,11,0))/10</f>
        <v>3.75</v>
      </c>
      <c r="R67" s="32">
        <f t="shared" ca="1" si="13"/>
        <v>0.88238680833014516</v>
      </c>
      <c r="S67" s="25">
        <f t="shared" si="53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  <c r="V67">
        <v>0.67</v>
      </c>
    </row>
    <row r="68" spans="1:22" x14ac:dyDescent="0.25">
      <c r="A68" s="21">
        <f t="shared" si="5"/>
        <v>-2.4840000000000004E-2</v>
      </c>
      <c r="C68" s="2">
        <v>5</v>
      </c>
      <c r="D68" s="2">
        <v>-1</v>
      </c>
      <c r="E68" s="16" t="s">
        <v>81</v>
      </c>
      <c r="F68" s="2">
        <f t="shared" si="6"/>
        <v>12.475160000000001</v>
      </c>
      <c r="G68" s="32">
        <f t="shared" ca="1" si="50"/>
        <v>16.716670601340777</v>
      </c>
      <c r="H68" s="2">
        <f t="shared" si="54"/>
        <v>9.9801280000000006</v>
      </c>
      <c r="I68" s="2">
        <f t="shared" si="51"/>
        <v>2.4950320000000001</v>
      </c>
      <c r="J68" s="2">
        <f t="shared" si="52"/>
        <v>12.475160000000001</v>
      </c>
      <c r="K68" s="10">
        <f t="shared" ca="1" si="10"/>
        <v>-1.2686556736084542</v>
      </c>
      <c r="L68" s="10">
        <v>0</v>
      </c>
      <c r="M68" s="10">
        <v>1</v>
      </c>
      <c r="N68" s="2">
        <f t="shared" ca="1" si="46"/>
        <v>16.716670601340777</v>
      </c>
      <c r="O68" s="2">
        <f t="shared" ca="1" si="48"/>
        <v>47.015636066270936</v>
      </c>
      <c r="P68" s="2">
        <f t="shared" ca="1" si="49"/>
        <v>78.359393443784896</v>
      </c>
      <c r="Q68" s="2">
        <f>(AVERAGE(VLOOKUP(E68,weapon_components!$A$8:$M$178,9,0),VLOOKUP(E68,weapon_components!$A$8:$M$178,10,0))+VLOOKUP(E68,weapon_components!$A$8:$M$178,11,0))/10</f>
        <v>3.75</v>
      </c>
      <c r="R68" s="32">
        <f t="shared" ca="1" si="13"/>
        <v>1</v>
      </c>
      <c r="S68" s="25">
        <f t="shared" si="53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  <c r="V68">
        <v>0.76</v>
      </c>
    </row>
    <row r="69" spans="1:22" x14ac:dyDescent="0.25">
      <c r="A69" s="21">
        <f t="shared" si="5"/>
        <v>-6.4799999999999983E-2</v>
      </c>
      <c r="C69" s="2">
        <v>5</v>
      </c>
      <c r="D69" s="2">
        <v>0</v>
      </c>
      <c r="E69" s="16" t="s">
        <v>82</v>
      </c>
      <c r="F69" s="2">
        <f t="shared" si="6"/>
        <v>12.4352</v>
      </c>
      <c r="G69" s="32">
        <f t="shared" ca="1" si="50"/>
        <v>14.163655690389856</v>
      </c>
      <c r="H69" s="2">
        <f>$F69*(0.68-(0.12*$D69))</f>
        <v>8.4559360000000012</v>
      </c>
      <c r="I69" s="2">
        <f t="shared" si="51"/>
        <v>3.9792640000000001</v>
      </c>
      <c r="J69" s="2">
        <f t="shared" si="52"/>
        <v>12.4352</v>
      </c>
      <c r="K69" s="10">
        <f ca="1">1-((1-(I69/(G69*R69)))/INDEX($P$2:$P$6,C69))</f>
        <v>-0.91746950326297294</v>
      </c>
      <c r="L69" s="10">
        <v>0</v>
      </c>
      <c r="M69" s="10">
        <v>1</v>
      </c>
      <c r="N69" s="2">
        <f t="shared" ca="1" si="46"/>
        <v>28.327311380779712</v>
      </c>
      <c r="O69" s="2">
        <f t="shared" ca="1" si="48"/>
        <v>79.67056325844294</v>
      </c>
      <c r="P69" s="2">
        <f t="shared" ca="1" si="49"/>
        <v>132.78427209740491</v>
      </c>
      <c r="Q69" s="2">
        <f>(AVERAGE(VLOOKUP(E69,weapon_components!$A$8:$M$178,9,0),VLOOKUP(E69,weapon_components!$A$8:$M$178,10,0))+VLOOKUP(E69,weapon_components!$A$8:$M$178,11,0))/10</f>
        <v>3.75</v>
      </c>
      <c r="R69" s="32">
        <f t="shared" ca="1" si="13"/>
        <v>1</v>
      </c>
      <c r="S69" s="25">
        <f t="shared" si="53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  <c r="V69">
        <v>0.72</v>
      </c>
    </row>
    <row r="70" spans="1:22" x14ac:dyDescent="0.25">
      <c r="A70" s="21">
        <f t="shared" si="5"/>
        <v>-0.10476000000000001</v>
      </c>
      <c r="C70" s="2">
        <v>5</v>
      </c>
      <c r="D70" s="2">
        <v>1</v>
      </c>
      <c r="E70" s="16" t="s">
        <v>83</v>
      </c>
      <c r="F70" s="2">
        <f t="shared" si="6"/>
        <v>12.395239999999999</v>
      </c>
      <c r="G70" s="32">
        <f t="shared" ca="1" si="50"/>
        <v>12.395239999999999</v>
      </c>
      <c r="H70" s="2">
        <f t="shared" si="54"/>
        <v>6.9413344000000006</v>
      </c>
      <c r="I70" s="2">
        <f t="shared" si="51"/>
        <v>5.4539055999999997</v>
      </c>
      <c r="J70" s="2">
        <f t="shared" si="52"/>
        <v>12.395239999999999</v>
      </c>
      <c r="K70" s="10">
        <f ca="1">1-((1-(I70/(G70*R70)))/INDEX($P$2:$P$6,C70))</f>
        <v>-0.4482311268613095</v>
      </c>
      <c r="L70" s="10">
        <v>0</v>
      </c>
      <c r="M70" s="10">
        <v>1</v>
      </c>
      <c r="N70" s="2">
        <f t="shared" ca="1" si="46"/>
        <v>49.580959999999997</v>
      </c>
      <c r="O70" s="2">
        <f t="shared" ca="1" si="48"/>
        <v>144.80668515314551</v>
      </c>
      <c r="P70" s="2">
        <f t="shared" ca="1" si="49"/>
        <v>241.34447525524251</v>
      </c>
      <c r="Q70" s="2">
        <f>(AVERAGE(VLOOKUP(E70,weapon_components!$A$8:$M$178,9,0),VLOOKUP(E70,weapon_components!$A$8:$M$178,10,0))+VLOOKUP(E70,weapon_components!$A$8:$M$178,11,0))/10</f>
        <v>3.75</v>
      </c>
      <c r="R70" s="32">
        <f t="shared" ca="1" si="13"/>
        <v>0.96298351041268149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  <c r="V70">
        <v>0.67</v>
      </c>
    </row>
    <row r="71" spans="1:22" x14ac:dyDescent="0.25">
      <c r="A71" s="21">
        <f t="shared" si="5"/>
        <v>-7.4999999999999997E-2</v>
      </c>
      <c r="E71" s="3" t="s">
        <v>84</v>
      </c>
      <c r="F71" s="2" t="s">
        <v>140</v>
      </c>
      <c r="G71" s="2">
        <v>0</v>
      </c>
      <c r="H71" s="2">
        <v>1</v>
      </c>
      <c r="I71" s="2">
        <v>3</v>
      </c>
      <c r="J71" s="2">
        <v>3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70</v>
      </c>
      <c r="T71" s="2">
        <v>0</v>
      </c>
      <c r="U71" s="14"/>
      <c r="V71" t="s">
        <v>247</v>
      </c>
    </row>
    <row r="72" spans="1:22" x14ac:dyDescent="0.25">
      <c r="A72" s="21">
        <f t="shared" si="5"/>
        <v>-0.20771999999999999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5">($F$2+(C72*$F$1))*(B72+1)</f>
        <v>20</v>
      </c>
      <c r="G72" s="32">
        <f ca="1">IF(G$71=1,H72,H72/(R72-INDEX($O$2:$O$6,C72)))</f>
        <v>36.894204993843218</v>
      </c>
      <c r="H72" s="26">
        <f>$F72*(INDEX($F$3:$F$5,H$71)+(($C72+($D72*$F$7))*INDEX($G$3:$G$5,H$71)))</f>
        <v>25</v>
      </c>
      <c r="I72" s="26">
        <f t="shared" ref="I72:J73" si="56">$F72*(INDEX($F$3:$F$5,I$71)+(($C72+($D72*$F$7))*INDEX($G$3:$G$5,I$71)))</f>
        <v>1.9999999999999998</v>
      </c>
      <c r="J72" s="26">
        <f t="shared" si="56"/>
        <v>1.9999999999999998</v>
      </c>
      <c r="K72" s="10">
        <f t="shared" ca="1" si="10"/>
        <v>-1.910125983588959</v>
      </c>
      <c r="L72" s="10">
        <f>(INDEX($Q$2:$Q$6,C72)/((1/INDEX($F$4:$F$6,J$71))-1))</f>
        <v>7.2222222222222229E-2</v>
      </c>
      <c r="M72" s="10">
        <v>0</v>
      </c>
      <c r="N72" s="2">
        <f ca="1">(AVERAGE(O72,P72)*R72)/Q72</f>
        <v>147.57681997537287</v>
      </c>
      <c r="O72" s="2">
        <f ca="1">0.75*(((G72*INDEX($R$1:$R$3,$D72+2))*Q72)/R72)</f>
        <v>1106.8261498152965</v>
      </c>
      <c r="P72" s="2">
        <f ca="1">1.25*(((G72*INDEX($R$1:$R$3,$D72+2))*Q72)/R72)</f>
        <v>1844.7102496921611</v>
      </c>
      <c r="Q72" s="2">
        <v>10</v>
      </c>
      <c r="R72" s="32">
        <f t="shared" ca="1" si="13"/>
        <v>1</v>
      </c>
      <c r="S72" s="25">
        <f>($S$71)*(1+(D72*$F$8))*(1+((C72-1)*$J$3))</f>
        <v>114.24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  <c r="V72">
        <v>0.7</v>
      </c>
    </row>
    <row r="73" spans="1:22" x14ac:dyDescent="0.25">
      <c r="A73" s="21">
        <f t="shared" si="5"/>
        <v>-0.23795999999999998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32">
        <f ca="1">IF(G$71=1,H73,H73/(R73-INDEX($O$2:$O$6,C73)))</f>
        <v>54.437357370925028</v>
      </c>
      <c r="H73" s="26">
        <f>$F73*(INDEX($F$3:$F$5,H$71)+(($C73+($D73*$F$7))*INDEX($G$3:$G$5,H$71)))</f>
        <v>32.5</v>
      </c>
      <c r="I73" s="26">
        <f t="shared" si="56"/>
        <v>1.9999999999999998</v>
      </c>
      <c r="J73" s="26">
        <f t="shared" si="56"/>
        <v>1.9999999999999998</v>
      </c>
      <c r="K73" s="10">
        <f t="shared" ca="1" si="10"/>
        <v>-1.5686947299138758</v>
      </c>
      <c r="L73" s="10">
        <f>(INDEX($Q$2:$Q$6,C73)/((1/INDEX($F$4:$F$6,J$71))-1))</f>
        <v>8.3333333333333329E-2</v>
      </c>
      <c r="M73" s="10">
        <v>0</v>
      </c>
      <c r="N73" s="2">
        <f t="shared" ca="1" si="46"/>
        <v>217.74942948370011</v>
      </c>
      <c r="O73" s="2">
        <f ca="1">0.75*(((G73*INDEX($R$1:$R$3,$D73+2))*Q73)/R73)</f>
        <v>1633.120721127751</v>
      </c>
      <c r="P73" s="2">
        <f ca="1">1.25*(((G73*INDEX($R$1:$R$3,$D73+2))*Q73)/R73)</f>
        <v>2721.8678685462514</v>
      </c>
      <c r="Q73" s="2">
        <v>10</v>
      </c>
      <c r="R73" s="32">
        <f t="shared" ca="1" si="13"/>
        <v>1</v>
      </c>
      <c r="S73" s="25">
        <f>($S$71)*(1+(D73*$F$8))*(1+((C73-1)*$J$3))</f>
        <v>124.32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  <c r="V73">
        <v>0.7</v>
      </c>
    </row>
    <row r="74" spans="1:22" x14ac:dyDescent="0.25">
      <c r="A74" s="21">
        <f t="shared" si="5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  <c r="V74" t="s">
        <v>247</v>
      </c>
    </row>
    <row r="75" spans="1:22" x14ac:dyDescent="0.25">
      <c r="A75" s="21">
        <f t="shared" si="5"/>
        <v>1.0799999999999983E-3</v>
      </c>
      <c r="C75" s="2">
        <v>3</v>
      </c>
      <c r="D75" s="2">
        <v>-1</v>
      </c>
      <c r="E75" s="16" t="s">
        <v>88</v>
      </c>
      <c r="F75" s="2">
        <f t="shared" si="55"/>
        <v>7.5</v>
      </c>
      <c r="G75" s="32">
        <f ca="1">IF(G$74=1,H75,H75/(R75-INDEX($O$2:$O$6,C75)))</f>
        <v>7.5</v>
      </c>
      <c r="H75" s="2">
        <f>$F75*(0.32-(0.12*$D75))</f>
        <v>3.3</v>
      </c>
      <c r="I75" s="2">
        <f>$F75*(0.68+(0.12*D75))</f>
        <v>4.2</v>
      </c>
      <c r="J75" s="2">
        <f t="shared" si="47"/>
        <v>1.2</v>
      </c>
      <c r="K75" s="10">
        <f t="shared" ca="1" si="10"/>
        <v>0.40455718394082152</v>
      </c>
      <c r="L75" s="10">
        <v>0</v>
      </c>
      <c r="M75" s="10">
        <v>1</v>
      </c>
      <c r="N75" s="2">
        <f t="shared" ca="1" si="46"/>
        <v>7.4999999999999991</v>
      </c>
      <c r="O75" s="2">
        <f t="shared" ref="O75:O83" ca="1" si="57">0.75*(((G75*INDEX($R$1:$R$3,$D75+2))*Q75)/R75)</f>
        <v>25.988570144438263</v>
      </c>
      <c r="P75" s="2">
        <f t="shared" ref="P75:P83" ca="1" si="58">1.25*(((G75*INDEX($R$1:$R$3,$D75+2))*Q75)/R75)</f>
        <v>43.314283574063772</v>
      </c>
      <c r="Q75" s="2">
        <f>(AVERAGE(VLOOKUP(E75,weapon_components!$A$8:$M$178,9,0),VLOOKUP(E75,weapon_components!$A$8:$M$178,10,0))+VLOOKUP(E75,weapon_components!$A$8:$M$178,11,0))/10</f>
        <v>3.15</v>
      </c>
      <c r="R75" s="32">
        <f t="shared" ca="1" si="13"/>
        <v>0.68179010624760883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  <c r="V75">
        <v>0.82</v>
      </c>
    </row>
    <row r="76" spans="1:22" x14ac:dyDescent="0.25">
      <c r="A76" s="21">
        <f t="shared" ref="A76:A119" si="59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0">($F$2+(C76*$F$1))*(B76+1)</f>
        <v>7.5</v>
      </c>
      <c r="G76" s="32">
        <f t="shared" ref="G76:G83" ca="1" si="61">IF(G$74=1,H76,H76/(R76-INDEX($O$2:$O$6,C76)))</f>
        <v>7.5</v>
      </c>
      <c r="H76" s="2">
        <f t="shared" ref="H76:H83" si="62">$F76*(0.32-(0.12*$D76))</f>
        <v>2.4</v>
      </c>
      <c r="I76" s="2">
        <f t="shared" ref="I76:I83" si="63">$F76*(0.68+(0.12*D76))</f>
        <v>5.1000000000000005</v>
      </c>
      <c r="J76" s="2">
        <f t="shared" ref="H76:J86" si="64">$F76*(INDEX($F$3:$F$5,J$9)+(($C76+($D76*$F$7))*INDEX($G$3:$G$5,J$9)))</f>
        <v>1.05</v>
      </c>
      <c r="K76" s="10">
        <f t="shared" ca="1" si="10"/>
        <v>1.7013882494416295</v>
      </c>
      <c r="L76" s="10">
        <v>0</v>
      </c>
      <c r="M76" s="10">
        <v>1</v>
      </c>
      <c r="N76" s="2">
        <f t="shared" ca="1" si="46"/>
        <v>15</v>
      </c>
      <c r="O76" s="2">
        <f t="shared" ca="1" si="57"/>
        <v>63.079608568935768</v>
      </c>
      <c r="P76" s="2">
        <f t="shared" ca="1" si="58"/>
        <v>105.13268094822628</v>
      </c>
      <c r="Q76" s="2">
        <f>(AVERAGE(VLOOKUP(E76,weapon_components!$A$8:$M$178,9,0),VLOOKUP(E76,weapon_components!$A$8:$M$178,10,0))+VLOOKUP(E76,weapon_components!$A$8:$M$178,11,0))/10</f>
        <v>3.15</v>
      </c>
      <c r="R76" s="32">
        <f t="shared" ca="1" si="13"/>
        <v>0.56179010624760883</v>
      </c>
      <c r="S76" s="25">
        <f t="shared" ref="S76:S83" si="65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  <c r="V76">
        <v>0.8</v>
      </c>
    </row>
    <row r="77" spans="1:22" x14ac:dyDescent="0.25">
      <c r="A77" s="21">
        <f t="shared" si="59"/>
        <v>-6.587999999999998E-2</v>
      </c>
      <c r="C77" s="2">
        <v>3</v>
      </c>
      <c r="D77" s="2">
        <v>1</v>
      </c>
      <c r="E77" s="16" t="s">
        <v>90</v>
      </c>
      <c r="F77" s="2">
        <f t="shared" si="60"/>
        <v>7.5</v>
      </c>
      <c r="G77" s="32">
        <f t="shared" ca="1" si="61"/>
        <v>7.5</v>
      </c>
      <c r="H77" s="2">
        <f t="shared" si="62"/>
        <v>1.5</v>
      </c>
      <c r="I77" s="2">
        <f t="shared" si="63"/>
        <v>6</v>
      </c>
      <c r="J77" s="2">
        <f t="shared" si="64"/>
        <v>0.89999999999999991</v>
      </c>
      <c r="K77" s="10">
        <f t="shared" ref="K77:K124" ca="1" si="66">1-((1-(I77/(G77*R77)))/INDEX($P$2:$P$6,C77))</f>
        <v>3.7027155255156874</v>
      </c>
      <c r="L77" s="10">
        <v>0</v>
      </c>
      <c r="M77" s="10">
        <v>1</v>
      </c>
      <c r="N77" s="2">
        <f t="shared" ca="1" si="46"/>
        <v>30</v>
      </c>
      <c r="O77" s="2">
        <f t="shared" ca="1" si="57"/>
        <v>160.42686107659659</v>
      </c>
      <c r="P77" s="2">
        <f t="shared" ca="1" si="58"/>
        <v>267.37810179432768</v>
      </c>
      <c r="Q77" s="2">
        <f>(AVERAGE(VLOOKUP(E77,weapon_components!$A$8:$M$178,9,0),VLOOKUP(E77,weapon_components!$A$8:$M$178,10,0))+VLOOKUP(E77,weapon_components!$A$8:$M$178,11,0))/10</f>
        <v>3.15</v>
      </c>
      <c r="R77" s="32">
        <f t="shared" ref="R77:R119" ca="1" si="67">IF((H77/F77)+INDEX($O$2:$O$6,$C77)&gt;1,1,(H77/F77)+INDEX($O$2:$O$6,$C77))</f>
        <v>0.44179010624760884</v>
      </c>
      <c r="S77" s="25">
        <f t="shared" si="65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  <c r="V77">
        <v>0.75</v>
      </c>
    </row>
    <row r="78" spans="1:22" x14ac:dyDescent="0.25">
      <c r="A78" s="21">
        <f t="shared" si="59"/>
        <v>-1.1879999999999981E-2</v>
      </c>
      <c r="C78" s="2">
        <v>4</v>
      </c>
      <c r="D78" s="2">
        <v>-1</v>
      </c>
      <c r="E78" s="16" t="s">
        <v>91</v>
      </c>
      <c r="F78" s="2">
        <f t="shared" si="60"/>
        <v>10</v>
      </c>
      <c r="G78" s="32">
        <f t="shared" ca="1" si="61"/>
        <v>10</v>
      </c>
      <c r="H78" s="2">
        <f t="shared" si="62"/>
        <v>4.4000000000000004</v>
      </c>
      <c r="I78" s="2">
        <f t="shared" si="63"/>
        <v>5.6000000000000005</v>
      </c>
      <c r="J78" s="2">
        <f t="shared" si="64"/>
        <v>1.4000000000000001</v>
      </c>
      <c r="K78" s="10">
        <f t="shared" ca="1" si="66"/>
        <v>0.18318544574532603</v>
      </c>
      <c r="L78" s="10">
        <v>0</v>
      </c>
      <c r="M78" s="10">
        <v>1</v>
      </c>
      <c r="N78" s="2">
        <f t="shared" ca="1" si="46"/>
        <v>10</v>
      </c>
      <c r="O78" s="2">
        <f t="shared" ca="1" si="57"/>
        <v>30.988206697523804</v>
      </c>
      <c r="P78" s="2">
        <f t="shared" ca="1" si="58"/>
        <v>51.64701116253967</v>
      </c>
      <c r="Q78" s="2">
        <f>(AVERAGE(VLOOKUP(E78,weapon_components!$A$8:$M$178,9,0),VLOOKUP(E78,weapon_components!$A$8:$M$178,10,0))+VLOOKUP(E78,weapon_components!$A$8:$M$178,11,0))/10</f>
        <v>3.15</v>
      </c>
      <c r="R78" s="32">
        <f t="shared" ca="1" si="67"/>
        <v>0.76238680833014516</v>
      </c>
      <c r="S78" s="25">
        <f t="shared" si="65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  <c r="V78">
        <v>0.82</v>
      </c>
    </row>
    <row r="79" spans="1:22" x14ac:dyDescent="0.25">
      <c r="A79" s="21">
        <f t="shared" si="59"/>
        <v>-4.859999999999999E-2</v>
      </c>
      <c r="C79" s="2">
        <v>4</v>
      </c>
      <c r="D79" s="2">
        <v>0</v>
      </c>
      <c r="E79" s="16" t="s">
        <v>92</v>
      </c>
      <c r="F79" s="2">
        <f t="shared" si="60"/>
        <v>10</v>
      </c>
      <c r="G79" s="32">
        <f t="shared" ca="1" si="61"/>
        <v>9.9999999999999982</v>
      </c>
      <c r="H79" s="2">
        <f t="shared" si="62"/>
        <v>3.2</v>
      </c>
      <c r="I79" s="2">
        <f t="shared" si="63"/>
        <v>6.8000000000000007</v>
      </c>
      <c r="J79" s="2">
        <f t="shared" si="64"/>
        <v>1.2</v>
      </c>
      <c r="K79" s="10">
        <f t="shared" ca="1" si="66"/>
        <v>1.1801607628689479</v>
      </c>
      <c r="L79" s="10">
        <v>0</v>
      </c>
      <c r="M79" s="10">
        <v>1</v>
      </c>
      <c r="N79" s="2">
        <f t="shared" ca="1" si="46"/>
        <v>19.999999999999996</v>
      </c>
      <c r="O79" s="2">
        <f t="shared" ca="1" si="57"/>
        <v>73.553814286479792</v>
      </c>
      <c r="P79" s="2">
        <f t="shared" ca="1" si="58"/>
        <v>122.58969047746632</v>
      </c>
      <c r="Q79" s="2">
        <f>(AVERAGE(VLOOKUP(E79,weapon_components!$A$8:$M$178,9,0),VLOOKUP(E79,weapon_components!$A$8:$M$178,10,0))+VLOOKUP(E79,weapon_components!$A$8:$M$178,11,0))/10</f>
        <v>3.15</v>
      </c>
      <c r="R79" s="32">
        <f t="shared" ca="1" si="67"/>
        <v>0.64238680833014516</v>
      </c>
      <c r="S79" s="25">
        <f t="shared" si="65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  <c r="V79">
        <v>0.8</v>
      </c>
    </row>
    <row r="80" spans="1:22" x14ac:dyDescent="0.25">
      <c r="A80" s="21">
        <f t="shared" si="59"/>
        <v>-8.5319999999999993E-2</v>
      </c>
      <c r="C80" s="2">
        <v>4</v>
      </c>
      <c r="D80" s="2">
        <v>1</v>
      </c>
      <c r="E80" s="16" t="s">
        <v>93</v>
      </c>
      <c r="F80" s="2">
        <f t="shared" si="60"/>
        <v>10</v>
      </c>
      <c r="G80" s="32">
        <f t="shared" ca="1" si="61"/>
        <v>10.000000000000002</v>
      </c>
      <c r="H80" s="2">
        <f t="shared" si="62"/>
        <v>2</v>
      </c>
      <c r="I80" s="2">
        <f t="shared" si="63"/>
        <v>8</v>
      </c>
      <c r="J80" s="2">
        <f t="shared" si="64"/>
        <v>0.99999999999999989</v>
      </c>
      <c r="K80" s="10">
        <f t="shared" ca="1" si="66"/>
        <v>2.6351761229150341</v>
      </c>
      <c r="L80" s="10">
        <v>0</v>
      </c>
      <c r="M80" s="10">
        <v>1</v>
      </c>
      <c r="N80" s="2">
        <f t="shared" ca="1" si="46"/>
        <v>40</v>
      </c>
      <c r="O80" s="2">
        <f t="shared" ca="1" si="57"/>
        <v>180.90043334378501</v>
      </c>
      <c r="P80" s="2">
        <f t="shared" ca="1" si="58"/>
        <v>301.50072223964168</v>
      </c>
      <c r="Q80" s="2">
        <f>(AVERAGE(VLOOKUP(E80,weapon_components!$A$8:$M$178,9,0),VLOOKUP(E80,weapon_components!$A$8:$M$178,10,0))+VLOOKUP(E80,weapon_components!$A$8:$M$178,11,0))/10</f>
        <v>3.15</v>
      </c>
      <c r="R80" s="32">
        <f t="shared" ca="1" si="67"/>
        <v>0.52238680833014506</v>
      </c>
      <c r="S80" s="25">
        <f t="shared" si="65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  <c r="V80">
        <v>0.75</v>
      </c>
    </row>
    <row r="81" spans="1:22" x14ac:dyDescent="0.25">
      <c r="A81" s="21">
        <f t="shared" si="59"/>
        <v>-2.4840000000000004E-2</v>
      </c>
      <c r="C81" s="2">
        <v>5</v>
      </c>
      <c r="D81" s="2">
        <v>-1</v>
      </c>
      <c r="E81" s="16" t="s">
        <v>94</v>
      </c>
      <c r="F81" s="2">
        <f t="shared" si="60"/>
        <v>12.5</v>
      </c>
      <c r="G81" s="32">
        <f t="shared" ca="1" si="61"/>
        <v>12.499999999999998</v>
      </c>
      <c r="H81" s="2">
        <f t="shared" si="62"/>
        <v>5.5</v>
      </c>
      <c r="I81" s="2">
        <f t="shared" si="63"/>
        <v>7.0000000000000009</v>
      </c>
      <c r="J81" s="2">
        <f t="shared" si="64"/>
        <v>1.5</v>
      </c>
      <c r="K81" s="10">
        <f t="shared" ca="1" si="66"/>
        <v>0.10481915113097262</v>
      </c>
      <c r="L81" s="10">
        <v>0</v>
      </c>
      <c r="M81" s="10">
        <v>1</v>
      </c>
      <c r="N81" s="2">
        <f t="shared" ca="1" si="46"/>
        <v>12.499999999999998</v>
      </c>
      <c r="O81" s="2">
        <f t="shared" ca="1" si="57"/>
        <v>35.031824033595875</v>
      </c>
      <c r="P81" s="2">
        <f t="shared" ca="1" si="58"/>
        <v>58.386373389326458</v>
      </c>
      <c r="Q81" s="2">
        <f>(AVERAGE(VLOOKUP(E81,weapon_components!$A$8:$M$178,9,0),VLOOKUP(E81,weapon_components!$A$8:$M$178,10,0))+VLOOKUP(E81,weapon_components!$A$8:$M$178,11,0))/10</f>
        <v>3.15</v>
      </c>
      <c r="R81" s="32">
        <f t="shared" ca="1" si="67"/>
        <v>0.84298351041268149</v>
      </c>
      <c r="S81" s="25">
        <f t="shared" si="65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  <c r="V81">
        <v>0.82</v>
      </c>
    </row>
    <row r="82" spans="1:22" x14ac:dyDescent="0.25">
      <c r="A82" s="21">
        <f t="shared" si="59"/>
        <v>-6.4799999999999983E-2</v>
      </c>
      <c r="C82" s="2">
        <v>5</v>
      </c>
      <c r="D82" s="2">
        <v>0</v>
      </c>
      <c r="E82" s="16" t="s">
        <v>95</v>
      </c>
      <c r="F82" s="2">
        <f t="shared" si="60"/>
        <v>12.5</v>
      </c>
      <c r="G82" s="32">
        <f t="shared" ca="1" si="61"/>
        <v>12.500000000000002</v>
      </c>
      <c r="H82" s="2">
        <f t="shared" si="62"/>
        <v>4</v>
      </c>
      <c r="I82" s="2">
        <f t="shared" si="63"/>
        <v>8.5</v>
      </c>
      <c r="J82" s="2">
        <f t="shared" si="64"/>
        <v>1.25</v>
      </c>
      <c r="K82" s="10">
        <f t="shared" ca="1" si="66"/>
        <v>0.84145877079770415</v>
      </c>
      <c r="L82" s="10">
        <v>0</v>
      </c>
      <c r="M82" s="10">
        <v>1</v>
      </c>
      <c r="N82" s="2">
        <f t="shared" ca="1" si="46"/>
        <v>25.000000000000004</v>
      </c>
      <c r="O82" s="2">
        <f t="shared" ca="1" si="57"/>
        <v>81.69273454976441</v>
      </c>
      <c r="P82" s="2">
        <f t="shared" ca="1" si="58"/>
        <v>136.1545575829407</v>
      </c>
      <c r="Q82" s="2">
        <f>(AVERAGE(VLOOKUP(E82,weapon_components!$A$8:$M$178,9,0),VLOOKUP(E82,weapon_components!$A$8:$M$178,10,0))+VLOOKUP(E82,weapon_components!$A$8:$M$178,11,0))/10</f>
        <v>3.15</v>
      </c>
      <c r="R82" s="32">
        <f t="shared" ca="1" si="67"/>
        <v>0.72298351041268138</v>
      </c>
      <c r="S82" s="25">
        <f t="shared" si="65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  <c r="V82">
        <v>0.8</v>
      </c>
    </row>
    <row r="83" spans="1:22" x14ac:dyDescent="0.25">
      <c r="A83" s="21">
        <f t="shared" si="59"/>
        <v>-0.10476000000000001</v>
      </c>
      <c r="C83" s="2">
        <v>5</v>
      </c>
      <c r="D83" s="2">
        <v>1</v>
      </c>
      <c r="E83" s="16" t="s">
        <v>96</v>
      </c>
      <c r="F83" s="2">
        <f t="shared" si="60"/>
        <v>12.5</v>
      </c>
      <c r="G83" s="32">
        <f t="shared" ca="1" si="61"/>
        <v>12.499999999999996</v>
      </c>
      <c r="H83" s="2">
        <f t="shared" si="62"/>
        <v>2.5</v>
      </c>
      <c r="I83" s="2">
        <f t="shared" si="63"/>
        <v>10</v>
      </c>
      <c r="J83" s="2">
        <f t="shared" si="64"/>
        <v>0.99999999999999989</v>
      </c>
      <c r="K83" s="10">
        <f t="shared" ca="1" si="66"/>
        <v>1.8712963066048278</v>
      </c>
      <c r="L83" s="10">
        <v>0</v>
      </c>
      <c r="M83" s="10">
        <v>1</v>
      </c>
      <c r="N83" s="2">
        <f t="shared" ca="1" si="46"/>
        <v>49.999999999999986</v>
      </c>
      <c r="O83" s="2">
        <f t="shared" ca="1" si="57"/>
        <v>195.90087947704455</v>
      </c>
      <c r="P83" s="2">
        <f t="shared" ca="1" si="58"/>
        <v>326.5014657950743</v>
      </c>
      <c r="Q83" s="2">
        <f>(AVERAGE(VLOOKUP(E83,weapon_components!$A$8:$M$178,9,0),VLOOKUP(E83,weapon_components!$A$8:$M$178,10,0))+VLOOKUP(E83,weapon_components!$A$8:$M$178,11,0))/10</f>
        <v>3.15</v>
      </c>
      <c r="R83" s="32">
        <f t="shared" ca="1" si="67"/>
        <v>0.6029835104126815</v>
      </c>
      <c r="S83" s="25">
        <f t="shared" si="65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  <c r="V83">
        <v>0.75</v>
      </c>
    </row>
    <row r="84" spans="1:22" x14ac:dyDescent="0.25">
      <c r="A84" s="21">
        <f t="shared" si="59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  <c r="V84" t="s">
        <v>247</v>
      </c>
    </row>
    <row r="85" spans="1:22" x14ac:dyDescent="0.25">
      <c r="A85" s="21">
        <f t="shared" si="59"/>
        <v>0.09</v>
      </c>
      <c r="C85">
        <v>4</v>
      </c>
      <c r="D85">
        <v>1</v>
      </c>
      <c r="E85" s="5" t="s">
        <v>98</v>
      </c>
      <c r="F85" s="2">
        <f t="shared" si="60"/>
        <v>10</v>
      </c>
      <c r="G85" s="32">
        <f ca="1">IF(G$84=1,H85,H85/(R85-INDEX($O$2:$O$6,C85)))</f>
        <v>18.447102496921609</v>
      </c>
      <c r="H85" s="2">
        <f t="shared" si="64"/>
        <v>12.5</v>
      </c>
      <c r="I85" s="2">
        <f t="shared" si="64"/>
        <v>3.9999999999999996</v>
      </c>
      <c r="J85" s="2">
        <f t="shared" si="64"/>
        <v>0.99999999999999989</v>
      </c>
      <c r="K85" s="10">
        <f t="shared" ca="1" si="66"/>
        <v>-1.4097347035866044</v>
      </c>
      <c r="L85" s="10">
        <f t="shared" ref="L85" si="68">J85/F85</f>
        <v>9.9999999999999992E-2</v>
      </c>
      <c r="M85" s="10">
        <v>0</v>
      </c>
      <c r="N85" s="2">
        <f t="shared" ca="1" si="46"/>
        <v>3.2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32">
        <f t="shared" ca="1" si="67"/>
        <v>1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  <c r="V85">
        <v>0.8</v>
      </c>
    </row>
    <row r="86" spans="1:22" x14ac:dyDescent="0.25">
      <c r="A86" s="21">
        <f t="shared" si="59"/>
        <v>7.4999999999999997E-2</v>
      </c>
      <c r="C86">
        <v>5</v>
      </c>
      <c r="D86">
        <v>1</v>
      </c>
      <c r="E86" s="5" t="s">
        <v>99</v>
      </c>
      <c r="F86" s="2">
        <f t="shared" si="60"/>
        <v>12.5</v>
      </c>
      <c r="G86" s="32">
        <f ca="1">IF(G$84=1,H86,H86/(R86-INDEX($O$2:$O$6,C86)))</f>
        <v>27.218678685462514</v>
      </c>
      <c r="H86" s="2">
        <f t="shared" si="64"/>
        <v>16.25</v>
      </c>
      <c r="I86" s="2">
        <f t="shared" si="64"/>
        <v>3.9999999999999996</v>
      </c>
      <c r="J86" s="2">
        <f t="shared" si="64"/>
        <v>0.99999999999999989</v>
      </c>
      <c r="K86" s="10">
        <f t="shared" ca="1" si="66"/>
        <v>-1.2747789196555037</v>
      </c>
      <c r="L86" s="10">
        <v>0.1</v>
      </c>
      <c r="M86" s="10">
        <v>0</v>
      </c>
      <c r="N86" s="2">
        <f ca="1">(AVERAGE(O86,P86)*R86)/Q86</f>
        <v>2.6666666666666665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32">
        <f t="shared" ca="1" si="67"/>
        <v>1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  <c r="V86">
        <v>0.8</v>
      </c>
    </row>
    <row r="87" spans="1:22" s="14" customFormat="1" x14ac:dyDescent="0.25">
      <c r="A87" s="21">
        <f t="shared" si="59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  <c r="V87" s="14" t="s">
        <v>247</v>
      </c>
    </row>
    <row r="88" spans="1:22" x14ac:dyDescent="0.25">
      <c r="A88" s="21">
        <f t="shared" si="59"/>
        <v>-9.0000000000000011E-3</v>
      </c>
      <c r="C88" s="2">
        <v>1</v>
      </c>
      <c r="D88" s="2">
        <v>-1</v>
      </c>
      <c r="E88" s="5" t="s">
        <v>101</v>
      </c>
      <c r="F88" s="2">
        <f t="shared" si="60"/>
        <v>2.5</v>
      </c>
      <c r="G88" s="32">
        <f>IF(G$87=1,H88,H88/(R88-INDEX($O$2:$O$6,C88)))</f>
        <v>2.5</v>
      </c>
      <c r="H88" s="2">
        <f>$F88*(INDEX($F$3:$F$5,H$87)+(($C88+($D88*$F$7))*INDEX($G$3:$G$5,H$9)))</f>
        <v>2.5</v>
      </c>
      <c r="I88" s="2">
        <f t="shared" ref="H88:J102" si="69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ca="1" si="66"/>
        <v>-3.9999999999999991</v>
      </c>
      <c r="L88" s="10">
        <v>0</v>
      </c>
      <c r="M88" s="10">
        <v>1</v>
      </c>
      <c r="N88" s="2">
        <f t="shared" ca="1" si="46"/>
        <v>2.5</v>
      </c>
      <c r="O88" s="2">
        <f ca="1">0.75*(((G88*INDEX($R$1:$R$3,$D88+2))*Q88)/R88)</f>
        <v>10.3125</v>
      </c>
      <c r="P88" s="2">
        <f ca="1"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32">
        <f t="shared" ca="1" si="67"/>
        <v>1</v>
      </c>
      <c r="S88" s="25">
        <f>($S$87)*(1+(D88*$F$8))*(1+((C88-1)*$J$3))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  <c r="V88">
        <v>1</v>
      </c>
    </row>
    <row r="89" spans="1:22" x14ac:dyDescent="0.25">
      <c r="A89" s="21">
        <f t="shared" si="59"/>
        <v>-4.4999999999999998E-2</v>
      </c>
      <c r="C89" s="2">
        <v>1</v>
      </c>
      <c r="D89" s="2">
        <v>0</v>
      </c>
      <c r="E89" s="5" t="s">
        <v>102</v>
      </c>
      <c r="F89" s="2">
        <f t="shared" si="60"/>
        <v>2.5</v>
      </c>
      <c r="G89" s="32">
        <f t="shared" ref="G89:G102" si="70">IF(G$87=1,H89,H89/(R89-INDEX($O$2:$O$6,C89)))</f>
        <v>2.625</v>
      </c>
      <c r="H89" s="2">
        <f t="shared" si="69"/>
        <v>2.625</v>
      </c>
      <c r="I89" s="2">
        <f t="shared" si="69"/>
        <v>1.7999999999999998</v>
      </c>
      <c r="J89" s="2">
        <f t="shared" si="69"/>
        <v>2.4500000000000002</v>
      </c>
      <c r="K89" s="10">
        <f t="shared" ca="1" si="66"/>
        <v>-6.8571428571428594</v>
      </c>
      <c r="L89" s="10">
        <v>0</v>
      </c>
      <c r="M89" s="10">
        <v>1</v>
      </c>
      <c r="N89" s="2">
        <f t="shared" ca="1" si="46"/>
        <v>5.25</v>
      </c>
      <c r="O89" s="2">
        <f ca="1">0.75*(((G89*INDEX($R$1:$R$3,$D89+2))*Q89)/R89)</f>
        <v>21.65625</v>
      </c>
      <c r="P89" s="2">
        <f ca="1">1.25*(((G89*INDEX($R$1:$R$3,$D89+2))*Q89)/R89)</f>
        <v>36.09375</v>
      </c>
      <c r="Q89" s="2">
        <f>(AVERAGE(VLOOKUP(E89,weapon_components!$A$8:$M$178,9,0),VLOOKUP(E89,weapon_components!$A$8:$M$178,10,0))+VLOOKUP(E89,weapon_components!$A$8:$M$178,11,0))/10</f>
        <v>5.5</v>
      </c>
      <c r="R89" s="32">
        <f t="shared" ca="1" si="67"/>
        <v>1</v>
      </c>
      <c r="S89" s="25">
        <f t="shared" ref="S89:S102" si="71">($S$87)*(1+(D89*$F$8))*(1+((C89-1)*$J$3))</f>
        <v>60</v>
      </c>
      <c r="T89" s="2">
        <f t="shared" ref="T89:T115" si="72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  <c r="V89">
        <v>1</v>
      </c>
    </row>
    <row r="90" spans="1:22" x14ac:dyDescent="0.25">
      <c r="A90" s="21">
        <f t="shared" si="59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32">
        <f t="shared" si="70"/>
        <v>2.75</v>
      </c>
      <c r="H90" s="2">
        <f t="shared" si="69"/>
        <v>2.75</v>
      </c>
      <c r="I90" s="2">
        <f t="shared" si="69"/>
        <v>1.6</v>
      </c>
      <c r="J90" s="2">
        <f t="shared" si="69"/>
        <v>2.4</v>
      </c>
      <c r="K90" s="10">
        <f t="shared" ca="1" si="66"/>
        <v>-9.4545454545454515</v>
      </c>
      <c r="L90" s="10">
        <v>0</v>
      </c>
      <c r="M90" s="10">
        <v>1</v>
      </c>
      <c r="N90" s="2">
        <f t="shared" ref="N90:N115" ca="1" si="73">(AVERAGE(O90,P90)*R90)/Q90</f>
        <v>11</v>
      </c>
      <c r="O90" s="2">
        <f t="shared" ref="O90:O115" ca="1" si="74">0.75*(((G90*INDEX($R$1:$R$3,$D90+2))*Q90)/R90)</f>
        <v>45.375</v>
      </c>
      <c r="P90" s="2">
        <f t="shared" ref="P90:P115" ca="1" si="75">1.25*(((G90*INDEX($R$1:$R$3,$D90+2))*Q90)/R90)</f>
        <v>75.625</v>
      </c>
      <c r="Q90" s="2">
        <f>(AVERAGE(VLOOKUP(E90,weapon_components!$A$8:$M$178,9,0),VLOOKUP(E90,weapon_components!$A$8:$M$178,10,0))+VLOOKUP(E90,weapon_components!$A$8:$M$178,11,0))/10</f>
        <v>5.5</v>
      </c>
      <c r="R90" s="32">
        <f t="shared" ca="1" si="67"/>
        <v>1</v>
      </c>
      <c r="S90" s="25">
        <f t="shared" si="71"/>
        <v>72</v>
      </c>
      <c r="T90" s="2">
        <f t="shared" si="72"/>
        <v>2.5</v>
      </c>
      <c r="U90" s="14">
        <f>-INDEX('Ship Design Balancing'!$K$2:$K$6,'Weapon Formulas'!C90)*(INDEX('Weapon Formulas'!$R$1:$R$3,'Weapon Formulas'!D90+2)*(1+'Weapon Formulas'!B90))</f>
        <v>-13.333333333333332</v>
      </c>
      <c r="V90">
        <v>1</v>
      </c>
    </row>
    <row r="91" spans="1:22" x14ac:dyDescent="0.25">
      <c r="A91" s="21">
        <f t="shared" si="59"/>
        <v>-2.6280000000000015E-2</v>
      </c>
      <c r="C91" s="2">
        <v>2</v>
      </c>
      <c r="D91" s="2">
        <v>-1</v>
      </c>
      <c r="E91" s="5" t="s">
        <v>104</v>
      </c>
      <c r="F91" s="2">
        <f t="shared" si="60"/>
        <v>5</v>
      </c>
      <c r="G91" s="32">
        <f t="shared" si="70"/>
        <v>5.25</v>
      </c>
      <c r="H91" s="2">
        <f t="shared" si="69"/>
        <v>5.25</v>
      </c>
      <c r="I91" s="2">
        <f t="shared" si="69"/>
        <v>3.5999999999999996</v>
      </c>
      <c r="J91" s="2">
        <f t="shared" si="69"/>
        <v>4.9000000000000004</v>
      </c>
      <c r="K91" s="10">
        <f t="shared" ca="1" si="66"/>
        <v>-0.74603174603174671</v>
      </c>
      <c r="L91" s="10">
        <v>0</v>
      </c>
      <c r="M91" s="10">
        <v>1</v>
      </c>
      <c r="N91" s="2">
        <f t="shared" ca="1" si="73"/>
        <v>5.25</v>
      </c>
      <c r="O91" s="2">
        <f t="shared" ca="1" si="74"/>
        <v>21.65625</v>
      </c>
      <c r="P91" s="2">
        <f t="shared" ca="1" si="75"/>
        <v>36.09375</v>
      </c>
      <c r="Q91" s="2">
        <f>(AVERAGE(VLOOKUP(E91,weapon_components!$A$8:$M$178,9,0),VLOOKUP(E91,weapon_components!$A$8:$M$178,10,0))+VLOOKUP(E91,weapon_components!$A$8:$M$178,11,0))/10</f>
        <v>5.5</v>
      </c>
      <c r="R91" s="32">
        <f t="shared" ca="1" si="67"/>
        <v>1</v>
      </c>
      <c r="S91" s="25">
        <f t="shared" si="71"/>
        <v>53.760000000000005</v>
      </c>
      <c r="T91" s="2">
        <f t="shared" si="72"/>
        <v>3.75</v>
      </c>
      <c r="U91" s="14">
        <f>-INDEX('Ship Design Balancing'!$K$2:$K$6,'Weapon Formulas'!C91)*(INDEX('Weapon Formulas'!$R$1:$R$3,'Weapon Formulas'!D91+2)*(1+'Weapon Formulas'!B91))</f>
        <v>-6.6666666666666661</v>
      </c>
      <c r="V91">
        <v>1</v>
      </c>
    </row>
    <row r="92" spans="1:22" x14ac:dyDescent="0.25">
      <c r="A92" s="21">
        <f t="shared" si="59"/>
        <v>-6.6600000000000006E-2</v>
      </c>
      <c r="C92" s="2">
        <v>2</v>
      </c>
      <c r="D92" s="2">
        <v>0</v>
      </c>
      <c r="E92" s="5" t="s">
        <v>105</v>
      </c>
      <c r="F92" s="2">
        <f t="shared" si="60"/>
        <v>5</v>
      </c>
      <c r="G92" s="32">
        <f t="shared" si="70"/>
        <v>5.5</v>
      </c>
      <c r="H92" s="2">
        <f t="shared" si="69"/>
        <v>5.5</v>
      </c>
      <c r="I92" s="2">
        <f t="shared" si="69"/>
        <v>3.2</v>
      </c>
      <c r="J92" s="2">
        <f t="shared" si="69"/>
        <v>4.8</v>
      </c>
      <c r="K92" s="10">
        <f t="shared" ca="1" si="66"/>
        <v>-1.3232323232323226</v>
      </c>
      <c r="L92" s="10">
        <v>0</v>
      </c>
      <c r="M92" s="10">
        <v>1</v>
      </c>
      <c r="N92" s="2">
        <f t="shared" ca="1" si="73"/>
        <v>11</v>
      </c>
      <c r="O92" s="2">
        <f t="shared" ca="1" si="74"/>
        <v>45.375</v>
      </c>
      <c r="P92" s="2">
        <f t="shared" ca="1" si="75"/>
        <v>75.625</v>
      </c>
      <c r="Q92" s="2">
        <f>(AVERAGE(VLOOKUP(E92,weapon_components!$A$8:$M$178,9,0),VLOOKUP(E92,weapon_components!$A$8:$M$178,10,0))+VLOOKUP(E92,weapon_components!$A$8:$M$178,11,0))/10</f>
        <v>5.5</v>
      </c>
      <c r="R92" s="32">
        <f t="shared" ca="1" si="67"/>
        <v>1</v>
      </c>
      <c r="S92" s="25">
        <f t="shared" si="71"/>
        <v>67.2</v>
      </c>
      <c r="T92" s="2">
        <f t="shared" si="72"/>
        <v>3.75</v>
      </c>
      <c r="U92" s="14">
        <f>-INDEX('Ship Design Balancing'!$K$2:$K$6,'Weapon Formulas'!C92)*(INDEX('Weapon Formulas'!$R$1:$R$3,'Weapon Formulas'!D92+2)*(1+'Weapon Formulas'!B92))</f>
        <v>-13.333333333333332</v>
      </c>
      <c r="V92">
        <v>1</v>
      </c>
    </row>
    <row r="93" spans="1:22" x14ac:dyDescent="0.25">
      <c r="A93" s="21">
        <f t="shared" si="59"/>
        <v>-0.10692000000000004</v>
      </c>
      <c r="C93" s="2">
        <v>2</v>
      </c>
      <c r="D93" s="2">
        <v>1</v>
      </c>
      <c r="E93" s="5" t="s">
        <v>106</v>
      </c>
      <c r="F93" s="2">
        <f t="shared" si="60"/>
        <v>5</v>
      </c>
      <c r="G93" s="32">
        <f t="shared" si="70"/>
        <v>5.75</v>
      </c>
      <c r="H93" s="2">
        <f t="shared" si="69"/>
        <v>5.75</v>
      </c>
      <c r="I93" s="2">
        <f t="shared" si="69"/>
        <v>2.8000000000000003</v>
      </c>
      <c r="J93" s="2">
        <f t="shared" si="69"/>
        <v>4.6999999999999993</v>
      </c>
      <c r="K93" s="10">
        <f t="shared" ca="1" si="66"/>
        <v>-1.8502415458937196</v>
      </c>
      <c r="L93" s="10">
        <v>0</v>
      </c>
      <c r="M93" s="10">
        <v>1</v>
      </c>
      <c r="N93" s="2">
        <f t="shared" ca="1" si="73"/>
        <v>23</v>
      </c>
      <c r="O93" s="2">
        <f t="shared" ca="1" si="74"/>
        <v>94.875</v>
      </c>
      <c r="P93" s="2">
        <f t="shared" ca="1" si="75"/>
        <v>158.125</v>
      </c>
      <c r="Q93" s="2">
        <f>(AVERAGE(VLOOKUP(E93,weapon_components!$A$8:$M$178,9,0),VLOOKUP(E93,weapon_components!$A$8:$M$178,10,0))+VLOOKUP(E93,weapon_components!$A$8:$M$178,11,0))/10</f>
        <v>5.5</v>
      </c>
      <c r="R93" s="32">
        <f t="shared" ca="1" si="67"/>
        <v>1</v>
      </c>
      <c r="S93" s="25">
        <f t="shared" si="71"/>
        <v>80.640000000000015</v>
      </c>
      <c r="T93" s="2">
        <f t="shared" si="72"/>
        <v>3.75</v>
      </c>
      <c r="U93" s="14">
        <f>-INDEX('Ship Design Balancing'!$K$2:$K$6,'Weapon Formulas'!C93)*(INDEX('Weapon Formulas'!$R$1:$R$3,'Weapon Formulas'!D93+2)*(1+'Weapon Formulas'!B93))</f>
        <v>-26.666666666666664</v>
      </c>
      <c r="V93">
        <v>1</v>
      </c>
    </row>
    <row r="94" spans="1:22" x14ac:dyDescent="0.25">
      <c r="A94" s="21">
        <f t="shared" si="59"/>
        <v>-4.3559999999999988E-2</v>
      </c>
      <c r="C94" s="2">
        <v>3</v>
      </c>
      <c r="D94" s="2">
        <v>-1</v>
      </c>
      <c r="E94" s="5" t="s">
        <v>107</v>
      </c>
      <c r="F94" s="2">
        <f t="shared" si="60"/>
        <v>7.5</v>
      </c>
      <c r="G94" s="32">
        <f t="shared" si="70"/>
        <v>8.25</v>
      </c>
      <c r="H94" s="2">
        <f t="shared" si="69"/>
        <v>8.25</v>
      </c>
      <c r="I94" s="2">
        <f t="shared" si="69"/>
        <v>4.8</v>
      </c>
      <c r="J94" s="2">
        <f t="shared" si="69"/>
        <v>7.1999999999999993</v>
      </c>
      <c r="K94" s="10">
        <f t="shared" ca="1" si="66"/>
        <v>-0.39393939393939403</v>
      </c>
      <c r="L94" s="10">
        <v>0</v>
      </c>
      <c r="M94" s="10">
        <v>1</v>
      </c>
      <c r="N94" s="2">
        <f t="shared" ca="1" si="73"/>
        <v>8.25</v>
      </c>
      <c r="O94" s="2">
        <f t="shared" ca="1" si="74"/>
        <v>34.03125</v>
      </c>
      <c r="P94" s="2">
        <f t="shared" ca="1" si="75"/>
        <v>56.71875</v>
      </c>
      <c r="Q94" s="2">
        <f>(AVERAGE(VLOOKUP(E94,weapon_components!$A$8:$M$178,9,0),VLOOKUP(E94,weapon_components!$A$8:$M$178,10,0))+VLOOKUP(E94,weapon_components!$A$8:$M$178,11,0))/10</f>
        <v>5.5</v>
      </c>
      <c r="R94" s="32">
        <f t="shared" ca="1" si="67"/>
        <v>1</v>
      </c>
      <c r="S94" s="25">
        <f t="shared" si="71"/>
        <v>59.519999999999996</v>
      </c>
      <c r="T94" s="2">
        <f t="shared" si="72"/>
        <v>5</v>
      </c>
      <c r="U94" s="14">
        <f>-INDEX('Ship Design Balancing'!$K$2:$K$6,'Weapon Formulas'!C94)*(INDEX('Weapon Formulas'!$R$1:$R$3,'Weapon Formulas'!D94+2)*(1+'Weapon Formulas'!B94))</f>
        <v>-13.333333333333332</v>
      </c>
      <c r="V94">
        <v>1</v>
      </c>
    </row>
    <row r="95" spans="1:22" x14ac:dyDescent="0.25">
      <c r="A95" s="21">
        <f t="shared" si="59"/>
        <v>-8.8200000000000014E-2</v>
      </c>
      <c r="C95" s="2">
        <v>3</v>
      </c>
      <c r="D95" s="2">
        <v>0</v>
      </c>
      <c r="E95" s="5" t="s">
        <v>108</v>
      </c>
      <c r="F95" s="2">
        <f t="shared" si="60"/>
        <v>7.5</v>
      </c>
      <c r="G95" s="32">
        <f t="shared" si="70"/>
        <v>8.625</v>
      </c>
      <c r="H95" s="2">
        <f t="shared" si="69"/>
        <v>8.625</v>
      </c>
      <c r="I95" s="2">
        <f t="shared" si="69"/>
        <v>4.2</v>
      </c>
      <c r="J95" s="2">
        <f t="shared" si="69"/>
        <v>7.05</v>
      </c>
      <c r="K95" s="10">
        <f t="shared" ca="1" si="66"/>
        <v>-0.71014492753623171</v>
      </c>
      <c r="L95" s="10">
        <v>0</v>
      </c>
      <c r="M95" s="10">
        <v>1</v>
      </c>
      <c r="N95" s="2">
        <f t="shared" ca="1" si="73"/>
        <v>17.25</v>
      </c>
      <c r="O95" s="2">
        <f t="shared" ca="1" si="74"/>
        <v>71.15625</v>
      </c>
      <c r="P95" s="2">
        <f t="shared" ca="1" si="75"/>
        <v>118.59375</v>
      </c>
      <c r="Q95" s="2">
        <f>(AVERAGE(VLOOKUP(E95,weapon_components!$A$8:$M$178,9,0),VLOOKUP(E95,weapon_components!$A$8:$M$178,10,0))+VLOOKUP(E95,weapon_components!$A$8:$M$178,11,0))/10</f>
        <v>5.5</v>
      </c>
      <c r="R95" s="32">
        <f t="shared" ca="1" si="67"/>
        <v>1</v>
      </c>
      <c r="S95" s="25">
        <f t="shared" si="71"/>
        <v>74.400000000000006</v>
      </c>
      <c r="T95" s="2">
        <f t="shared" si="72"/>
        <v>5</v>
      </c>
      <c r="U95" s="14">
        <f>-INDEX('Ship Design Balancing'!$K$2:$K$6,'Weapon Formulas'!C95)*(INDEX('Weapon Formulas'!$R$1:$R$3,'Weapon Formulas'!D95+2)*(1+'Weapon Formulas'!B95))</f>
        <v>-26.666666666666664</v>
      </c>
      <c r="V95">
        <v>1</v>
      </c>
    </row>
    <row r="96" spans="1:22" x14ac:dyDescent="0.25">
      <c r="A96" s="21">
        <f t="shared" si="59"/>
        <v>-0.13284000000000001</v>
      </c>
      <c r="C96" s="2">
        <v>3</v>
      </c>
      <c r="D96" s="2">
        <v>1</v>
      </c>
      <c r="E96" s="5" t="s">
        <v>109</v>
      </c>
      <c r="F96" s="2">
        <f t="shared" si="60"/>
        <v>7.5</v>
      </c>
      <c r="G96" s="32">
        <f t="shared" si="70"/>
        <v>9</v>
      </c>
      <c r="H96" s="2">
        <f t="shared" si="69"/>
        <v>9</v>
      </c>
      <c r="I96" s="2">
        <f t="shared" si="69"/>
        <v>3.5999999999999996</v>
      </c>
      <c r="J96" s="2">
        <f t="shared" si="69"/>
        <v>6.8999999999999995</v>
      </c>
      <c r="K96" s="10">
        <f t="shared" ca="1" si="66"/>
        <v>-1.0000000000000004</v>
      </c>
      <c r="L96" s="10">
        <v>0</v>
      </c>
      <c r="M96" s="10">
        <v>1</v>
      </c>
      <c r="N96" s="2">
        <f t="shared" ca="1" si="73"/>
        <v>36</v>
      </c>
      <c r="O96" s="2">
        <f t="shared" ca="1" si="74"/>
        <v>148.5</v>
      </c>
      <c r="P96" s="2">
        <f t="shared" ca="1" si="75"/>
        <v>247.5</v>
      </c>
      <c r="Q96" s="2">
        <f>(AVERAGE(VLOOKUP(E96,weapon_components!$A$8:$M$178,9,0),VLOOKUP(E96,weapon_components!$A$8:$M$178,10,0))+VLOOKUP(E96,weapon_components!$A$8:$M$178,11,0))/10</f>
        <v>5.5</v>
      </c>
      <c r="R96" s="32">
        <f t="shared" ca="1" si="67"/>
        <v>1</v>
      </c>
      <c r="S96" s="25">
        <f t="shared" si="71"/>
        <v>89.28</v>
      </c>
      <c r="T96" s="2">
        <f t="shared" si="72"/>
        <v>5</v>
      </c>
      <c r="U96" s="14">
        <f>-INDEX('Ship Design Balancing'!$K$2:$K$6,'Weapon Formulas'!C96)*(INDEX('Weapon Formulas'!$R$1:$R$3,'Weapon Formulas'!D96+2)*(1+'Weapon Formulas'!B96))</f>
        <v>-53.333333333333329</v>
      </c>
      <c r="V96">
        <v>1</v>
      </c>
    </row>
    <row r="97" spans="1:22" x14ac:dyDescent="0.25">
      <c r="A97" s="21">
        <f t="shared" si="59"/>
        <v>-6.0840000000000005E-2</v>
      </c>
      <c r="C97" s="2">
        <v>4</v>
      </c>
      <c r="D97" s="2">
        <v>-1</v>
      </c>
      <c r="E97" s="5" t="s">
        <v>110</v>
      </c>
      <c r="F97" s="2">
        <f t="shared" si="60"/>
        <v>10</v>
      </c>
      <c r="G97" s="32">
        <f t="shared" si="70"/>
        <v>11.5</v>
      </c>
      <c r="H97" s="2">
        <f t="shared" si="69"/>
        <v>11.5</v>
      </c>
      <c r="I97" s="2">
        <f t="shared" si="69"/>
        <v>5.6000000000000005</v>
      </c>
      <c r="J97" s="2">
        <f t="shared" si="69"/>
        <v>9.3999999999999986</v>
      </c>
      <c r="K97" s="10">
        <f t="shared" ca="1" si="66"/>
        <v>-0.57859531772575212</v>
      </c>
      <c r="L97" s="10">
        <v>0</v>
      </c>
      <c r="M97" s="10">
        <v>1</v>
      </c>
      <c r="N97" s="2">
        <f t="shared" ca="1" si="73"/>
        <v>11.5</v>
      </c>
      <c r="O97" s="2">
        <f t="shared" ca="1" si="74"/>
        <v>47.4375</v>
      </c>
      <c r="P97" s="2">
        <f t="shared" ca="1" si="75"/>
        <v>79.0625</v>
      </c>
      <c r="Q97" s="2">
        <f>(AVERAGE(VLOOKUP(E97,weapon_components!$A$8:$M$178,9,0),VLOOKUP(E97,weapon_components!$A$8:$M$178,10,0))+VLOOKUP(E97,weapon_components!$A$8:$M$178,11,0))/10</f>
        <v>5.5</v>
      </c>
      <c r="R97" s="32">
        <f t="shared" ca="1" si="67"/>
        <v>1</v>
      </c>
      <c r="S97" s="25">
        <f t="shared" si="71"/>
        <v>65.28</v>
      </c>
      <c r="T97" s="2">
        <f t="shared" si="72"/>
        <v>7.5</v>
      </c>
      <c r="U97" s="14">
        <f>-INDEX('Ship Design Balancing'!$K$2:$K$6,'Weapon Formulas'!C97)*(INDEX('Weapon Formulas'!$R$1:$R$3,'Weapon Formulas'!D97+2)*(1+'Weapon Formulas'!B97))</f>
        <v>-26.666666666666664</v>
      </c>
      <c r="V97">
        <v>1</v>
      </c>
    </row>
    <row r="98" spans="1:22" x14ac:dyDescent="0.25">
      <c r="A98" s="21">
        <f t="shared" si="59"/>
        <v>-0.10979999999999998</v>
      </c>
      <c r="C98" s="2">
        <v>4</v>
      </c>
      <c r="D98" s="2">
        <v>0</v>
      </c>
      <c r="E98" s="5" t="s">
        <v>111</v>
      </c>
      <c r="F98" s="2">
        <f t="shared" si="60"/>
        <v>10</v>
      </c>
      <c r="G98" s="32">
        <f t="shared" si="70"/>
        <v>12</v>
      </c>
      <c r="H98" s="2">
        <f t="shared" si="69"/>
        <v>12</v>
      </c>
      <c r="I98" s="2">
        <f t="shared" si="69"/>
        <v>4.8</v>
      </c>
      <c r="J98" s="2">
        <f t="shared" si="69"/>
        <v>9.1999999999999993</v>
      </c>
      <c r="K98" s="10">
        <f t="shared" ca="1" si="66"/>
        <v>-0.84615384615384626</v>
      </c>
      <c r="L98" s="10">
        <v>0</v>
      </c>
      <c r="M98" s="10">
        <v>1</v>
      </c>
      <c r="N98" s="2">
        <f t="shared" ca="1" si="73"/>
        <v>24</v>
      </c>
      <c r="O98" s="2">
        <f t="shared" ca="1" si="74"/>
        <v>99</v>
      </c>
      <c r="P98" s="2">
        <f t="shared" ca="1" si="75"/>
        <v>165</v>
      </c>
      <c r="Q98" s="2">
        <f>(AVERAGE(VLOOKUP(E98,weapon_components!$A$8:$M$178,9,0),VLOOKUP(E98,weapon_components!$A$8:$M$178,10,0))+VLOOKUP(E98,weapon_components!$A$8:$M$178,11,0))/10</f>
        <v>5.5</v>
      </c>
      <c r="R98" s="32">
        <f t="shared" ca="1" si="67"/>
        <v>1</v>
      </c>
      <c r="S98" s="25">
        <f t="shared" si="71"/>
        <v>81.599999999999994</v>
      </c>
      <c r="T98" s="2">
        <f t="shared" si="72"/>
        <v>7.5</v>
      </c>
      <c r="U98" s="14">
        <f>-INDEX('Ship Design Balancing'!$K$2:$K$6,'Weapon Formulas'!C98)*(INDEX('Weapon Formulas'!$R$1:$R$3,'Weapon Formulas'!D98+2)*(1+'Weapon Formulas'!B98))</f>
        <v>-53.333333333333329</v>
      </c>
      <c r="V98">
        <v>1</v>
      </c>
    </row>
    <row r="99" spans="1:22" x14ac:dyDescent="0.25">
      <c r="A99" s="21">
        <f t="shared" si="59"/>
        <v>-0.15875999999999996</v>
      </c>
      <c r="C99" s="2">
        <v>4</v>
      </c>
      <c r="D99" s="2">
        <v>1</v>
      </c>
      <c r="E99" s="5" t="s">
        <v>112</v>
      </c>
      <c r="F99" s="2">
        <f t="shared" si="60"/>
        <v>10</v>
      </c>
      <c r="G99" s="32">
        <f t="shared" si="70"/>
        <v>12.5</v>
      </c>
      <c r="H99" s="2">
        <f t="shared" si="69"/>
        <v>12.5</v>
      </c>
      <c r="I99" s="2">
        <f t="shared" si="69"/>
        <v>3.9999999999999996</v>
      </c>
      <c r="J99" s="2">
        <f t="shared" si="69"/>
        <v>9</v>
      </c>
      <c r="K99" s="10">
        <f t="shared" ca="1" si="66"/>
        <v>-1.0923076923076924</v>
      </c>
      <c r="L99" s="10">
        <v>0</v>
      </c>
      <c r="M99" s="10">
        <v>1</v>
      </c>
      <c r="N99" s="2">
        <f t="shared" ca="1" si="73"/>
        <v>50</v>
      </c>
      <c r="O99" s="2">
        <f t="shared" ca="1" si="74"/>
        <v>206.25</v>
      </c>
      <c r="P99" s="2">
        <f t="shared" ca="1" si="75"/>
        <v>343.75</v>
      </c>
      <c r="Q99" s="2">
        <f>(AVERAGE(VLOOKUP(E99,weapon_components!$A$8:$M$178,9,0),VLOOKUP(E99,weapon_components!$A$8:$M$178,10,0))+VLOOKUP(E99,weapon_components!$A$8:$M$178,11,0))/10</f>
        <v>5.5</v>
      </c>
      <c r="R99" s="32">
        <f t="shared" ca="1" si="67"/>
        <v>1</v>
      </c>
      <c r="S99" s="25">
        <f t="shared" si="71"/>
        <v>97.919999999999987</v>
      </c>
      <c r="T99" s="2">
        <f t="shared" si="72"/>
        <v>7.5</v>
      </c>
      <c r="U99" s="14">
        <f>-INDEX('Ship Design Balancing'!$K$2:$K$6,'Weapon Formulas'!C99)*(INDEX('Weapon Formulas'!$R$1:$R$3,'Weapon Formulas'!D99+2)*(1+'Weapon Formulas'!B99))</f>
        <v>-106.66666666666666</v>
      </c>
      <c r="V99">
        <v>1</v>
      </c>
    </row>
    <row r="100" spans="1:22" x14ac:dyDescent="0.25">
      <c r="A100" s="21">
        <f t="shared" si="59"/>
        <v>-7.8119999999999981E-2</v>
      </c>
      <c r="C100" s="2">
        <v>5</v>
      </c>
      <c r="D100" s="2">
        <v>-1</v>
      </c>
      <c r="E100" s="5" t="s">
        <v>113</v>
      </c>
      <c r="F100" s="2">
        <f t="shared" si="60"/>
        <v>12.5</v>
      </c>
      <c r="G100" s="32">
        <f t="shared" si="70"/>
        <v>15</v>
      </c>
      <c r="H100" s="2">
        <f t="shared" si="69"/>
        <v>15</v>
      </c>
      <c r="I100" s="2">
        <f t="shared" si="69"/>
        <v>6</v>
      </c>
      <c r="J100" s="2">
        <f t="shared" si="69"/>
        <v>11.5</v>
      </c>
      <c r="K100" s="10">
        <f t="shared" ca="1" si="66"/>
        <v>-0.59999999999999987</v>
      </c>
      <c r="L100" s="10">
        <v>0</v>
      </c>
      <c r="M100" s="10">
        <v>1</v>
      </c>
      <c r="N100" s="2">
        <f t="shared" ca="1" si="73"/>
        <v>15</v>
      </c>
      <c r="O100" s="2">
        <f t="shared" ca="1" si="74"/>
        <v>61.875</v>
      </c>
      <c r="P100" s="2">
        <f t="shared" ca="1" si="75"/>
        <v>103.125</v>
      </c>
      <c r="Q100" s="2">
        <f>(AVERAGE(VLOOKUP(E100,weapon_components!$A$8:$M$178,9,0),VLOOKUP(E100,weapon_components!$A$8:$M$178,10,0))+VLOOKUP(E100,weapon_components!$A$8:$M$178,11,0))/10</f>
        <v>5.5</v>
      </c>
      <c r="R100" s="32">
        <f t="shared" ca="1" si="67"/>
        <v>1</v>
      </c>
      <c r="S100" s="25">
        <f t="shared" si="71"/>
        <v>71.039999999999992</v>
      </c>
      <c r="T100" s="2">
        <f t="shared" si="72"/>
        <v>10</v>
      </c>
      <c r="U100" s="14">
        <f>-INDEX('Ship Design Balancing'!$K$2:$K$6,'Weapon Formulas'!C100)*(INDEX('Weapon Formulas'!$R$1:$R$3,'Weapon Formulas'!D100+2)*(1+'Weapon Formulas'!B100))</f>
        <v>-53.333333333333329</v>
      </c>
      <c r="V100">
        <v>1</v>
      </c>
    </row>
    <row r="101" spans="1:22" x14ac:dyDescent="0.25">
      <c r="A101" s="21">
        <f t="shared" si="59"/>
        <v>-0.13139999999999999</v>
      </c>
      <c r="C101" s="2">
        <v>5</v>
      </c>
      <c r="D101" s="2">
        <v>0</v>
      </c>
      <c r="E101" s="5" t="s">
        <v>114</v>
      </c>
      <c r="F101" s="2">
        <f t="shared" si="60"/>
        <v>12.5</v>
      </c>
      <c r="G101" s="32">
        <f t="shared" si="70"/>
        <v>15.625</v>
      </c>
      <c r="H101" s="2">
        <f t="shared" si="69"/>
        <v>15.625</v>
      </c>
      <c r="I101" s="2">
        <f t="shared" si="69"/>
        <v>5</v>
      </c>
      <c r="J101" s="2">
        <f t="shared" si="69"/>
        <v>11.25</v>
      </c>
      <c r="K101" s="10">
        <f t="shared" ca="1" si="66"/>
        <v>-0.81333333333333324</v>
      </c>
      <c r="L101" s="10">
        <v>0</v>
      </c>
      <c r="M101" s="10">
        <v>1</v>
      </c>
      <c r="N101" s="2">
        <f t="shared" ca="1" si="73"/>
        <v>31.25</v>
      </c>
      <c r="O101" s="2">
        <f t="shared" ca="1" si="74"/>
        <v>128.90625</v>
      </c>
      <c r="P101" s="2">
        <f t="shared" ca="1" si="75"/>
        <v>214.84375</v>
      </c>
      <c r="Q101" s="2">
        <f>(AVERAGE(VLOOKUP(E101,weapon_components!$A$8:$M$178,9,0),VLOOKUP(E101,weapon_components!$A$8:$M$178,10,0))+VLOOKUP(E101,weapon_components!$A$8:$M$178,11,0))/10</f>
        <v>5.5</v>
      </c>
      <c r="R101" s="32">
        <f t="shared" ca="1" si="67"/>
        <v>1</v>
      </c>
      <c r="S101" s="25">
        <f t="shared" si="71"/>
        <v>88.8</v>
      </c>
      <c r="T101" s="2">
        <f t="shared" si="72"/>
        <v>10</v>
      </c>
      <c r="U101" s="14">
        <f>-INDEX('Ship Design Balancing'!$K$2:$K$6,'Weapon Formulas'!C101)*(INDEX('Weapon Formulas'!$R$1:$R$3,'Weapon Formulas'!D101+2)*(1+'Weapon Formulas'!B101))</f>
        <v>-106.66666666666666</v>
      </c>
      <c r="V101">
        <v>1</v>
      </c>
    </row>
    <row r="102" spans="1:22" x14ac:dyDescent="0.25">
      <c r="A102" s="21">
        <f t="shared" si="59"/>
        <v>-0.18468000000000001</v>
      </c>
      <c r="C102" s="2">
        <v>5</v>
      </c>
      <c r="D102" s="2">
        <v>1</v>
      </c>
      <c r="E102" s="5" t="s">
        <v>115</v>
      </c>
      <c r="F102" s="2">
        <f t="shared" si="60"/>
        <v>12.5</v>
      </c>
      <c r="G102" s="32">
        <f t="shared" si="70"/>
        <v>16.25</v>
      </c>
      <c r="H102" s="2">
        <f t="shared" si="69"/>
        <v>16.25</v>
      </c>
      <c r="I102" s="2">
        <f t="shared" si="69"/>
        <v>3.9999999999999996</v>
      </c>
      <c r="J102" s="2">
        <f t="shared" si="69"/>
        <v>11</v>
      </c>
      <c r="K102" s="10">
        <f t="shared" ca="1" si="66"/>
        <v>-1.0102564102564102</v>
      </c>
      <c r="L102" s="10">
        <v>0</v>
      </c>
      <c r="M102" s="10">
        <v>1</v>
      </c>
      <c r="N102" s="2">
        <f t="shared" ca="1" si="73"/>
        <v>65</v>
      </c>
      <c r="O102" s="2">
        <f t="shared" ca="1" si="74"/>
        <v>268.125</v>
      </c>
      <c r="P102" s="2">
        <f t="shared" ca="1" si="75"/>
        <v>446.875</v>
      </c>
      <c r="Q102" s="2">
        <f>(AVERAGE(VLOOKUP(E102,weapon_components!$A$8:$M$178,9,0),VLOOKUP(E102,weapon_components!$A$8:$M$178,10,0))+VLOOKUP(E102,weapon_components!$A$8:$M$178,11,0))/10</f>
        <v>5.5</v>
      </c>
      <c r="R102" s="32">
        <f t="shared" ca="1" si="67"/>
        <v>1</v>
      </c>
      <c r="S102" s="25">
        <f t="shared" si="71"/>
        <v>106.56</v>
      </c>
      <c r="T102" s="2">
        <f t="shared" si="72"/>
        <v>10</v>
      </c>
      <c r="U102" s="14">
        <f>-INDEX('Ship Design Balancing'!$K$2:$K$6,'Weapon Formulas'!C102)*(INDEX('Weapon Formulas'!$R$1:$R$3,'Weapon Formulas'!D102+2)*(1+'Weapon Formulas'!B102))</f>
        <v>-213.33333333333331</v>
      </c>
      <c r="V102">
        <v>1</v>
      </c>
    </row>
    <row r="103" spans="1:22" x14ac:dyDescent="0.25">
      <c r="A103" s="21">
        <f t="shared" si="59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  <c r="V103" t="s">
        <v>247</v>
      </c>
    </row>
    <row r="104" spans="1:22" x14ac:dyDescent="0.25">
      <c r="A104" s="21">
        <f t="shared" si="59"/>
        <v>-4.3559999999999988E-2</v>
      </c>
      <c r="C104">
        <v>3</v>
      </c>
      <c r="D104" s="2">
        <v>-1</v>
      </c>
      <c r="E104" s="5" t="s">
        <v>117</v>
      </c>
      <c r="F104" s="2">
        <f t="shared" si="60"/>
        <v>7.5</v>
      </c>
      <c r="G104" s="32">
        <f>IF(G$103=1,H104,H104/(R104-INDEX($O$2:$O$6,C104)))</f>
        <v>8.25</v>
      </c>
      <c r="H104" s="2">
        <f>$F104*(INDEX($F$3:$F$5,H$87)+(($C104+($D104*$F$7))*INDEX($G$3:$G$5,H$9)))</f>
        <v>8.25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ca="1" si="66"/>
        <v>0.21212121212121215</v>
      </c>
      <c r="L104" s="10">
        <v>0</v>
      </c>
      <c r="M104" s="10">
        <f>J104/F104</f>
        <v>0.76</v>
      </c>
      <c r="N104" s="2">
        <f t="shared" ca="1" si="73"/>
        <v>8.25</v>
      </c>
      <c r="O104" s="2">
        <f t="shared" ca="1" si="74"/>
        <v>51.665625000000006</v>
      </c>
      <c r="P104" s="2">
        <f t="shared" ca="1" si="75"/>
        <v>86.109375</v>
      </c>
      <c r="Q104" s="2">
        <f>(AVERAGE(VLOOKUP(E104,weapon_components!$A$8:$M$178,9,0),VLOOKUP(E104,weapon_components!$A$8:$M$178,10,0))+VLOOKUP(E104,weapon_components!$A$8:$M$178,11,0))/10</f>
        <v>8.35</v>
      </c>
      <c r="R104" s="32">
        <f t="shared" ca="1" si="67"/>
        <v>1</v>
      </c>
      <c r="S104" s="25">
        <f>($S$103)*(1+(D104*$F$8))*(1+((C104-1)*$J$3))</f>
        <v>59.519999999999996</v>
      </c>
      <c r="T104" s="2">
        <f t="shared" si="72"/>
        <v>5</v>
      </c>
      <c r="U104" s="14">
        <f>-INDEX('Ship Design Balancing'!$K$2:$K$6,'Weapon Formulas'!C104)*(INDEX('Weapon Formulas'!$R$1:$R$3,'Weapon Formulas'!D104+2)*(1+'Weapon Formulas'!B104))</f>
        <v>-13.333333333333332</v>
      </c>
      <c r="V104">
        <v>1</v>
      </c>
    </row>
    <row r="105" spans="1:22" x14ac:dyDescent="0.25">
      <c r="A105" s="21">
        <f t="shared" si="59"/>
        <v>-8.8200000000000014E-2</v>
      </c>
      <c r="C105">
        <v>3</v>
      </c>
      <c r="D105" s="2">
        <v>0</v>
      </c>
      <c r="E105" s="5" t="s">
        <v>118</v>
      </c>
      <c r="F105" s="2">
        <f t="shared" si="60"/>
        <v>7.5</v>
      </c>
      <c r="G105" s="32">
        <f t="shared" ref="G105:G112" si="76">IF(G$103=1,H105,H105/(R105-INDEX($O$2:$O$6,C105)))</f>
        <v>8.625</v>
      </c>
      <c r="H105" s="2">
        <f t="shared" ref="H105:H112" si="77">$F105*(INDEX($F$3:$F$5,H$103)+(($C105+($D105*$F$7))*INDEX($G$3:$G$5,H$9)))</f>
        <v>8.625</v>
      </c>
      <c r="I105" s="2">
        <f t="shared" ref="I105:J112" si="78">$F105*(INDEX($F$3:$F$5,I$103)+(($C105+($D105*$F$7))*INDEX($G$3:$G$5,I$9)))</f>
        <v>5.7</v>
      </c>
      <c r="J105" s="2">
        <f t="shared" si="78"/>
        <v>5.55</v>
      </c>
      <c r="K105" s="10">
        <f t="shared" ca="1" si="66"/>
        <v>-0.13043478260869557</v>
      </c>
      <c r="L105" s="10">
        <v>0</v>
      </c>
      <c r="M105" s="10">
        <f t="shared" ref="M105:M112" si="79">J105/F105</f>
        <v>0.74</v>
      </c>
      <c r="N105" s="2">
        <f t="shared" ca="1" si="73"/>
        <v>17.25</v>
      </c>
      <c r="O105" s="2">
        <f t="shared" ca="1" si="74"/>
        <v>108.02812499999999</v>
      </c>
      <c r="P105" s="2">
        <f t="shared" ca="1" si="75"/>
        <v>180.046875</v>
      </c>
      <c r="Q105" s="2">
        <f>(AVERAGE(VLOOKUP(E105,weapon_components!$A$8:$M$178,9,0),VLOOKUP(E105,weapon_components!$A$8:$M$178,10,0))+VLOOKUP(E105,weapon_components!$A$8:$M$178,11,0))/10</f>
        <v>8.35</v>
      </c>
      <c r="R105" s="32">
        <f t="shared" ca="1" si="67"/>
        <v>1</v>
      </c>
      <c r="S105" s="25">
        <f t="shared" ref="S105:S112" si="80">($S$103)*(1+(D105*$F$8))*(1+((C105-1)*$J$3))</f>
        <v>74.400000000000006</v>
      </c>
      <c r="T105" s="2">
        <f t="shared" si="72"/>
        <v>5</v>
      </c>
      <c r="U105" s="14">
        <f>-INDEX('Ship Design Balancing'!$K$2:$K$6,'Weapon Formulas'!C105)*(INDEX('Weapon Formulas'!$R$1:$R$3,'Weapon Formulas'!D105+2)*(1+'Weapon Formulas'!B105))</f>
        <v>-26.666666666666664</v>
      </c>
      <c r="V105">
        <v>1</v>
      </c>
    </row>
    <row r="106" spans="1:22" x14ac:dyDescent="0.25">
      <c r="A106" s="21">
        <f t="shared" si="59"/>
        <v>-0.13284000000000001</v>
      </c>
      <c r="C106">
        <v>3</v>
      </c>
      <c r="D106" s="2">
        <v>1</v>
      </c>
      <c r="E106" s="5" t="s">
        <v>119</v>
      </c>
      <c r="F106" s="2">
        <f t="shared" si="60"/>
        <v>7.5</v>
      </c>
      <c r="G106" s="32">
        <f t="shared" si="76"/>
        <v>9</v>
      </c>
      <c r="H106" s="2">
        <f t="shared" si="77"/>
        <v>9</v>
      </c>
      <c r="I106" s="2">
        <f t="shared" si="78"/>
        <v>5.0999999999999996</v>
      </c>
      <c r="J106" s="2">
        <f t="shared" si="78"/>
        <v>5.3999999999999995</v>
      </c>
      <c r="K106" s="10">
        <f t="shared" ca="1" si="66"/>
        <v>-0.44444444444444464</v>
      </c>
      <c r="L106" s="10">
        <v>0</v>
      </c>
      <c r="M106" s="10">
        <f t="shared" si="79"/>
        <v>0.72</v>
      </c>
      <c r="N106" s="2">
        <f t="shared" ca="1" si="73"/>
        <v>36</v>
      </c>
      <c r="O106" s="2">
        <f t="shared" ca="1" si="74"/>
        <v>225.45</v>
      </c>
      <c r="P106" s="2">
        <f t="shared" ca="1" si="75"/>
        <v>375.74999999999994</v>
      </c>
      <c r="Q106" s="2">
        <f>(AVERAGE(VLOOKUP(E106,weapon_components!$A$8:$M$178,9,0),VLOOKUP(E106,weapon_components!$A$8:$M$178,10,0))+VLOOKUP(E106,weapon_components!$A$8:$M$178,11,0))/10</f>
        <v>8.35</v>
      </c>
      <c r="R106" s="32">
        <f t="shared" ca="1" si="67"/>
        <v>1</v>
      </c>
      <c r="S106" s="25">
        <f t="shared" si="80"/>
        <v>89.28</v>
      </c>
      <c r="T106" s="2">
        <f t="shared" si="72"/>
        <v>5</v>
      </c>
      <c r="U106" s="14">
        <f>-INDEX('Ship Design Balancing'!$K$2:$K$6,'Weapon Formulas'!C106)*(INDEX('Weapon Formulas'!$R$1:$R$3,'Weapon Formulas'!D106+2)*(1+'Weapon Formulas'!B106))</f>
        <v>-53.333333333333329</v>
      </c>
      <c r="V106">
        <v>1</v>
      </c>
    </row>
    <row r="107" spans="1:22" x14ac:dyDescent="0.25">
      <c r="A107" s="21">
        <f t="shared" si="59"/>
        <v>-6.0840000000000005E-2</v>
      </c>
      <c r="C107">
        <v>4</v>
      </c>
      <c r="D107" s="2">
        <v>-1</v>
      </c>
      <c r="E107" s="5" t="s">
        <v>120</v>
      </c>
      <c r="F107" s="2">
        <f t="shared" si="60"/>
        <v>10</v>
      </c>
      <c r="G107" s="32">
        <f t="shared" si="76"/>
        <v>11.5</v>
      </c>
      <c r="H107" s="2">
        <f t="shared" si="77"/>
        <v>11.5</v>
      </c>
      <c r="I107" s="2">
        <f t="shared" si="78"/>
        <v>7.6</v>
      </c>
      <c r="J107" s="2">
        <f t="shared" si="78"/>
        <v>7.4</v>
      </c>
      <c r="K107" s="10">
        <f t="shared" ca="1" si="66"/>
        <v>-4.347826086956541E-2</v>
      </c>
      <c r="L107" s="10">
        <v>0</v>
      </c>
      <c r="M107" s="10">
        <f t="shared" si="79"/>
        <v>0.74</v>
      </c>
      <c r="N107" s="2">
        <f t="shared" ca="1" si="73"/>
        <v>11.5</v>
      </c>
      <c r="O107" s="2">
        <f t="shared" ca="1" si="74"/>
        <v>72.018749999999997</v>
      </c>
      <c r="P107" s="2">
        <f t="shared" ca="1" si="75"/>
        <v>120.03124999999999</v>
      </c>
      <c r="Q107" s="2">
        <f>(AVERAGE(VLOOKUP(E107,weapon_components!$A$8:$M$178,9,0),VLOOKUP(E107,weapon_components!$A$8:$M$178,10,0))+VLOOKUP(E107,weapon_components!$A$8:$M$178,11,0))/10</f>
        <v>8.35</v>
      </c>
      <c r="R107" s="32">
        <f t="shared" ca="1" si="67"/>
        <v>1</v>
      </c>
      <c r="S107" s="25">
        <f t="shared" si="80"/>
        <v>65.28</v>
      </c>
      <c r="T107" s="2">
        <f t="shared" si="72"/>
        <v>7.5</v>
      </c>
      <c r="U107" s="14">
        <f>-INDEX('Ship Design Balancing'!$K$2:$K$6,'Weapon Formulas'!C107)*(INDEX('Weapon Formulas'!$R$1:$R$3,'Weapon Formulas'!D107+2)*(1+'Weapon Formulas'!B107))</f>
        <v>-26.666666666666664</v>
      </c>
      <c r="V107">
        <v>1</v>
      </c>
    </row>
    <row r="108" spans="1:22" x14ac:dyDescent="0.25">
      <c r="A108" s="21">
        <f t="shared" si="59"/>
        <v>-0.10979999999999998</v>
      </c>
      <c r="C108">
        <v>4</v>
      </c>
      <c r="D108" s="2">
        <v>0</v>
      </c>
      <c r="E108" s="5" t="s">
        <v>121</v>
      </c>
      <c r="F108" s="2">
        <f t="shared" si="60"/>
        <v>10</v>
      </c>
      <c r="G108" s="32">
        <f t="shared" si="76"/>
        <v>12</v>
      </c>
      <c r="H108" s="2">
        <f t="shared" si="77"/>
        <v>12</v>
      </c>
      <c r="I108" s="2">
        <f t="shared" si="78"/>
        <v>6.7999999999999989</v>
      </c>
      <c r="J108" s="2">
        <f t="shared" si="78"/>
        <v>7.1999999999999993</v>
      </c>
      <c r="K108" s="10">
        <f t="shared" ca="1" si="66"/>
        <v>-0.3333333333333337</v>
      </c>
      <c r="L108" s="10">
        <v>0</v>
      </c>
      <c r="M108" s="10">
        <f t="shared" si="79"/>
        <v>0.72</v>
      </c>
      <c r="N108" s="2">
        <f t="shared" ca="1" si="73"/>
        <v>24</v>
      </c>
      <c r="O108" s="2">
        <f t="shared" ca="1" si="74"/>
        <v>150.29999999999998</v>
      </c>
      <c r="P108" s="2">
        <f t="shared" ca="1" si="75"/>
        <v>250.49999999999997</v>
      </c>
      <c r="Q108" s="2">
        <f>(AVERAGE(VLOOKUP(E108,weapon_components!$A$8:$M$178,9,0),VLOOKUP(E108,weapon_components!$A$8:$M$178,10,0))+VLOOKUP(E108,weapon_components!$A$8:$M$178,11,0))/10</f>
        <v>8.35</v>
      </c>
      <c r="R108" s="32">
        <f t="shared" ca="1" si="67"/>
        <v>1</v>
      </c>
      <c r="S108" s="25">
        <f t="shared" si="80"/>
        <v>81.599999999999994</v>
      </c>
      <c r="T108" s="2">
        <f t="shared" si="72"/>
        <v>7.5</v>
      </c>
      <c r="U108" s="14">
        <f>-INDEX('Ship Design Balancing'!$K$2:$K$6,'Weapon Formulas'!C108)*(INDEX('Weapon Formulas'!$R$1:$R$3,'Weapon Formulas'!D108+2)*(1+'Weapon Formulas'!B108))</f>
        <v>-53.333333333333329</v>
      </c>
      <c r="V108">
        <v>1</v>
      </c>
    </row>
    <row r="109" spans="1:22" x14ac:dyDescent="0.25">
      <c r="A109" s="21">
        <f t="shared" si="59"/>
        <v>-0.15875999999999996</v>
      </c>
      <c r="C109">
        <v>4</v>
      </c>
      <c r="D109" s="2">
        <v>1</v>
      </c>
      <c r="E109" s="5" t="s">
        <v>122</v>
      </c>
      <c r="F109" s="2">
        <f t="shared" si="60"/>
        <v>10</v>
      </c>
      <c r="G109" s="32">
        <f t="shared" si="76"/>
        <v>12.5</v>
      </c>
      <c r="H109" s="2">
        <f t="shared" si="77"/>
        <v>12.5</v>
      </c>
      <c r="I109" s="2">
        <f t="shared" si="78"/>
        <v>5.9999999999999982</v>
      </c>
      <c r="J109" s="2">
        <f t="shared" si="78"/>
        <v>7.0000000000000009</v>
      </c>
      <c r="K109" s="10">
        <f t="shared" ca="1" si="66"/>
        <v>-0.60000000000000031</v>
      </c>
      <c r="L109" s="10">
        <v>0</v>
      </c>
      <c r="M109" s="10">
        <f t="shared" si="79"/>
        <v>0.70000000000000007</v>
      </c>
      <c r="N109" s="2">
        <f t="shared" ca="1" si="73"/>
        <v>50</v>
      </c>
      <c r="O109" s="2">
        <f t="shared" ca="1" si="74"/>
        <v>313.125</v>
      </c>
      <c r="P109" s="2">
        <f t="shared" ca="1" si="75"/>
        <v>521.875</v>
      </c>
      <c r="Q109" s="2">
        <f>(AVERAGE(VLOOKUP(E109,weapon_components!$A$8:$M$178,9,0),VLOOKUP(E109,weapon_components!$A$8:$M$178,10,0))+VLOOKUP(E109,weapon_components!$A$8:$M$178,11,0))/10</f>
        <v>8.35</v>
      </c>
      <c r="R109" s="32">
        <f t="shared" ca="1" si="67"/>
        <v>1</v>
      </c>
      <c r="S109" s="25">
        <f t="shared" si="80"/>
        <v>97.919999999999987</v>
      </c>
      <c r="T109" s="2">
        <f t="shared" si="72"/>
        <v>7.5</v>
      </c>
      <c r="U109" s="14">
        <f>-INDEX('Ship Design Balancing'!$K$2:$K$6,'Weapon Formulas'!C109)*(INDEX('Weapon Formulas'!$R$1:$R$3,'Weapon Formulas'!D109+2)*(1+'Weapon Formulas'!B109))</f>
        <v>-106.66666666666666</v>
      </c>
      <c r="V109">
        <v>1</v>
      </c>
    </row>
    <row r="110" spans="1:22" x14ac:dyDescent="0.25">
      <c r="A110" s="21">
        <f t="shared" si="59"/>
        <v>-7.8119999999999981E-2</v>
      </c>
      <c r="C110">
        <v>5</v>
      </c>
      <c r="D110" s="2">
        <v>-1</v>
      </c>
      <c r="E110" s="5" t="s">
        <v>123</v>
      </c>
      <c r="F110" s="2">
        <f t="shared" si="60"/>
        <v>12.5</v>
      </c>
      <c r="G110" s="32">
        <f t="shared" si="76"/>
        <v>15</v>
      </c>
      <c r="H110" s="2">
        <f t="shared" si="77"/>
        <v>15</v>
      </c>
      <c r="I110" s="2">
        <f t="shared" si="78"/>
        <v>8.5</v>
      </c>
      <c r="J110" s="2">
        <f t="shared" si="78"/>
        <v>9</v>
      </c>
      <c r="K110" s="10">
        <f t="shared" ca="1" si="66"/>
        <v>-0.15555555555555567</v>
      </c>
      <c r="L110" s="10">
        <v>0</v>
      </c>
      <c r="M110" s="10">
        <f t="shared" si="79"/>
        <v>0.72</v>
      </c>
      <c r="N110" s="2">
        <f t="shared" ca="1" si="73"/>
        <v>15</v>
      </c>
      <c r="O110" s="2">
        <f t="shared" ca="1" si="74"/>
        <v>93.9375</v>
      </c>
      <c r="P110" s="2">
        <f t="shared" ca="1" si="75"/>
        <v>156.5625</v>
      </c>
      <c r="Q110" s="2">
        <f>(AVERAGE(VLOOKUP(E110,weapon_components!$A$8:$M$178,9,0),VLOOKUP(E110,weapon_components!$A$8:$M$178,10,0))+VLOOKUP(E110,weapon_components!$A$8:$M$178,11,0))/10</f>
        <v>8.35</v>
      </c>
      <c r="R110" s="32">
        <f t="shared" ca="1" si="67"/>
        <v>1</v>
      </c>
      <c r="S110" s="25">
        <f t="shared" si="80"/>
        <v>71.039999999999992</v>
      </c>
      <c r="T110" s="2">
        <f t="shared" si="72"/>
        <v>10</v>
      </c>
      <c r="U110" s="14">
        <f>-INDEX('Ship Design Balancing'!$K$2:$K$6,'Weapon Formulas'!C110)*(INDEX('Weapon Formulas'!$R$1:$R$3,'Weapon Formulas'!D110+2)*(1+'Weapon Formulas'!B110))</f>
        <v>-53.333333333333329</v>
      </c>
      <c r="V110">
        <v>1</v>
      </c>
    </row>
    <row r="111" spans="1:22" x14ac:dyDescent="0.25">
      <c r="A111" s="21">
        <f t="shared" si="59"/>
        <v>-0.13139999999999999</v>
      </c>
      <c r="C111">
        <v>5</v>
      </c>
      <c r="D111" s="2">
        <v>0</v>
      </c>
      <c r="E111" s="5" t="s">
        <v>124</v>
      </c>
      <c r="F111" s="2">
        <f t="shared" si="60"/>
        <v>12.5</v>
      </c>
      <c r="G111" s="32">
        <f t="shared" si="76"/>
        <v>15.625</v>
      </c>
      <c r="H111" s="2">
        <f t="shared" si="77"/>
        <v>15.625</v>
      </c>
      <c r="I111" s="2">
        <f t="shared" si="78"/>
        <v>7.4999999999999982</v>
      </c>
      <c r="J111" s="2">
        <f t="shared" si="78"/>
        <v>8.75</v>
      </c>
      <c r="K111" s="10">
        <f t="shared" ca="1" si="66"/>
        <v>-0.38666666666666694</v>
      </c>
      <c r="L111" s="10">
        <v>0</v>
      </c>
      <c r="M111" s="10">
        <f>J111/F111</f>
        <v>0.7</v>
      </c>
      <c r="N111" s="2">
        <f t="shared" ca="1" si="73"/>
        <v>31.25</v>
      </c>
      <c r="O111" s="2">
        <f t="shared" ca="1" si="74"/>
        <v>195.703125</v>
      </c>
      <c r="P111" s="2">
        <f ca="1">1.25*(((G111*INDEX($R$1:$R$3,$D111+2))*Q111)/R111)</f>
        <v>326.171875</v>
      </c>
      <c r="Q111" s="2">
        <f>(AVERAGE(VLOOKUP(E111,weapon_components!$A$8:$M$178,9,0),VLOOKUP(E111,weapon_components!$A$8:$M$178,10,0))+VLOOKUP(E111,weapon_components!$A$8:$M$178,11,0))/10</f>
        <v>8.35</v>
      </c>
      <c r="R111" s="32">
        <f t="shared" ca="1" si="67"/>
        <v>1</v>
      </c>
      <c r="S111" s="25">
        <f t="shared" si="80"/>
        <v>88.8</v>
      </c>
      <c r="T111" s="2">
        <f>INDEX($T$2:$T$6,C111)</f>
        <v>10</v>
      </c>
      <c r="U111" s="14">
        <f>-INDEX('Ship Design Balancing'!$K$2:$K$6,'Weapon Formulas'!C111)*(INDEX('Weapon Formulas'!$R$1:$R$3,'Weapon Formulas'!D111+2)*(1+'Weapon Formulas'!B111))</f>
        <v>-106.66666666666666</v>
      </c>
      <c r="V111">
        <v>1</v>
      </c>
    </row>
    <row r="112" spans="1:22" x14ac:dyDescent="0.25">
      <c r="A112" s="21">
        <f t="shared" si="59"/>
        <v>-0.18468000000000001</v>
      </c>
      <c r="C112">
        <v>5</v>
      </c>
      <c r="D112" s="2">
        <v>1</v>
      </c>
      <c r="E112" s="5" t="s">
        <v>125</v>
      </c>
      <c r="F112" s="2">
        <f t="shared" si="60"/>
        <v>12.5</v>
      </c>
      <c r="G112" s="32">
        <f t="shared" si="76"/>
        <v>16.25</v>
      </c>
      <c r="H112" s="2">
        <f t="shared" si="77"/>
        <v>16.25</v>
      </c>
      <c r="I112" s="2">
        <f t="shared" si="78"/>
        <v>6.4999999999999991</v>
      </c>
      <c r="J112" s="2">
        <f t="shared" si="78"/>
        <v>8.5</v>
      </c>
      <c r="K112" s="10">
        <f t="shared" ca="1" si="66"/>
        <v>-0.60000000000000031</v>
      </c>
      <c r="L112" s="10">
        <v>0</v>
      </c>
      <c r="M112" s="10">
        <f t="shared" si="79"/>
        <v>0.68</v>
      </c>
      <c r="N112" s="2">
        <f t="shared" ca="1" si="73"/>
        <v>65</v>
      </c>
      <c r="O112" s="2">
        <f t="shared" ca="1" si="74"/>
        <v>407.0625</v>
      </c>
      <c r="P112" s="2">
        <f t="shared" ca="1" si="75"/>
        <v>678.4375</v>
      </c>
      <c r="Q112" s="2">
        <f>(AVERAGE(VLOOKUP(E112,weapon_components!$A$8:$M$178,9,0),VLOOKUP(E112,weapon_components!$A$8:$M$178,10,0))+VLOOKUP(E112,weapon_components!$A$8:$M$178,11,0))/10</f>
        <v>8.35</v>
      </c>
      <c r="R112" s="32">
        <f t="shared" ca="1" si="67"/>
        <v>1</v>
      </c>
      <c r="S112" s="25">
        <f t="shared" si="80"/>
        <v>106.56</v>
      </c>
      <c r="T112" s="2">
        <f t="shared" si="72"/>
        <v>10</v>
      </c>
      <c r="U112" s="14">
        <f>-INDEX('Ship Design Balancing'!$K$2:$K$6,'Weapon Formulas'!C112)*(INDEX('Weapon Formulas'!$R$1:$R$3,'Weapon Formulas'!D112+2)*(1+'Weapon Formulas'!B112))</f>
        <v>-213.33333333333331</v>
      </c>
      <c r="V112">
        <v>1</v>
      </c>
    </row>
    <row r="113" spans="1:22" x14ac:dyDescent="0.25">
      <c r="A113" s="21">
        <f t="shared" si="59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  <c r="V113" t="s">
        <v>247</v>
      </c>
    </row>
    <row r="114" spans="1:22" x14ac:dyDescent="0.25">
      <c r="A114" s="21">
        <f t="shared" si="59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0"/>
        <v>20</v>
      </c>
      <c r="G114" s="32">
        <f>IF(G$113=1,H114,H114/(R114-INDEX($O$2:$O$6,C114)))</f>
        <v>24</v>
      </c>
      <c r="H114" s="2">
        <f>$F114*(INDEX($F$3:$F$5,H$113)+(($C114+($D114*$F$7))*INDEX($G$3:$G$5,H$113)))</f>
        <v>24</v>
      </c>
      <c r="I114" s="2">
        <f t="shared" ref="I114:J115" si="81">$F114*(INDEX($F$3:$F$5,I$113)+(($C114+($D114*$F$7))*INDEX($G$3:$G$5,I$113)))</f>
        <v>9.6</v>
      </c>
      <c r="J114" s="2">
        <f t="shared" si="81"/>
        <v>24</v>
      </c>
      <c r="K114" s="10">
        <f t="shared" ca="1" si="66"/>
        <v>-0.84615384615384626</v>
      </c>
      <c r="L114" s="10">
        <v>0</v>
      </c>
      <c r="M114" s="10">
        <v>1</v>
      </c>
      <c r="N114" s="2">
        <f t="shared" ca="1" si="73"/>
        <v>48</v>
      </c>
      <c r="O114" s="2">
        <f t="shared" ca="1" si="74"/>
        <v>90</v>
      </c>
      <c r="P114" s="2">
        <f t="shared" ca="1" si="75"/>
        <v>150</v>
      </c>
      <c r="Q114" s="2">
        <f>(AVERAGE(VLOOKUP(E114,weapon_components!$A$8:$M$178,9,0),VLOOKUP(E114,weapon_components!$A$8:$M$178,10,0))+VLOOKUP(E114,weapon_components!$A$8:$M$178,11,0))/10</f>
        <v>2.5</v>
      </c>
      <c r="R114" s="32">
        <f t="shared" ca="1" si="67"/>
        <v>1</v>
      </c>
      <c r="S114" s="25">
        <f>($S$113)*(1+(D114*$F$8))*(1+((C114-1)*$J$3))</f>
        <v>81.599999999999994</v>
      </c>
      <c r="T114" s="2">
        <f t="shared" si="72"/>
        <v>7.5</v>
      </c>
      <c r="U114" s="14">
        <f>-INDEX('Ship Design Balancing'!$K$2:$K$6,'Weapon Formulas'!C114)*(INDEX('Weapon Formulas'!$R$1:$R$3,'Weapon Formulas'!D114+2)*(1+'Weapon Formulas'!B114))</f>
        <v>-106.66666666666666</v>
      </c>
      <c r="V114">
        <v>1</v>
      </c>
    </row>
    <row r="115" spans="1:22" x14ac:dyDescent="0.25">
      <c r="A115" s="21">
        <f t="shared" si="59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0"/>
        <v>25</v>
      </c>
      <c r="G115" s="32">
        <f>IF(G$113=1,H115,H115/(R115-INDEX($O$2:$O$6,C115)))</f>
        <v>31.25</v>
      </c>
      <c r="H115" s="2">
        <f>$F115*(INDEX($F$3:$F$5,H$113)+(($C115+($D115*$F$7))*INDEX($G$3:$G$5,H$113)))</f>
        <v>31.25</v>
      </c>
      <c r="I115" s="2">
        <f t="shared" si="81"/>
        <v>10</v>
      </c>
      <c r="J115" s="2">
        <f t="shared" si="81"/>
        <v>31.25</v>
      </c>
      <c r="K115" s="10">
        <f t="shared" ca="1" si="66"/>
        <v>-0.81333333333333324</v>
      </c>
      <c r="L115" s="10">
        <v>0</v>
      </c>
      <c r="M115" s="10">
        <v>1</v>
      </c>
      <c r="N115" s="2">
        <f t="shared" ca="1" si="73"/>
        <v>62.5</v>
      </c>
      <c r="O115" s="2">
        <f t="shared" ca="1" si="74"/>
        <v>117.1875</v>
      </c>
      <c r="P115" s="2">
        <f t="shared" ca="1" si="75"/>
        <v>195.3125</v>
      </c>
      <c r="Q115" s="2">
        <f>(AVERAGE(VLOOKUP(E115,weapon_components!$A$8:$M$178,9,0),VLOOKUP(E115,weapon_components!$A$8:$M$178,10,0))+VLOOKUP(E115,weapon_components!$A$8:$M$178,11,0))/10</f>
        <v>2.5</v>
      </c>
      <c r="R115" s="32">
        <f t="shared" ca="1" si="67"/>
        <v>1</v>
      </c>
      <c r="S115" s="25">
        <f>($S$113)*(1+(D115*$F$8))*(1+((C115-1)*$J$3))</f>
        <v>88.8</v>
      </c>
      <c r="T115" s="2">
        <f t="shared" si="72"/>
        <v>10</v>
      </c>
      <c r="U115" s="14">
        <f>-INDEX('Ship Design Balancing'!$K$2:$K$6,'Weapon Formulas'!C115)*(INDEX('Weapon Formulas'!$R$1:$R$3,'Weapon Formulas'!D115+2)*(1+'Weapon Formulas'!B115))</f>
        <v>-213.33333333333331</v>
      </c>
      <c r="V115">
        <v>1</v>
      </c>
    </row>
    <row r="116" spans="1:22" x14ac:dyDescent="0.25">
      <c r="A116" s="21">
        <f t="shared" si="59"/>
        <v>-4.4999999999999998E-2</v>
      </c>
      <c r="D116" s="2"/>
      <c r="E116" s="13" t="s">
        <v>219</v>
      </c>
      <c r="F116" s="2" t="s">
        <v>140</v>
      </c>
      <c r="G116" s="13">
        <v>0</v>
      </c>
      <c r="H116" s="13">
        <v>2</v>
      </c>
      <c r="I116" s="13">
        <v>1</v>
      </c>
      <c r="J116" s="13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  <c r="V116" t="s">
        <v>247</v>
      </c>
    </row>
    <row r="117" spans="1:22" x14ac:dyDescent="0.25">
      <c r="A117" s="21">
        <f t="shared" si="59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8" si="82">($F$2+(C117*$F$1))*(B117+1)</f>
        <v>15</v>
      </c>
      <c r="G117" s="32">
        <f ca="1">IF(G$116=1,H117,H117/(R117-INDEX($O$2:$O$6,C117)))</f>
        <v>15</v>
      </c>
      <c r="H117" s="2">
        <f>$F117*(INDEX($F$3:$F$5,H$116)+(($C117+($D117*$F$7))*INDEX($G$3:$G$5,H$116)))</f>
        <v>7.1999999999999993</v>
      </c>
      <c r="I117" s="2">
        <f t="shared" ref="I117:J119" si="83">$F117*(INDEX($F$3:$F$5,I$116)+(($C117+($D117*$F$7))*INDEX($G$3:$G$5,I$116)))</f>
        <v>18</v>
      </c>
      <c r="J117" s="2">
        <f t="shared" si="83"/>
        <v>18</v>
      </c>
      <c r="K117" s="10">
        <f t="shared" ca="1" si="66"/>
        <v>3.2084439304129329</v>
      </c>
      <c r="L117" s="10">
        <v>0</v>
      </c>
      <c r="M117" s="10">
        <v>1</v>
      </c>
      <c r="N117" s="2">
        <f t="shared" ref="N117:N119" ca="1" si="84">(AVERAGE(O117,P117)*R117)/Q117</f>
        <v>15</v>
      </c>
      <c r="O117" s="2">
        <f t="shared" ref="O117:O118" ca="1" si="85">0.75*(((G117*INDEX($R$1:$R$3,$D117+2))*Q117)/R117)/4</f>
        <v>155.86248554286374</v>
      </c>
      <c r="P117" s="2">
        <f t="shared" ref="P117:P118" ca="1" si="86">1.25*(((G117*INDEX($R$1:$R$3,$D117+2))*Q117)/R117)/4</f>
        <v>259.77080923810621</v>
      </c>
      <c r="Q117" s="2">
        <v>10</v>
      </c>
      <c r="R117" s="32">
        <f t="shared" ca="1" si="67"/>
        <v>0.72179010624760875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  <c r="V117">
        <v>0.75</v>
      </c>
    </row>
    <row r="118" spans="1:22" x14ac:dyDescent="0.25">
      <c r="A118" s="21">
        <f t="shared" si="59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2"/>
        <v>20</v>
      </c>
      <c r="G118" s="32">
        <f t="shared" ref="G118" ca="1" si="87">IF(G$116=1,H118,H118/(R118-INDEX($O$2:$O$6,C118)))</f>
        <v>20.000000000000004</v>
      </c>
      <c r="H118" s="2">
        <f>$F118*(INDEX($F$3:$F$5,H$116)+(($C118+($D118*$F$7))*INDEX($G$3:$G$5,H$116)))</f>
        <v>7.9999999999999991</v>
      </c>
      <c r="I118" s="2">
        <f t="shared" si="83"/>
        <v>25</v>
      </c>
      <c r="J118" s="2">
        <f t="shared" si="83"/>
        <v>25</v>
      </c>
      <c r="K118" s="10">
        <f t="shared" ca="1" si="66"/>
        <v>3.2473073793951084</v>
      </c>
      <c r="L118" s="10">
        <v>0</v>
      </c>
      <c r="M118" s="10">
        <v>1</v>
      </c>
      <c r="N118" s="2">
        <f t="shared" ca="1" si="84"/>
        <v>20.000000000000004</v>
      </c>
      <c r="O118" s="2">
        <f t="shared" ca="1" si="85"/>
        <v>207.64498779640928</v>
      </c>
      <c r="P118" s="2">
        <f t="shared" ca="1" si="86"/>
        <v>346.07497966068217</v>
      </c>
      <c r="Q118" s="2">
        <v>10</v>
      </c>
      <c r="R118" s="32">
        <f t="shared" ca="1" si="67"/>
        <v>0.72238680833014501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  <c r="V118">
        <v>0.75</v>
      </c>
    </row>
    <row r="119" spans="1:22" x14ac:dyDescent="0.25">
      <c r="A119" s="21">
        <f t="shared" si="59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>($F$2+(C119*$F$1))*(B119+1)</f>
        <v>25</v>
      </c>
      <c r="G119" s="32">
        <f ca="1">IF(G$116=1,H119,H119/(R119-INDEX($O$2:$O$6,C119)))</f>
        <v>25</v>
      </c>
      <c r="H119" s="2">
        <f>$F119*(INDEX($F$3:$F$5,H$116)+(($C119+($D119*$F$7))*INDEX($G$3:$G$5,H$116)))</f>
        <v>7.9999999999999991</v>
      </c>
      <c r="I119" s="2">
        <f t="shared" si="83"/>
        <v>32.5</v>
      </c>
      <c r="J119" s="2">
        <f t="shared" si="83"/>
        <v>32.5</v>
      </c>
      <c r="K119" s="10">
        <f t="shared" ca="1" si="66"/>
        <v>3.1282790226034556</v>
      </c>
      <c r="L119" s="10">
        <v>0</v>
      </c>
      <c r="M119" s="10">
        <v>1</v>
      </c>
      <c r="N119" s="2">
        <f t="shared" ca="1" si="84"/>
        <v>25.000000000000004</v>
      </c>
      <c r="O119" s="2">
        <f ca="1">0.75*(((G119*INDEX($R$1:$R$3,$D119+2))*Q119)/R119)/4</f>
        <v>259.34201444369648</v>
      </c>
      <c r="P119" s="2">
        <f ca="1">1.25*(((G119*INDEX($R$1:$R$3,$D119+2))*Q119)/R119)/4</f>
        <v>432.23669073949418</v>
      </c>
      <c r="Q119" s="2">
        <v>10</v>
      </c>
      <c r="R119" s="32">
        <f t="shared" ca="1" si="67"/>
        <v>0.72298351041268138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  <c r="V119">
        <v>0.75</v>
      </c>
    </row>
    <row r="120" spans="1:22" x14ac:dyDescent="0.25">
      <c r="E120" s="15" t="s">
        <v>161</v>
      </c>
      <c r="F120" s="32" t="s">
        <v>140</v>
      </c>
      <c r="G120" s="13">
        <v>0</v>
      </c>
      <c r="H120" s="13">
        <v>1</v>
      </c>
      <c r="I120" s="13">
        <v>2</v>
      </c>
      <c r="J120" s="13">
        <v>3</v>
      </c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  <c r="V120" t="s">
        <v>21</v>
      </c>
    </row>
    <row r="121" spans="1:22" x14ac:dyDescent="0.25">
      <c r="C121">
        <v>1</v>
      </c>
      <c r="D121">
        <v>-1</v>
      </c>
      <c r="E121" s="15" t="s">
        <v>162</v>
      </c>
      <c r="F121" s="30">
        <f t="shared" ref="F121:F122" si="88">($F$2+(C121*$F$1))*(B121+1)</f>
        <v>2.5</v>
      </c>
      <c r="G121" s="32">
        <f ca="1">IF(G$120=1,H121,H121/(R121-INDEX($O$2:$O$6,C121)))</f>
        <v>2.7191549189161477</v>
      </c>
      <c r="H121" s="30">
        <f>$F121*(INDEX($F$3:$F$5,H$120)+(($C121+($D121*$F$7))*INDEX($G$3:$G$5,H$120)))</f>
        <v>2.5</v>
      </c>
      <c r="I121" s="30">
        <f t="shared" ref="I121:J122" si="89">$F121*(INDEX($F$3:$F$5,I$120)+(($C121+($D121*$F$7))*INDEX($G$3:$G$5,I$120)))</f>
        <v>2</v>
      </c>
      <c r="J121" s="30">
        <f t="shared" si="89"/>
        <v>0.5</v>
      </c>
      <c r="K121" s="10">
        <f t="shared" ca="1" si="66"/>
        <v>-5.6119340416507244</v>
      </c>
      <c r="L121" s="10">
        <v>0</v>
      </c>
      <c r="M121" s="10">
        <f>J121/F121</f>
        <v>0.2</v>
      </c>
      <c r="N121" s="32">
        <f ca="1">(AVERAGE(O121,P121)*R121)/Q121</f>
        <v>2.7191549189161477</v>
      </c>
      <c r="O121" s="32">
        <f ca="1">0.75*(((G121*INDEX($R$1:$R$3,$D121+2))*Q121)/R121)</f>
        <v>8.8712429229639298</v>
      </c>
      <c r="P121" s="32">
        <f ca="1">1.25*(((G121*INDEX($R$1:$R$3,$D121+2))*Q121)/R121)</f>
        <v>14.785404871606552</v>
      </c>
      <c r="Q121" s="32">
        <f>(AVERAGE(VLOOKUP(E121,weapon_components!$A$8:$M$178,9,0),VLOOKUP(E121,weapon_components!$A$8:$M$178,10,0))+VLOOKUP(E121,weapon_components!$A$8:$M$178,11,0))/10</f>
        <v>4.3499999999999996</v>
      </c>
      <c r="R121" s="32">
        <f ca="1">IF((H121/F121)+INDEX($O$2:$O$6,$C121)&gt;1,1,(H121/F121)+INDEX($O$2:$O$6,$C121))</f>
        <v>1</v>
      </c>
      <c r="S121" s="32">
        <f>($S$123)*(1+(D121*$F$8))*(1+((C121-1)*$J$3))</f>
        <v>36</v>
      </c>
      <c r="T121" s="32">
        <v>0</v>
      </c>
      <c r="U121" s="14">
        <f>-INDEX('Ship Design Balancing'!$K$2:$K$6,'Weapon Formulas'!C121)*(INDEX('Weapon Formulas'!$R$1:$R$3,'Weapon Formulas'!D121+2)*(1+'Weapon Formulas'!B121))</f>
        <v>-3.333333333333333</v>
      </c>
      <c r="V121" s="32">
        <v>0.75</v>
      </c>
    </row>
    <row r="122" spans="1:22" x14ac:dyDescent="0.25">
      <c r="C122">
        <v>1</v>
      </c>
      <c r="D122">
        <v>0</v>
      </c>
      <c r="E122" s="15" t="s">
        <v>163</v>
      </c>
      <c r="F122" s="30">
        <f t="shared" si="88"/>
        <v>2.5</v>
      </c>
      <c r="G122" s="32">
        <f ca="1">IF(G$120=1,H122,H122/(R122-INDEX($O$2:$O$6,C122)))</f>
        <v>2.8551126648619549</v>
      </c>
      <c r="H122" s="30">
        <f>$F122*(INDEX($F$3:$F$5,H$120)+(($C122+($D122*$F$7))*INDEX($G$3:$G$5,H$120)))</f>
        <v>2.625</v>
      </c>
      <c r="I122" s="30">
        <f t="shared" si="89"/>
        <v>1.7999999999999998</v>
      </c>
      <c r="J122" s="30">
        <f t="shared" si="89"/>
        <v>0.44999999999999996</v>
      </c>
      <c r="K122" s="10">
        <f t="shared" ca="1" si="66"/>
        <v>-8.2388006071291944</v>
      </c>
      <c r="L122" s="10">
        <v>0</v>
      </c>
      <c r="M122" s="10">
        <f>J122/F122</f>
        <v>0.18</v>
      </c>
      <c r="N122" s="32">
        <f ca="1">(AVERAGE(O122,P122)*R122)/Q122</f>
        <v>5.7102253297239098</v>
      </c>
      <c r="O122" s="32">
        <f ca="1">0.75*(((G122*INDEX($R$1:$R$3,$D122+2))*Q122)/R122)</f>
        <v>18.629610138224255</v>
      </c>
      <c r="P122" s="32">
        <f ca="1">1.25*(((G122*INDEX($R$1:$R$3,$D122+2))*Q122)/R122)</f>
        <v>31.049350230373758</v>
      </c>
      <c r="Q122" s="32">
        <f>(AVERAGE(VLOOKUP(E122,weapon_components!$A$8:$M$178,9,0),VLOOKUP(E122,weapon_components!$A$8:$M$178,10,0))+VLOOKUP(E122,weapon_components!$A$8:$M$178,11,0))/10</f>
        <v>4.3499999999999996</v>
      </c>
      <c r="R122" s="32">
        <f ca="1">IF((H122/F122)+INDEX($O$2:$O$6,$C122)&gt;1,1,(H122/F122)+INDEX($O$2:$O$6,$C122))</f>
        <v>1</v>
      </c>
      <c r="S122" s="32">
        <f>($S$123)*(1+(D122*$F$8))*(1+((C122-1)*$J$3))</f>
        <v>45</v>
      </c>
      <c r="T122" s="32">
        <v>0</v>
      </c>
      <c r="U122" s="14">
        <f>-INDEX('Ship Design Balancing'!$K$2:$K$6,'Weapon Formulas'!C122)*(INDEX('Weapon Formulas'!$R$1:$R$3,'Weapon Formulas'!D122+2)*(1+'Weapon Formulas'!B122))</f>
        <v>-6.6666666666666661</v>
      </c>
      <c r="V122" s="32">
        <v>0.75</v>
      </c>
    </row>
    <row r="123" spans="1:22" x14ac:dyDescent="0.25">
      <c r="E123" s="15" t="s">
        <v>164</v>
      </c>
      <c r="F123" s="32" t="s">
        <v>140</v>
      </c>
      <c r="G123" s="13">
        <v>0</v>
      </c>
      <c r="H123" s="13">
        <v>2</v>
      </c>
      <c r="I123" s="13">
        <v>1</v>
      </c>
      <c r="J123" s="13">
        <v>3</v>
      </c>
      <c r="R123" s="13" t="s">
        <v>247</v>
      </c>
      <c r="S123" s="13">
        <v>45</v>
      </c>
    </row>
    <row r="124" spans="1:22" x14ac:dyDescent="0.25">
      <c r="C124">
        <v>1</v>
      </c>
      <c r="D124" s="30">
        <v>-1</v>
      </c>
      <c r="E124" s="15" t="s">
        <v>165</v>
      </c>
      <c r="F124" s="30">
        <f>($F$2+(C124*$F$1))*(B124+1)</f>
        <v>2.5</v>
      </c>
      <c r="G124" s="32">
        <f ca="1">IF(G$123=1,H124,H124/(R124-INDEX($O$2:$O$6,C124)))</f>
        <v>2.5</v>
      </c>
      <c r="H124" s="32">
        <f>$F124*(INDEX($F$3:$F$5,H$123)+(($C124+($D124*$F$7))*INDEX($G$3:$G$5,H$123)))</f>
        <v>2</v>
      </c>
      <c r="I124" s="32">
        <f>$F124*(INDEX($F$3:$F$5,I$123)+(($C124+($D124*$F$7))*INDEX($G$3:$G$5,I$123)))</f>
        <v>2.5</v>
      </c>
      <c r="J124" s="32">
        <f>$F124*(INDEX($F$3:$F$5,J$123)+(($C124+($D124*$F$7))*INDEX($G$3:$G$5,J$123)))</f>
        <v>0.5</v>
      </c>
      <c r="K124" s="10">
        <f ca="1">1-((1-(I124/(G124*R124)))/INDEX($P$2:$P$6,C124))</f>
        <v>4.3898405943119325</v>
      </c>
      <c r="L124" s="10">
        <f>(INDEX($Q$2:$Q$6,C124)/((1/INDEX($F$4:$F$6,J$123))-1))</f>
        <v>8.8888888888888889E-3</v>
      </c>
      <c r="M124" s="10">
        <v>0</v>
      </c>
      <c r="N124" s="32">
        <f ca="1">(AVERAGE(O124,P124)*R124)/Q124</f>
        <v>2.5</v>
      </c>
      <c r="O124" s="32">
        <f ca="1">0.75*(((G124*INDEX($R$1:$R$3,$D124+2))*Q124)/R124)</f>
        <v>9.2621854938942683</v>
      </c>
      <c r="P124" s="32">
        <f ca="1">1.25*(((G124*INDEX($R$1:$R$3,$D124+2))*Q124)/R124)</f>
        <v>15.436975823157113</v>
      </c>
      <c r="Q124" s="32">
        <f>(AVERAGE(VLOOKUP(E124,weapon_components!$A$8:$M$178,9,0),VLOOKUP(E124,weapon_components!$A$8:$M$178,10,0))+VLOOKUP(E124,weapon_components!$A$8:$M$178,11,0))/10</f>
        <v>4.3499999999999996</v>
      </c>
      <c r="R124" s="32">
        <f ca="1">IF((H124/F124)+INDEX($O$2:$O$6,$C124)&gt;1,1,(H124/F124)+INDEX($O$2:$O$6,$C124))</f>
        <v>0.88059670208253626</v>
      </c>
      <c r="S124" s="32">
        <f>($S$123)*(1+(D124*$F$8))*(1+((C124-1)*$J$3))</f>
        <v>36</v>
      </c>
      <c r="T124" s="32">
        <v>0</v>
      </c>
      <c r="U124" s="14">
        <f>-INDEX('Ship Design Balancing'!$K$2:$K$6,'Weapon Formulas'!C124)*(INDEX('Weapon Formulas'!$R$1:$R$3,'Weapon Formulas'!D124+2)*(1+'Weapon Formulas'!B124))</f>
        <v>-3.333333333333333</v>
      </c>
      <c r="V124" s="32">
        <v>0.75</v>
      </c>
    </row>
    <row r="125" spans="1:22" x14ac:dyDescent="0.25">
      <c r="C125">
        <v>1</v>
      </c>
      <c r="D125" s="30">
        <v>0</v>
      </c>
      <c r="E125" s="15" t="s">
        <v>166</v>
      </c>
      <c r="F125" s="32">
        <f t="shared" ref="F125:F146" si="90">($F$2+(C125*$F$1))*(B125+1)</f>
        <v>2.5</v>
      </c>
      <c r="G125" s="32">
        <f t="shared" ref="G125:G147" ca="1" si="91">IF(G$123=1,H125,H125/(R125-INDEX($O$2:$O$6,C125)))</f>
        <v>2.5</v>
      </c>
      <c r="H125" s="32">
        <f t="shared" ref="H125:J147" si="92">$F125*(INDEX($F$3:$F$5,H$123)+(($C125+($D125*$F$7))*INDEX($G$3:$G$5,H$123)))</f>
        <v>1.7999999999999998</v>
      </c>
      <c r="I125" s="32">
        <f t="shared" si="92"/>
        <v>2.625</v>
      </c>
      <c r="J125" s="32">
        <f t="shared" si="92"/>
        <v>0.44999999999999996</v>
      </c>
      <c r="K125" s="10">
        <f t="shared" ref="K125:K173" ca="1" si="93">1-((1-(I125/(G125*R125)))/INDEX($P$2:$P$6,C125))</f>
        <v>8.7880441322300094</v>
      </c>
      <c r="L125" s="10">
        <f t="shared" ref="L125:L149" si="94">(INDEX($Q$2:$Q$6,C125)/((1/INDEX($F$4:$F$6,J$123))-1))</f>
        <v>8.8888888888888889E-3</v>
      </c>
      <c r="M125" s="10">
        <v>0</v>
      </c>
      <c r="N125" s="32">
        <f t="shared" ref="N125:N147" ca="1" si="95">(AVERAGE(O125,P125)*R125)/Q125</f>
        <v>5</v>
      </c>
      <c r="O125" s="32">
        <f t="shared" ref="O125:O147" ca="1" si="96">0.75*(((G125*INDEX($R$1:$R$3,$D125+2))*Q125)/R125)</f>
        <v>20.375427425028651</v>
      </c>
      <c r="P125" s="32">
        <f t="shared" ref="P125:P147" ca="1" si="97">1.25*(((G125*INDEX($R$1:$R$3,$D125+2))*Q125)/R125)</f>
        <v>33.959045708381083</v>
      </c>
      <c r="Q125" s="32">
        <f>(AVERAGE(VLOOKUP(E125,weapon_components!$A$8:$M$178,9,0),VLOOKUP(E125,weapon_components!$A$8:$M$178,10,0))+VLOOKUP(E125,weapon_components!$A$8:$M$178,11,0))/10</f>
        <v>4.3499999999999996</v>
      </c>
      <c r="R125" s="32">
        <f ca="1">IF((H125/F125)+INDEX($O$2:$O$6,$C125)&gt;1,1,(H125/F125)+INDEX($O$2:$O$6,$C125))</f>
        <v>0.80059670208253619</v>
      </c>
      <c r="S125" s="32">
        <f t="shared" ref="S125:S147" si="98">($S$123)*(1+(D125*$F$8))*(1+((C125-1)*$J$3))</f>
        <v>45</v>
      </c>
      <c r="T125" s="32">
        <v>0</v>
      </c>
      <c r="U125" s="14">
        <f>-INDEX('Ship Design Balancing'!$K$2:$K$6,'Weapon Formulas'!C125)*(INDEX('Weapon Formulas'!$R$1:$R$3,'Weapon Formulas'!D125+2)*(1+'Weapon Formulas'!B125))</f>
        <v>-6.6666666666666661</v>
      </c>
      <c r="V125" s="32">
        <v>1.75</v>
      </c>
    </row>
    <row r="126" spans="1:22" x14ac:dyDescent="0.25">
      <c r="C126">
        <v>1</v>
      </c>
      <c r="D126" s="30">
        <v>1</v>
      </c>
      <c r="E126" s="15" t="s">
        <v>167</v>
      </c>
      <c r="F126" s="32">
        <f t="shared" si="90"/>
        <v>2.5</v>
      </c>
      <c r="G126" s="32">
        <f t="shared" ca="1" si="91"/>
        <v>2.4999999999999996</v>
      </c>
      <c r="H126" s="32">
        <f t="shared" si="92"/>
        <v>1.6</v>
      </c>
      <c r="I126" s="32">
        <f t="shared" si="92"/>
        <v>2.75</v>
      </c>
      <c r="J126" s="32">
        <f t="shared" si="92"/>
        <v>0.4</v>
      </c>
      <c r="K126" s="10">
        <f t="shared" ca="1" si="93"/>
        <v>14.162816899556367</v>
      </c>
      <c r="L126" s="10">
        <f t="shared" si="94"/>
        <v>8.8888888888888889E-3</v>
      </c>
      <c r="M126" s="10">
        <v>0</v>
      </c>
      <c r="N126" s="32">
        <f t="shared" ca="1" si="95"/>
        <v>9.9999999999999982</v>
      </c>
      <c r="O126" s="32">
        <f t="shared" ca="1" si="96"/>
        <v>45.274978230837306</v>
      </c>
      <c r="P126" s="32">
        <f t="shared" ca="1" si="97"/>
        <v>75.458297051395519</v>
      </c>
      <c r="Q126" s="32">
        <f>(AVERAGE(VLOOKUP(E126,weapon_components!$A$8:$M$178,9,0),VLOOKUP(E126,weapon_components!$A$8:$M$178,10,0))+VLOOKUP(E126,weapon_components!$A$8:$M$178,11,0))/10</f>
        <v>4.3499999999999996</v>
      </c>
      <c r="R126" s="32">
        <f t="shared" ref="R126:R147" ca="1" si="99">IF((H126/F126)+INDEX($O$2:$O$6,$C126)&gt;1,1,(H126/F126)+INDEX($O$2:$O$6,$C126))</f>
        <v>0.72059670208253634</v>
      </c>
      <c r="S126" s="32">
        <f t="shared" si="98"/>
        <v>54</v>
      </c>
      <c r="T126" s="32">
        <v>0</v>
      </c>
      <c r="U126" s="14">
        <f>-INDEX('Ship Design Balancing'!$K$2:$K$6,'Weapon Formulas'!C126)*(INDEX('Weapon Formulas'!$R$1:$R$3,'Weapon Formulas'!D126+2)*(1+'Weapon Formulas'!B126))</f>
        <v>-13.333333333333332</v>
      </c>
      <c r="V126" s="32">
        <v>2.75</v>
      </c>
    </row>
    <row r="127" spans="1:22" x14ac:dyDescent="0.25">
      <c r="C127">
        <v>1</v>
      </c>
      <c r="D127" s="30">
        <v>-1</v>
      </c>
      <c r="E127" s="15" t="s">
        <v>168</v>
      </c>
      <c r="F127" s="32">
        <f t="shared" si="90"/>
        <v>2.5</v>
      </c>
      <c r="G127" s="32">
        <f t="shared" ca="1" si="91"/>
        <v>2.5</v>
      </c>
      <c r="H127" s="32">
        <f t="shared" si="92"/>
        <v>2</v>
      </c>
      <c r="I127" s="32">
        <f t="shared" si="92"/>
        <v>2.5</v>
      </c>
      <c r="J127" s="32">
        <f t="shared" si="92"/>
        <v>0.5</v>
      </c>
      <c r="K127" s="10">
        <f t="shared" ca="1" si="93"/>
        <v>4.3898405943119325</v>
      </c>
      <c r="L127" s="10">
        <f t="shared" si="94"/>
        <v>8.8888888888888889E-3</v>
      </c>
      <c r="M127" s="10">
        <v>0</v>
      </c>
      <c r="N127" s="32">
        <f t="shared" ca="1" si="95"/>
        <v>2.5</v>
      </c>
      <c r="O127" s="32">
        <f t="shared" ca="1" si="96"/>
        <v>9.2621854938942683</v>
      </c>
      <c r="P127" s="32">
        <f t="shared" ca="1" si="97"/>
        <v>15.436975823157113</v>
      </c>
      <c r="Q127" s="32">
        <f>(AVERAGE(VLOOKUP(E127,weapon_components!$A$8:$M$178,9,0),VLOOKUP(E127,weapon_components!$A$8:$M$178,10,0))+VLOOKUP(E127,weapon_components!$A$8:$M$178,11,0))/10</f>
        <v>4.3499999999999996</v>
      </c>
      <c r="R127" s="32">
        <f t="shared" ca="1" si="99"/>
        <v>0.88059670208253626</v>
      </c>
      <c r="S127" s="32">
        <f t="shared" si="98"/>
        <v>36</v>
      </c>
      <c r="T127" s="32">
        <v>0</v>
      </c>
      <c r="U127" s="14">
        <f>-INDEX('Ship Design Balancing'!$K$2:$K$6,'Weapon Formulas'!C127)*(INDEX('Weapon Formulas'!$R$1:$R$3,'Weapon Formulas'!D127+2)*(1+'Weapon Formulas'!B127))</f>
        <v>-3.333333333333333</v>
      </c>
      <c r="V127" s="32">
        <v>3.75</v>
      </c>
    </row>
    <row r="128" spans="1:22" x14ac:dyDescent="0.25">
      <c r="C128">
        <v>1</v>
      </c>
      <c r="D128" s="30">
        <v>0</v>
      </c>
      <c r="E128" s="15" t="s">
        <v>169</v>
      </c>
      <c r="F128" s="32">
        <f t="shared" si="90"/>
        <v>2.5</v>
      </c>
      <c r="G128" s="32">
        <f t="shared" ca="1" si="91"/>
        <v>2.5</v>
      </c>
      <c r="H128" s="32">
        <f t="shared" si="92"/>
        <v>1.7999999999999998</v>
      </c>
      <c r="I128" s="32">
        <f t="shared" si="92"/>
        <v>2.625</v>
      </c>
      <c r="J128" s="32">
        <f t="shared" si="92"/>
        <v>0.44999999999999996</v>
      </c>
      <c r="K128" s="10">
        <f t="shared" ca="1" si="93"/>
        <v>8.7880441322300094</v>
      </c>
      <c r="L128" s="10">
        <f t="shared" si="94"/>
        <v>8.8888888888888889E-3</v>
      </c>
      <c r="M128" s="10">
        <v>0</v>
      </c>
      <c r="N128" s="32">
        <f t="shared" ca="1" si="95"/>
        <v>5</v>
      </c>
      <c r="O128" s="32">
        <f t="shared" ca="1" si="96"/>
        <v>20.375427425028651</v>
      </c>
      <c r="P128" s="32">
        <f t="shared" ca="1" si="97"/>
        <v>33.959045708381083</v>
      </c>
      <c r="Q128" s="32">
        <f>(AVERAGE(VLOOKUP(E128,weapon_components!$A$8:$M$178,9,0),VLOOKUP(E128,weapon_components!$A$8:$M$178,10,0))+VLOOKUP(E128,weapon_components!$A$8:$M$178,11,0))/10</f>
        <v>4.3499999999999996</v>
      </c>
      <c r="R128" s="32">
        <f t="shared" ca="1" si="99"/>
        <v>0.80059670208253619</v>
      </c>
      <c r="S128" s="32">
        <f t="shared" si="98"/>
        <v>45</v>
      </c>
      <c r="T128" s="32">
        <v>0</v>
      </c>
      <c r="U128" s="14">
        <f>-INDEX('Ship Design Balancing'!$K$2:$K$6,'Weapon Formulas'!C128)*(INDEX('Weapon Formulas'!$R$1:$R$3,'Weapon Formulas'!D128+2)*(1+'Weapon Formulas'!B128))</f>
        <v>-6.6666666666666661</v>
      </c>
      <c r="V128" s="32">
        <v>4.75</v>
      </c>
    </row>
    <row r="129" spans="3:22" x14ac:dyDescent="0.25">
      <c r="C129">
        <v>1</v>
      </c>
      <c r="D129" s="30">
        <v>1</v>
      </c>
      <c r="E129" s="15" t="s">
        <v>170</v>
      </c>
      <c r="F129" s="32">
        <f t="shared" si="90"/>
        <v>2.5</v>
      </c>
      <c r="G129" s="32">
        <f t="shared" ca="1" si="91"/>
        <v>2.4999999999999996</v>
      </c>
      <c r="H129" s="32">
        <f t="shared" si="92"/>
        <v>1.6</v>
      </c>
      <c r="I129" s="32">
        <f t="shared" si="92"/>
        <v>2.75</v>
      </c>
      <c r="J129" s="32">
        <f t="shared" si="92"/>
        <v>0.4</v>
      </c>
      <c r="K129" s="10">
        <f t="shared" ca="1" si="93"/>
        <v>14.162816899556367</v>
      </c>
      <c r="L129" s="10">
        <f t="shared" si="94"/>
        <v>8.8888888888888889E-3</v>
      </c>
      <c r="M129" s="10">
        <v>0</v>
      </c>
      <c r="N129" s="32">
        <f t="shared" ca="1" si="95"/>
        <v>9.9999999999999982</v>
      </c>
      <c r="O129" s="32">
        <f t="shared" ca="1" si="96"/>
        <v>45.274978230837306</v>
      </c>
      <c r="P129" s="32">
        <f t="shared" ca="1" si="97"/>
        <v>75.458297051395519</v>
      </c>
      <c r="Q129" s="32">
        <f>(AVERAGE(VLOOKUP(E129,weapon_components!$A$8:$M$178,9,0),VLOOKUP(E129,weapon_components!$A$8:$M$178,10,0))+VLOOKUP(E129,weapon_components!$A$8:$M$178,11,0))/10</f>
        <v>4.3499999999999996</v>
      </c>
      <c r="R129" s="32">
        <f t="shared" ca="1" si="99"/>
        <v>0.72059670208253634</v>
      </c>
      <c r="S129" s="32">
        <f t="shared" si="98"/>
        <v>54</v>
      </c>
      <c r="T129" s="32">
        <v>0</v>
      </c>
      <c r="U129" s="14">
        <f>-INDEX('Ship Design Balancing'!$K$2:$K$6,'Weapon Formulas'!C129)*(INDEX('Weapon Formulas'!$R$1:$R$3,'Weapon Formulas'!D129+2)*(1+'Weapon Formulas'!B129))</f>
        <v>-13.333333333333332</v>
      </c>
      <c r="V129" s="32">
        <v>5.75</v>
      </c>
    </row>
    <row r="130" spans="3:22" x14ac:dyDescent="0.25">
      <c r="C130">
        <v>1</v>
      </c>
      <c r="D130" s="30">
        <v>-1</v>
      </c>
      <c r="E130" s="15" t="s">
        <v>171</v>
      </c>
      <c r="F130" s="32">
        <f t="shared" si="90"/>
        <v>2.5</v>
      </c>
      <c r="G130" s="32">
        <f t="shared" ca="1" si="91"/>
        <v>2.5</v>
      </c>
      <c r="H130" s="32">
        <f t="shared" si="92"/>
        <v>2</v>
      </c>
      <c r="I130" s="32">
        <f t="shared" si="92"/>
        <v>2.5</v>
      </c>
      <c r="J130" s="32">
        <f t="shared" si="92"/>
        <v>0.5</v>
      </c>
      <c r="K130" s="10">
        <f t="shared" ca="1" si="93"/>
        <v>4.3898405943119325</v>
      </c>
      <c r="L130" s="10">
        <f t="shared" si="94"/>
        <v>8.8888888888888889E-3</v>
      </c>
      <c r="M130" s="10">
        <v>0</v>
      </c>
      <c r="N130" s="32">
        <f t="shared" ca="1" si="95"/>
        <v>2.5</v>
      </c>
      <c r="O130" s="32">
        <f t="shared" ca="1" si="96"/>
        <v>9.2621854938942683</v>
      </c>
      <c r="P130" s="32">
        <f t="shared" ca="1" si="97"/>
        <v>15.436975823157113</v>
      </c>
      <c r="Q130" s="32">
        <f>(AVERAGE(VLOOKUP(E130,weapon_components!$A$8:$M$178,9,0),VLOOKUP(E130,weapon_components!$A$8:$M$178,10,0))+VLOOKUP(E130,weapon_components!$A$8:$M$178,11,0))/10</f>
        <v>4.3499999999999996</v>
      </c>
      <c r="R130" s="32">
        <f t="shared" ca="1" si="99"/>
        <v>0.88059670208253626</v>
      </c>
      <c r="S130" s="32">
        <f t="shared" si="98"/>
        <v>36</v>
      </c>
      <c r="T130" s="32">
        <v>0</v>
      </c>
      <c r="U130" s="14">
        <f>-INDEX('Ship Design Balancing'!$K$2:$K$6,'Weapon Formulas'!C130)*(INDEX('Weapon Formulas'!$R$1:$R$3,'Weapon Formulas'!D130+2)*(1+'Weapon Formulas'!B130))</f>
        <v>-3.333333333333333</v>
      </c>
      <c r="V130" s="32">
        <v>6.75</v>
      </c>
    </row>
    <row r="131" spans="3:22" x14ac:dyDescent="0.25">
      <c r="C131">
        <v>1</v>
      </c>
      <c r="D131" s="30">
        <v>0</v>
      </c>
      <c r="E131" s="15" t="s">
        <v>172</v>
      </c>
      <c r="F131" s="32">
        <f t="shared" si="90"/>
        <v>2.5</v>
      </c>
      <c r="G131" s="32">
        <f t="shared" ca="1" si="91"/>
        <v>2.5</v>
      </c>
      <c r="H131" s="32">
        <f t="shared" si="92"/>
        <v>1.7999999999999998</v>
      </c>
      <c r="I131" s="32">
        <f t="shared" si="92"/>
        <v>2.625</v>
      </c>
      <c r="J131" s="32">
        <f t="shared" si="92"/>
        <v>0.44999999999999996</v>
      </c>
      <c r="K131" s="10">
        <f t="shared" ca="1" si="93"/>
        <v>8.7880441322300094</v>
      </c>
      <c r="L131" s="10">
        <f t="shared" si="94"/>
        <v>8.8888888888888889E-3</v>
      </c>
      <c r="M131" s="10">
        <v>0</v>
      </c>
      <c r="N131" s="32">
        <f t="shared" ca="1" si="95"/>
        <v>5</v>
      </c>
      <c r="O131" s="32">
        <f t="shared" ca="1" si="96"/>
        <v>20.375427425028651</v>
      </c>
      <c r="P131" s="32">
        <f t="shared" ca="1" si="97"/>
        <v>33.959045708381083</v>
      </c>
      <c r="Q131" s="32">
        <f>(AVERAGE(VLOOKUP(E131,weapon_components!$A$8:$M$178,9,0),VLOOKUP(E131,weapon_components!$A$8:$M$178,10,0))+VLOOKUP(E131,weapon_components!$A$8:$M$178,11,0))/10</f>
        <v>4.3499999999999996</v>
      </c>
      <c r="R131" s="32">
        <f t="shared" ca="1" si="99"/>
        <v>0.80059670208253619</v>
      </c>
      <c r="S131" s="32">
        <f t="shared" si="98"/>
        <v>45</v>
      </c>
      <c r="T131" s="32">
        <v>0</v>
      </c>
      <c r="U131" s="14">
        <f>-INDEX('Ship Design Balancing'!$K$2:$K$6,'Weapon Formulas'!C131)*(INDEX('Weapon Formulas'!$R$1:$R$3,'Weapon Formulas'!D131+2)*(1+'Weapon Formulas'!B131))</f>
        <v>-6.6666666666666661</v>
      </c>
      <c r="V131" s="32">
        <v>7.75</v>
      </c>
    </row>
    <row r="132" spans="3:22" x14ac:dyDescent="0.25">
      <c r="C132">
        <v>1</v>
      </c>
      <c r="D132" s="30">
        <v>1</v>
      </c>
      <c r="E132" s="15" t="s">
        <v>173</v>
      </c>
      <c r="F132" s="32">
        <f t="shared" si="90"/>
        <v>2.5</v>
      </c>
      <c r="G132" s="32">
        <f t="shared" ca="1" si="91"/>
        <v>2.4999999999999996</v>
      </c>
      <c r="H132" s="32">
        <f t="shared" si="92"/>
        <v>1.6</v>
      </c>
      <c r="I132" s="32">
        <f t="shared" si="92"/>
        <v>2.75</v>
      </c>
      <c r="J132" s="32">
        <f t="shared" si="92"/>
        <v>0.4</v>
      </c>
      <c r="K132" s="10">
        <f t="shared" ca="1" si="93"/>
        <v>14.162816899556367</v>
      </c>
      <c r="L132" s="10">
        <f t="shared" si="94"/>
        <v>8.8888888888888889E-3</v>
      </c>
      <c r="M132" s="10">
        <v>0</v>
      </c>
      <c r="N132" s="32">
        <f t="shared" ca="1" si="95"/>
        <v>9.9999999999999982</v>
      </c>
      <c r="O132" s="32">
        <f t="shared" ca="1" si="96"/>
        <v>45.274978230837306</v>
      </c>
      <c r="P132" s="32">
        <f t="shared" ca="1" si="97"/>
        <v>75.458297051395519</v>
      </c>
      <c r="Q132" s="32">
        <f>(AVERAGE(VLOOKUP(E132,weapon_components!$A$8:$M$178,9,0),VLOOKUP(E132,weapon_components!$A$8:$M$178,10,0))+VLOOKUP(E132,weapon_components!$A$8:$M$178,11,0))/10</f>
        <v>4.3499999999999996</v>
      </c>
      <c r="R132" s="32">
        <f t="shared" ca="1" si="99"/>
        <v>0.72059670208253634</v>
      </c>
      <c r="S132" s="32">
        <f t="shared" si="98"/>
        <v>54</v>
      </c>
      <c r="T132" s="32">
        <v>0</v>
      </c>
      <c r="U132" s="14">
        <f>-INDEX('Ship Design Balancing'!$K$2:$K$6,'Weapon Formulas'!C132)*(INDEX('Weapon Formulas'!$R$1:$R$3,'Weapon Formulas'!D132+2)*(1+'Weapon Formulas'!B132))</f>
        <v>-13.333333333333332</v>
      </c>
      <c r="V132" s="32">
        <v>8.75</v>
      </c>
    </row>
    <row r="133" spans="3:22" x14ac:dyDescent="0.25">
      <c r="C133">
        <v>1</v>
      </c>
      <c r="D133" s="30">
        <v>-1</v>
      </c>
      <c r="E133" s="15" t="s">
        <v>174</v>
      </c>
      <c r="F133" s="32">
        <f t="shared" si="90"/>
        <v>2.5</v>
      </c>
      <c r="G133" s="32">
        <f t="shared" ca="1" si="91"/>
        <v>2.5</v>
      </c>
      <c r="H133" s="32">
        <f t="shared" si="92"/>
        <v>2</v>
      </c>
      <c r="I133" s="32">
        <f t="shared" si="92"/>
        <v>2.5</v>
      </c>
      <c r="J133" s="32">
        <f t="shared" si="92"/>
        <v>0.5</v>
      </c>
      <c r="K133" s="10">
        <f t="shared" ca="1" si="93"/>
        <v>4.3898405943119325</v>
      </c>
      <c r="L133" s="10">
        <f t="shared" si="94"/>
        <v>8.8888888888888889E-3</v>
      </c>
      <c r="M133" s="10">
        <v>0</v>
      </c>
      <c r="N133" s="32">
        <f t="shared" ca="1" si="95"/>
        <v>2.5</v>
      </c>
      <c r="O133" s="32">
        <f t="shared" ca="1" si="96"/>
        <v>9.2621854938942683</v>
      </c>
      <c r="P133" s="32">
        <f t="shared" ca="1" si="97"/>
        <v>15.436975823157113</v>
      </c>
      <c r="Q133" s="32">
        <f>(AVERAGE(VLOOKUP(E133,weapon_components!$A$8:$M$178,9,0),VLOOKUP(E133,weapon_components!$A$8:$M$178,10,0))+VLOOKUP(E133,weapon_components!$A$8:$M$178,11,0))/10</f>
        <v>4.3499999999999996</v>
      </c>
      <c r="R133" s="32">
        <f t="shared" ca="1" si="99"/>
        <v>0.88059670208253626</v>
      </c>
      <c r="S133" s="32">
        <f t="shared" si="98"/>
        <v>36</v>
      </c>
      <c r="T133" s="32">
        <v>0</v>
      </c>
      <c r="U133" s="14">
        <f>-INDEX('Ship Design Balancing'!$K$2:$K$6,'Weapon Formulas'!C133)*(INDEX('Weapon Formulas'!$R$1:$R$3,'Weapon Formulas'!D133+2)*(1+'Weapon Formulas'!B133))</f>
        <v>-3.333333333333333</v>
      </c>
      <c r="V133" s="32">
        <v>9.75</v>
      </c>
    </row>
    <row r="134" spans="3:22" x14ac:dyDescent="0.25">
      <c r="C134">
        <v>1</v>
      </c>
      <c r="D134" s="30">
        <v>0</v>
      </c>
      <c r="E134" s="15" t="s">
        <v>175</v>
      </c>
      <c r="F134" s="32">
        <f t="shared" si="90"/>
        <v>2.5</v>
      </c>
      <c r="G134" s="32">
        <f t="shared" ca="1" si="91"/>
        <v>2.5</v>
      </c>
      <c r="H134" s="32">
        <f t="shared" si="92"/>
        <v>1.7999999999999998</v>
      </c>
      <c r="I134" s="32">
        <f t="shared" si="92"/>
        <v>2.625</v>
      </c>
      <c r="J134" s="32">
        <f t="shared" si="92"/>
        <v>0.44999999999999996</v>
      </c>
      <c r="K134" s="10">
        <f t="shared" ca="1" si="93"/>
        <v>8.7880441322300094</v>
      </c>
      <c r="L134" s="10">
        <f t="shared" si="94"/>
        <v>8.8888888888888889E-3</v>
      </c>
      <c r="M134" s="10">
        <v>0</v>
      </c>
      <c r="N134" s="32">
        <f t="shared" ca="1" si="95"/>
        <v>5</v>
      </c>
      <c r="O134" s="32">
        <f t="shared" ca="1" si="96"/>
        <v>20.375427425028651</v>
      </c>
      <c r="P134" s="32">
        <f t="shared" ca="1" si="97"/>
        <v>33.959045708381083</v>
      </c>
      <c r="Q134" s="32">
        <f>(AVERAGE(VLOOKUP(E134,weapon_components!$A$8:$M$178,9,0),VLOOKUP(E134,weapon_components!$A$8:$M$178,10,0))+VLOOKUP(E134,weapon_components!$A$8:$M$178,11,0))/10</f>
        <v>4.3499999999999996</v>
      </c>
      <c r="R134" s="32">
        <f t="shared" ca="1" si="99"/>
        <v>0.80059670208253619</v>
      </c>
      <c r="S134" s="32">
        <f t="shared" si="98"/>
        <v>45</v>
      </c>
      <c r="T134" s="32">
        <v>0</v>
      </c>
      <c r="U134" s="14">
        <f>-INDEX('Ship Design Balancing'!$K$2:$K$6,'Weapon Formulas'!C134)*(INDEX('Weapon Formulas'!$R$1:$R$3,'Weapon Formulas'!D134+2)*(1+'Weapon Formulas'!B134))</f>
        <v>-6.6666666666666661</v>
      </c>
      <c r="V134" s="32">
        <v>10.75</v>
      </c>
    </row>
    <row r="135" spans="3:22" x14ac:dyDescent="0.25">
      <c r="C135">
        <v>1</v>
      </c>
      <c r="D135" s="30">
        <v>1</v>
      </c>
      <c r="E135" s="15" t="s">
        <v>176</v>
      </c>
      <c r="F135" s="32">
        <f t="shared" si="90"/>
        <v>2.5</v>
      </c>
      <c r="G135" s="32">
        <f t="shared" ca="1" si="91"/>
        <v>2.4999999999999996</v>
      </c>
      <c r="H135" s="32">
        <f t="shared" si="92"/>
        <v>1.6</v>
      </c>
      <c r="I135" s="32">
        <f t="shared" si="92"/>
        <v>2.75</v>
      </c>
      <c r="J135" s="32">
        <f t="shared" si="92"/>
        <v>0.4</v>
      </c>
      <c r="K135" s="10">
        <f t="shared" ca="1" si="93"/>
        <v>14.162816899556367</v>
      </c>
      <c r="L135" s="10">
        <f t="shared" si="94"/>
        <v>8.8888888888888889E-3</v>
      </c>
      <c r="M135" s="10">
        <v>0</v>
      </c>
      <c r="N135" s="32">
        <f t="shared" ca="1" si="95"/>
        <v>9.9999999999999982</v>
      </c>
      <c r="O135" s="32">
        <f t="shared" ca="1" si="96"/>
        <v>45.274978230837306</v>
      </c>
      <c r="P135" s="32">
        <f t="shared" ca="1" si="97"/>
        <v>75.458297051395519</v>
      </c>
      <c r="Q135" s="32">
        <f>(AVERAGE(VLOOKUP(E135,weapon_components!$A$8:$M$178,9,0),VLOOKUP(E135,weapon_components!$A$8:$M$178,10,0))+VLOOKUP(E135,weapon_components!$A$8:$M$178,11,0))/10</f>
        <v>4.3499999999999996</v>
      </c>
      <c r="R135" s="32">
        <f t="shared" ca="1" si="99"/>
        <v>0.72059670208253634</v>
      </c>
      <c r="S135" s="32">
        <f t="shared" si="98"/>
        <v>54</v>
      </c>
      <c r="T135" s="32">
        <v>0</v>
      </c>
      <c r="U135" s="14">
        <f>-INDEX('Ship Design Balancing'!$K$2:$K$6,'Weapon Formulas'!C135)*(INDEX('Weapon Formulas'!$R$1:$R$3,'Weapon Formulas'!D135+2)*(1+'Weapon Formulas'!B135))</f>
        <v>-13.333333333333332</v>
      </c>
      <c r="V135" s="32">
        <v>11.75</v>
      </c>
    </row>
    <row r="136" spans="3:22" x14ac:dyDescent="0.25">
      <c r="C136">
        <v>2</v>
      </c>
      <c r="D136" s="30">
        <v>-1</v>
      </c>
      <c r="E136" s="15" t="s">
        <v>177</v>
      </c>
      <c r="F136" s="32">
        <f t="shared" si="90"/>
        <v>5</v>
      </c>
      <c r="G136" s="32">
        <f t="shared" ca="1" si="91"/>
        <v>5</v>
      </c>
      <c r="H136" s="32">
        <f t="shared" si="92"/>
        <v>3.5999999999999996</v>
      </c>
      <c r="I136" s="32">
        <f t="shared" si="92"/>
        <v>5.25</v>
      </c>
      <c r="J136" s="32">
        <f t="shared" si="92"/>
        <v>0.89999999999999991</v>
      </c>
      <c r="K136" s="10">
        <f t="shared" ca="1" si="93"/>
        <v>2.0642549261858454</v>
      </c>
      <c r="L136" s="10">
        <f t="shared" si="94"/>
        <v>0.04</v>
      </c>
      <c r="M136" s="10">
        <v>0</v>
      </c>
      <c r="N136" s="32">
        <f t="shared" ca="1" si="95"/>
        <v>5</v>
      </c>
      <c r="O136" s="32">
        <f t="shared" ca="1" si="96"/>
        <v>18.511827168583988</v>
      </c>
      <c r="P136" s="32">
        <f t="shared" ca="1" si="97"/>
        <v>30.853045280973316</v>
      </c>
      <c r="Q136" s="32">
        <f>(AVERAGE(VLOOKUP(E136,weapon_components!$A$8:$M$178,9,0),VLOOKUP(E136,weapon_components!$A$8:$M$178,10,0))+VLOOKUP(E136,weapon_components!$A$8:$M$178,11,0))/10</f>
        <v>4.3499999999999996</v>
      </c>
      <c r="R136" s="32">
        <f t="shared" ca="1" si="99"/>
        <v>0.88119340416507252</v>
      </c>
      <c r="S136" s="32">
        <f t="shared" si="98"/>
        <v>40.320000000000007</v>
      </c>
      <c r="T136" s="32">
        <v>0</v>
      </c>
      <c r="U136" s="14">
        <f>-INDEX('Ship Design Balancing'!$K$2:$K$6,'Weapon Formulas'!C136)*(INDEX('Weapon Formulas'!$R$1:$R$3,'Weapon Formulas'!D136+2)*(1+'Weapon Formulas'!B136))</f>
        <v>-6.6666666666666661</v>
      </c>
      <c r="V136" s="32">
        <v>12.75</v>
      </c>
    </row>
    <row r="137" spans="3:22" x14ac:dyDescent="0.25">
      <c r="C137">
        <v>2</v>
      </c>
      <c r="D137" s="30">
        <v>0</v>
      </c>
      <c r="E137" s="15" t="s">
        <v>178</v>
      </c>
      <c r="F137" s="32">
        <f t="shared" si="90"/>
        <v>5</v>
      </c>
      <c r="G137" s="32">
        <f t="shared" ca="1" si="91"/>
        <v>5</v>
      </c>
      <c r="H137" s="32">
        <f t="shared" si="92"/>
        <v>3.2</v>
      </c>
      <c r="I137" s="32">
        <f t="shared" si="92"/>
        <v>5.5</v>
      </c>
      <c r="J137" s="32">
        <f t="shared" si="92"/>
        <v>0.8</v>
      </c>
      <c r="K137" s="10">
        <f t="shared" ca="1" si="93"/>
        <v>3.0719549548180649</v>
      </c>
      <c r="L137" s="10">
        <f t="shared" si="94"/>
        <v>0.04</v>
      </c>
      <c r="M137" s="10">
        <v>0</v>
      </c>
      <c r="N137" s="32">
        <f t="shared" ca="1" si="95"/>
        <v>10</v>
      </c>
      <c r="O137" s="32">
        <f t="shared" ca="1" si="96"/>
        <v>40.720504974699168</v>
      </c>
      <c r="P137" s="32">
        <f t="shared" ca="1" si="97"/>
        <v>67.867508291165279</v>
      </c>
      <c r="Q137" s="32">
        <f>(AVERAGE(VLOOKUP(E137,weapon_components!$A$8:$M$178,9,0),VLOOKUP(E137,weapon_components!$A$8:$M$178,10,0))+VLOOKUP(E137,weapon_components!$A$8:$M$178,11,0))/10</f>
        <v>4.3499999999999996</v>
      </c>
      <c r="R137" s="32">
        <f t="shared" ca="1" si="99"/>
        <v>0.80119340416507256</v>
      </c>
      <c r="S137" s="32">
        <f t="shared" si="98"/>
        <v>50.400000000000006</v>
      </c>
      <c r="T137" s="32">
        <v>0</v>
      </c>
      <c r="U137" s="14">
        <f>-INDEX('Ship Design Balancing'!$K$2:$K$6,'Weapon Formulas'!C137)*(INDEX('Weapon Formulas'!$R$1:$R$3,'Weapon Formulas'!D137+2)*(1+'Weapon Formulas'!B137))</f>
        <v>-13.333333333333332</v>
      </c>
      <c r="V137" s="32">
        <v>13.75</v>
      </c>
    </row>
    <row r="138" spans="3:22" x14ac:dyDescent="0.25">
      <c r="C138">
        <v>2</v>
      </c>
      <c r="D138" s="30">
        <v>1</v>
      </c>
      <c r="E138" s="15" t="s">
        <v>179</v>
      </c>
      <c r="F138" s="32">
        <f t="shared" si="90"/>
        <v>5</v>
      </c>
      <c r="G138" s="32">
        <f t="shared" ca="1" si="91"/>
        <v>5</v>
      </c>
      <c r="H138" s="32">
        <f t="shared" si="92"/>
        <v>2.8000000000000003</v>
      </c>
      <c r="I138" s="32">
        <f t="shared" si="92"/>
        <v>5.75</v>
      </c>
      <c r="J138" s="32">
        <f t="shared" si="92"/>
        <v>0.70000000000000007</v>
      </c>
      <c r="K138" s="10">
        <f t="shared" ca="1" si="93"/>
        <v>4.3032177665400919</v>
      </c>
      <c r="L138" s="10">
        <f t="shared" si="94"/>
        <v>0.04</v>
      </c>
      <c r="M138" s="10">
        <v>0</v>
      </c>
      <c r="N138" s="32">
        <f t="shared" ca="1" si="95"/>
        <v>20.000000000000004</v>
      </c>
      <c r="O138" s="32">
        <f t="shared" ca="1" si="96"/>
        <v>90.475037102620334</v>
      </c>
      <c r="P138" s="32">
        <f t="shared" ca="1" si="97"/>
        <v>150.79172850436723</v>
      </c>
      <c r="Q138" s="32">
        <f>(AVERAGE(VLOOKUP(E138,weapon_components!$A$8:$M$178,9,0),VLOOKUP(E138,weapon_components!$A$8:$M$178,10,0))+VLOOKUP(E138,weapon_components!$A$8:$M$178,11,0))/10</f>
        <v>4.3499999999999996</v>
      </c>
      <c r="R138" s="32">
        <f t="shared" ca="1" si="99"/>
        <v>0.7211934041650726</v>
      </c>
      <c r="S138" s="32">
        <f t="shared" si="98"/>
        <v>60.480000000000004</v>
      </c>
      <c r="T138" s="32">
        <v>0</v>
      </c>
      <c r="U138" s="14">
        <f>-INDEX('Ship Design Balancing'!$K$2:$K$6,'Weapon Formulas'!C138)*(INDEX('Weapon Formulas'!$R$1:$R$3,'Weapon Formulas'!D138+2)*(1+'Weapon Formulas'!B138))</f>
        <v>-26.666666666666664</v>
      </c>
      <c r="V138" s="32">
        <v>14.75</v>
      </c>
    </row>
    <row r="139" spans="3:22" x14ac:dyDescent="0.25">
      <c r="C139">
        <v>2</v>
      </c>
      <c r="D139" s="30">
        <v>-1</v>
      </c>
      <c r="E139" s="15" t="s">
        <v>180</v>
      </c>
      <c r="F139" s="32">
        <f t="shared" si="90"/>
        <v>5</v>
      </c>
      <c r="G139" s="32">
        <f t="shared" ca="1" si="91"/>
        <v>5</v>
      </c>
      <c r="H139" s="32">
        <f t="shared" si="92"/>
        <v>3.5999999999999996</v>
      </c>
      <c r="I139" s="32">
        <f t="shared" si="92"/>
        <v>5.25</v>
      </c>
      <c r="J139" s="32">
        <f t="shared" si="92"/>
        <v>0.89999999999999991</v>
      </c>
      <c r="K139" s="10">
        <f t="shared" ca="1" si="93"/>
        <v>2.0642549261858454</v>
      </c>
      <c r="L139" s="10">
        <f t="shared" si="94"/>
        <v>0.04</v>
      </c>
      <c r="M139" s="10">
        <v>0</v>
      </c>
      <c r="N139" s="32">
        <f t="shared" ca="1" si="95"/>
        <v>5</v>
      </c>
      <c r="O139" s="32">
        <f t="shared" ca="1" si="96"/>
        <v>18.511827168583988</v>
      </c>
      <c r="P139" s="32">
        <f t="shared" ca="1" si="97"/>
        <v>30.853045280973316</v>
      </c>
      <c r="Q139" s="32">
        <f>(AVERAGE(VLOOKUP(E139,weapon_components!$A$8:$M$178,9,0),VLOOKUP(E139,weapon_components!$A$8:$M$178,10,0))+VLOOKUP(E139,weapon_components!$A$8:$M$178,11,0))/10</f>
        <v>4.3499999999999996</v>
      </c>
      <c r="R139" s="32">
        <f t="shared" ca="1" si="99"/>
        <v>0.88119340416507252</v>
      </c>
      <c r="S139" s="32">
        <f t="shared" si="98"/>
        <v>40.320000000000007</v>
      </c>
      <c r="T139" s="32">
        <v>0</v>
      </c>
      <c r="U139" s="14">
        <f>-INDEX('Ship Design Balancing'!$K$2:$K$6,'Weapon Formulas'!C139)*(INDEX('Weapon Formulas'!$R$1:$R$3,'Weapon Formulas'!D139+2)*(1+'Weapon Formulas'!B139))</f>
        <v>-6.6666666666666661</v>
      </c>
      <c r="V139" s="32">
        <v>15.75</v>
      </c>
    </row>
    <row r="140" spans="3:22" x14ac:dyDescent="0.25">
      <c r="C140">
        <v>2</v>
      </c>
      <c r="D140" s="30">
        <v>0</v>
      </c>
      <c r="E140" s="15" t="s">
        <v>181</v>
      </c>
      <c r="F140" s="32">
        <f t="shared" si="90"/>
        <v>5</v>
      </c>
      <c r="G140" s="32">
        <f t="shared" ca="1" si="91"/>
        <v>5</v>
      </c>
      <c r="H140" s="32">
        <f t="shared" si="92"/>
        <v>3.2</v>
      </c>
      <c r="I140" s="32">
        <f t="shared" si="92"/>
        <v>5.5</v>
      </c>
      <c r="J140" s="32">
        <f t="shared" si="92"/>
        <v>0.8</v>
      </c>
      <c r="K140" s="10">
        <f t="shared" ca="1" si="93"/>
        <v>3.0719549548180649</v>
      </c>
      <c r="L140" s="10">
        <f t="shared" si="94"/>
        <v>0.04</v>
      </c>
      <c r="M140" s="10">
        <v>0</v>
      </c>
      <c r="N140" s="32">
        <f t="shared" ca="1" si="95"/>
        <v>10</v>
      </c>
      <c r="O140" s="32">
        <f t="shared" ca="1" si="96"/>
        <v>40.720504974699168</v>
      </c>
      <c r="P140" s="32">
        <f t="shared" ca="1" si="97"/>
        <v>67.867508291165279</v>
      </c>
      <c r="Q140" s="32">
        <f>(AVERAGE(VLOOKUP(E140,weapon_components!$A$8:$M$178,9,0),VLOOKUP(E140,weapon_components!$A$8:$M$178,10,0))+VLOOKUP(E140,weapon_components!$A$8:$M$178,11,0))/10</f>
        <v>4.3499999999999996</v>
      </c>
      <c r="R140" s="32">
        <f t="shared" ca="1" si="99"/>
        <v>0.80119340416507256</v>
      </c>
      <c r="S140" s="32">
        <f t="shared" si="98"/>
        <v>50.400000000000006</v>
      </c>
      <c r="T140" s="32">
        <v>0</v>
      </c>
      <c r="U140" s="14">
        <f>-INDEX('Ship Design Balancing'!$K$2:$K$6,'Weapon Formulas'!C140)*(INDEX('Weapon Formulas'!$R$1:$R$3,'Weapon Formulas'!D140+2)*(1+'Weapon Formulas'!B140))</f>
        <v>-13.333333333333332</v>
      </c>
      <c r="V140" s="32">
        <v>16.75</v>
      </c>
    </row>
    <row r="141" spans="3:22" x14ac:dyDescent="0.25">
      <c r="C141">
        <v>2</v>
      </c>
      <c r="D141" s="30">
        <v>1</v>
      </c>
      <c r="E141" s="15" t="s">
        <v>182</v>
      </c>
      <c r="F141" s="32">
        <f t="shared" si="90"/>
        <v>5</v>
      </c>
      <c r="G141" s="32">
        <f t="shared" ca="1" si="91"/>
        <v>5</v>
      </c>
      <c r="H141" s="32">
        <f t="shared" si="92"/>
        <v>2.8000000000000003</v>
      </c>
      <c r="I141" s="32">
        <f t="shared" si="92"/>
        <v>5.75</v>
      </c>
      <c r="J141" s="32">
        <f t="shared" si="92"/>
        <v>0.70000000000000007</v>
      </c>
      <c r="K141" s="10">
        <f t="shared" ca="1" si="93"/>
        <v>4.3032177665400919</v>
      </c>
      <c r="L141" s="10">
        <f t="shared" si="94"/>
        <v>0.04</v>
      </c>
      <c r="M141" s="10">
        <v>0</v>
      </c>
      <c r="N141" s="32">
        <f t="shared" ca="1" si="95"/>
        <v>20.000000000000004</v>
      </c>
      <c r="O141" s="32">
        <f t="shared" ca="1" si="96"/>
        <v>90.475037102620334</v>
      </c>
      <c r="P141" s="32">
        <f t="shared" ca="1" si="97"/>
        <v>150.79172850436723</v>
      </c>
      <c r="Q141" s="32">
        <f>(AVERAGE(VLOOKUP(E141,weapon_components!$A$8:$M$178,9,0),VLOOKUP(E141,weapon_components!$A$8:$M$178,10,0))+VLOOKUP(E141,weapon_components!$A$8:$M$178,11,0))/10</f>
        <v>4.3499999999999996</v>
      </c>
      <c r="R141" s="32">
        <f t="shared" ca="1" si="99"/>
        <v>0.7211934041650726</v>
      </c>
      <c r="S141" s="32">
        <f t="shared" si="98"/>
        <v>60.480000000000004</v>
      </c>
      <c r="T141" s="32">
        <v>0</v>
      </c>
      <c r="U141" s="14">
        <f>-INDEX('Ship Design Balancing'!$K$2:$K$6,'Weapon Formulas'!C141)*(INDEX('Weapon Formulas'!$R$1:$R$3,'Weapon Formulas'!D141+2)*(1+'Weapon Formulas'!B141))</f>
        <v>-26.666666666666664</v>
      </c>
      <c r="V141" s="32">
        <v>17.75</v>
      </c>
    </row>
    <row r="142" spans="3:22" x14ac:dyDescent="0.25">
      <c r="C142">
        <v>2</v>
      </c>
      <c r="D142" s="30">
        <v>-1</v>
      </c>
      <c r="E142" s="15" t="s">
        <v>183</v>
      </c>
      <c r="F142" s="32">
        <f t="shared" si="90"/>
        <v>5</v>
      </c>
      <c r="G142" s="32">
        <f t="shared" ca="1" si="91"/>
        <v>5</v>
      </c>
      <c r="H142" s="32">
        <f t="shared" si="92"/>
        <v>3.5999999999999996</v>
      </c>
      <c r="I142" s="32">
        <f t="shared" si="92"/>
        <v>5.25</v>
      </c>
      <c r="J142" s="32">
        <f t="shared" si="92"/>
        <v>0.89999999999999991</v>
      </c>
      <c r="K142" s="10">
        <f t="shared" ca="1" si="93"/>
        <v>2.0642549261858454</v>
      </c>
      <c r="L142" s="10">
        <f t="shared" si="94"/>
        <v>0.04</v>
      </c>
      <c r="M142" s="10">
        <v>0</v>
      </c>
      <c r="N142" s="32">
        <f t="shared" ca="1" si="95"/>
        <v>5</v>
      </c>
      <c r="O142" s="32">
        <f t="shared" ca="1" si="96"/>
        <v>18.511827168583988</v>
      </c>
      <c r="P142" s="32">
        <f t="shared" ca="1" si="97"/>
        <v>30.853045280973316</v>
      </c>
      <c r="Q142" s="32">
        <f>(AVERAGE(VLOOKUP(E142,weapon_components!$A$8:$M$178,9,0),VLOOKUP(E142,weapon_components!$A$8:$M$178,10,0))+VLOOKUP(E142,weapon_components!$A$8:$M$178,11,0))/10</f>
        <v>4.3499999999999996</v>
      </c>
      <c r="R142" s="32">
        <f t="shared" ca="1" si="99"/>
        <v>0.88119340416507252</v>
      </c>
      <c r="S142" s="32">
        <f t="shared" si="98"/>
        <v>40.320000000000007</v>
      </c>
      <c r="T142" s="32">
        <v>0</v>
      </c>
      <c r="U142" s="14">
        <f>-INDEX('Ship Design Balancing'!$K$2:$K$6,'Weapon Formulas'!C142)*(INDEX('Weapon Formulas'!$R$1:$R$3,'Weapon Formulas'!D142+2)*(1+'Weapon Formulas'!B142))</f>
        <v>-6.6666666666666661</v>
      </c>
      <c r="V142" s="32">
        <v>18.75</v>
      </c>
    </row>
    <row r="143" spans="3:22" x14ac:dyDescent="0.25">
      <c r="C143">
        <v>2</v>
      </c>
      <c r="D143" s="30">
        <v>0</v>
      </c>
      <c r="E143" s="15" t="s">
        <v>184</v>
      </c>
      <c r="F143" s="32">
        <f t="shared" si="90"/>
        <v>5</v>
      </c>
      <c r="G143" s="32">
        <f t="shared" ca="1" si="91"/>
        <v>5</v>
      </c>
      <c r="H143" s="32">
        <f t="shared" si="92"/>
        <v>3.2</v>
      </c>
      <c r="I143" s="32">
        <f t="shared" si="92"/>
        <v>5.5</v>
      </c>
      <c r="J143" s="32">
        <f t="shared" si="92"/>
        <v>0.8</v>
      </c>
      <c r="K143" s="10">
        <f t="shared" ca="1" si="93"/>
        <v>3.0719549548180649</v>
      </c>
      <c r="L143" s="10">
        <f t="shared" si="94"/>
        <v>0.04</v>
      </c>
      <c r="M143" s="10">
        <v>0</v>
      </c>
      <c r="N143" s="32">
        <f t="shared" ca="1" si="95"/>
        <v>10</v>
      </c>
      <c r="O143" s="32">
        <f t="shared" ca="1" si="96"/>
        <v>40.720504974699168</v>
      </c>
      <c r="P143" s="32">
        <f t="shared" ca="1" si="97"/>
        <v>67.867508291165279</v>
      </c>
      <c r="Q143" s="32">
        <f>(AVERAGE(VLOOKUP(E143,weapon_components!$A$8:$M$178,9,0),VLOOKUP(E143,weapon_components!$A$8:$M$178,10,0))+VLOOKUP(E143,weapon_components!$A$8:$M$178,11,0))/10</f>
        <v>4.3499999999999996</v>
      </c>
      <c r="R143" s="32">
        <f t="shared" ca="1" si="99"/>
        <v>0.80119340416507256</v>
      </c>
      <c r="S143" s="32">
        <f t="shared" si="98"/>
        <v>50.400000000000006</v>
      </c>
      <c r="T143" s="32">
        <v>0</v>
      </c>
      <c r="U143" s="14">
        <f>-INDEX('Ship Design Balancing'!$K$2:$K$6,'Weapon Formulas'!C143)*(INDEX('Weapon Formulas'!$R$1:$R$3,'Weapon Formulas'!D143+2)*(1+'Weapon Formulas'!B143))</f>
        <v>-13.333333333333332</v>
      </c>
      <c r="V143" s="32">
        <v>19.75</v>
      </c>
    </row>
    <row r="144" spans="3:22" x14ac:dyDescent="0.25">
      <c r="C144">
        <v>2</v>
      </c>
      <c r="D144" s="30">
        <v>1</v>
      </c>
      <c r="E144" s="15" t="s">
        <v>185</v>
      </c>
      <c r="F144" s="32">
        <f t="shared" si="90"/>
        <v>5</v>
      </c>
      <c r="G144" s="32">
        <f t="shared" ca="1" si="91"/>
        <v>5</v>
      </c>
      <c r="H144" s="32">
        <f t="shared" si="92"/>
        <v>2.8000000000000003</v>
      </c>
      <c r="I144" s="32">
        <f t="shared" si="92"/>
        <v>5.75</v>
      </c>
      <c r="J144" s="32">
        <f t="shared" si="92"/>
        <v>0.70000000000000007</v>
      </c>
      <c r="K144" s="10">
        <f t="shared" ca="1" si="93"/>
        <v>4.3032177665400919</v>
      </c>
      <c r="L144" s="10">
        <f t="shared" si="94"/>
        <v>0.04</v>
      </c>
      <c r="M144" s="10">
        <v>0</v>
      </c>
      <c r="N144" s="32">
        <f t="shared" ca="1" si="95"/>
        <v>20.000000000000004</v>
      </c>
      <c r="O144" s="32">
        <f t="shared" ca="1" si="96"/>
        <v>90.475037102620334</v>
      </c>
      <c r="P144" s="32">
        <f t="shared" ca="1" si="97"/>
        <v>150.79172850436723</v>
      </c>
      <c r="Q144" s="32">
        <f>(AVERAGE(VLOOKUP(E144,weapon_components!$A$8:$M$178,9,0),VLOOKUP(E144,weapon_components!$A$8:$M$178,10,0))+VLOOKUP(E144,weapon_components!$A$8:$M$178,11,0))/10</f>
        <v>4.3499999999999996</v>
      </c>
      <c r="R144" s="32">
        <f t="shared" ca="1" si="99"/>
        <v>0.7211934041650726</v>
      </c>
      <c r="S144" s="32">
        <f t="shared" si="98"/>
        <v>60.480000000000004</v>
      </c>
      <c r="T144" s="32">
        <v>0</v>
      </c>
      <c r="U144" s="14">
        <f>-INDEX('Ship Design Balancing'!$K$2:$K$6,'Weapon Formulas'!C144)*(INDEX('Weapon Formulas'!$R$1:$R$3,'Weapon Formulas'!D144+2)*(1+'Weapon Formulas'!B144))</f>
        <v>-26.666666666666664</v>
      </c>
      <c r="V144" s="32">
        <v>20.75</v>
      </c>
    </row>
    <row r="145" spans="3:22" x14ac:dyDescent="0.25">
      <c r="C145">
        <v>2</v>
      </c>
      <c r="D145" s="30">
        <v>-1</v>
      </c>
      <c r="E145" s="15" t="s">
        <v>186</v>
      </c>
      <c r="F145" s="32">
        <f t="shared" si="90"/>
        <v>5</v>
      </c>
      <c r="G145" s="32">
        <f t="shared" ca="1" si="91"/>
        <v>5</v>
      </c>
      <c r="H145" s="32">
        <f t="shared" si="92"/>
        <v>3.5999999999999996</v>
      </c>
      <c r="I145" s="32">
        <f t="shared" si="92"/>
        <v>5.25</v>
      </c>
      <c r="J145" s="32">
        <f t="shared" si="92"/>
        <v>0.89999999999999991</v>
      </c>
      <c r="K145" s="10">
        <f t="shared" ca="1" si="93"/>
        <v>2.0642549261858454</v>
      </c>
      <c r="L145" s="10">
        <f t="shared" si="94"/>
        <v>0.04</v>
      </c>
      <c r="M145" s="10">
        <v>0</v>
      </c>
      <c r="N145" s="32">
        <f t="shared" ca="1" si="95"/>
        <v>5</v>
      </c>
      <c r="O145" s="32">
        <f t="shared" ca="1" si="96"/>
        <v>18.511827168583988</v>
      </c>
      <c r="P145" s="32">
        <f t="shared" ca="1" si="97"/>
        <v>30.853045280973316</v>
      </c>
      <c r="Q145" s="32">
        <f>(AVERAGE(VLOOKUP(E145,weapon_components!$A$8:$M$178,9,0),VLOOKUP(E145,weapon_components!$A$8:$M$178,10,0))+VLOOKUP(E145,weapon_components!$A$8:$M$178,11,0))/10</f>
        <v>4.3499999999999996</v>
      </c>
      <c r="R145" s="32">
        <f t="shared" ca="1" si="99"/>
        <v>0.88119340416507252</v>
      </c>
      <c r="S145" s="32">
        <f t="shared" si="98"/>
        <v>40.320000000000007</v>
      </c>
      <c r="T145" s="32">
        <v>0</v>
      </c>
      <c r="U145" s="14">
        <f>-INDEX('Ship Design Balancing'!$K$2:$K$6,'Weapon Formulas'!C145)*(INDEX('Weapon Formulas'!$R$1:$R$3,'Weapon Formulas'!D145+2)*(1+'Weapon Formulas'!B145))</f>
        <v>-6.6666666666666661</v>
      </c>
      <c r="V145" s="32">
        <v>21.75</v>
      </c>
    </row>
    <row r="146" spans="3:22" x14ac:dyDescent="0.25">
      <c r="C146">
        <v>2</v>
      </c>
      <c r="D146" s="30">
        <v>0</v>
      </c>
      <c r="E146" s="15" t="s">
        <v>187</v>
      </c>
      <c r="F146" s="32">
        <f t="shared" si="90"/>
        <v>5</v>
      </c>
      <c r="G146" s="32">
        <f t="shared" ca="1" si="91"/>
        <v>5</v>
      </c>
      <c r="H146" s="32">
        <f t="shared" si="92"/>
        <v>3.2</v>
      </c>
      <c r="I146" s="32">
        <f t="shared" si="92"/>
        <v>5.5</v>
      </c>
      <c r="J146" s="32">
        <f t="shared" si="92"/>
        <v>0.8</v>
      </c>
      <c r="K146" s="10">
        <f t="shared" ca="1" si="93"/>
        <v>3.0719549548180649</v>
      </c>
      <c r="L146" s="10">
        <f t="shared" si="94"/>
        <v>0.04</v>
      </c>
      <c r="M146" s="10">
        <v>0</v>
      </c>
      <c r="N146" s="32">
        <f t="shared" ca="1" si="95"/>
        <v>10</v>
      </c>
      <c r="O146" s="32">
        <f t="shared" ca="1" si="96"/>
        <v>40.720504974699168</v>
      </c>
      <c r="P146" s="32">
        <f t="shared" ca="1" si="97"/>
        <v>67.867508291165279</v>
      </c>
      <c r="Q146" s="32">
        <f>(AVERAGE(VLOOKUP(E146,weapon_components!$A$8:$M$178,9,0),VLOOKUP(E146,weapon_components!$A$8:$M$178,10,0))+VLOOKUP(E146,weapon_components!$A$8:$M$178,11,0))/10</f>
        <v>4.3499999999999996</v>
      </c>
      <c r="R146" s="32">
        <f t="shared" ca="1" si="99"/>
        <v>0.80119340416507256</v>
      </c>
      <c r="S146" s="32">
        <f t="shared" si="98"/>
        <v>50.400000000000006</v>
      </c>
      <c r="T146" s="32">
        <v>0</v>
      </c>
      <c r="U146" s="14">
        <f>-INDEX('Ship Design Balancing'!$K$2:$K$6,'Weapon Formulas'!C146)*(INDEX('Weapon Formulas'!$R$1:$R$3,'Weapon Formulas'!D146+2)*(1+'Weapon Formulas'!B146))</f>
        <v>-13.333333333333332</v>
      </c>
      <c r="V146" s="32">
        <v>22.75</v>
      </c>
    </row>
    <row r="147" spans="3:22" x14ac:dyDescent="0.25">
      <c r="C147">
        <v>2</v>
      </c>
      <c r="D147" s="30">
        <v>1</v>
      </c>
      <c r="E147" s="15" t="s">
        <v>188</v>
      </c>
      <c r="F147" s="32">
        <f>($F$2+(C147*$F$1))*(B147+1)</f>
        <v>5</v>
      </c>
      <c r="G147" s="32">
        <f t="shared" ca="1" si="91"/>
        <v>5</v>
      </c>
      <c r="H147" s="32">
        <f t="shared" si="92"/>
        <v>2.8000000000000003</v>
      </c>
      <c r="I147" s="32">
        <f t="shared" si="92"/>
        <v>5.75</v>
      </c>
      <c r="J147" s="32">
        <f t="shared" si="92"/>
        <v>0.70000000000000007</v>
      </c>
      <c r="K147" s="10">
        <f t="shared" ca="1" si="93"/>
        <v>4.3032177665400919</v>
      </c>
      <c r="L147" s="10">
        <f t="shared" si="94"/>
        <v>0.04</v>
      </c>
      <c r="M147" s="10">
        <v>0</v>
      </c>
      <c r="N147" s="32">
        <f t="shared" ca="1" si="95"/>
        <v>20.000000000000004</v>
      </c>
      <c r="O147" s="32">
        <f t="shared" ca="1" si="96"/>
        <v>90.475037102620334</v>
      </c>
      <c r="P147" s="32">
        <f t="shared" ca="1" si="97"/>
        <v>150.79172850436723</v>
      </c>
      <c r="Q147" s="32">
        <f>(AVERAGE(VLOOKUP(E147,weapon_components!$A$8:$M$178,9,0),VLOOKUP(E147,weapon_components!$A$8:$M$178,10,0))+VLOOKUP(E147,weapon_components!$A$8:$M$178,11,0))/10</f>
        <v>4.3499999999999996</v>
      </c>
      <c r="R147" s="32">
        <f t="shared" ca="1" si="99"/>
        <v>0.7211934041650726</v>
      </c>
      <c r="S147" s="32">
        <f t="shared" si="98"/>
        <v>60.480000000000004</v>
      </c>
      <c r="T147" s="32">
        <v>0</v>
      </c>
      <c r="U147" s="14">
        <f>-INDEX('Ship Design Balancing'!$K$2:$K$6,'Weapon Formulas'!C147)*(INDEX('Weapon Formulas'!$R$1:$R$3,'Weapon Formulas'!D147+2)*(1+'Weapon Formulas'!B147))</f>
        <v>-26.666666666666664</v>
      </c>
      <c r="V147" s="32">
        <v>23.75</v>
      </c>
    </row>
    <row r="148" spans="3:22" x14ac:dyDescent="0.25">
      <c r="E148" s="15" t="s">
        <v>198</v>
      </c>
      <c r="F148" s="30">
        <f>($F$2+(C148*$F$1))*(B158+1)</f>
        <v>0</v>
      </c>
      <c r="G148" s="32"/>
      <c r="H148" s="13">
        <v>3</v>
      </c>
      <c r="I148" s="13">
        <v>2</v>
      </c>
      <c r="J148" s="13">
        <v>1</v>
      </c>
      <c r="K148" s="10"/>
      <c r="L148" s="10"/>
      <c r="M148" s="10"/>
      <c r="N148" s="32"/>
      <c r="O148" s="32"/>
      <c r="P148" s="32"/>
      <c r="Q148" s="32"/>
      <c r="R148" s="13" t="s">
        <v>247</v>
      </c>
      <c r="S148" s="32">
        <v>60</v>
      </c>
      <c r="T148" s="32"/>
      <c r="U148" s="14"/>
      <c r="V148" s="32"/>
    </row>
    <row r="149" spans="3:22" x14ac:dyDescent="0.25">
      <c r="C149">
        <v>5</v>
      </c>
      <c r="D149">
        <v>-1</v>
      </c>
      <c r="E149" s="15" t="s">
        <v>199</v>
      </c>
      <c r="F149" s="32">
        <f>($F$2+(C149*$F$1))*(B149+1)</f>
        <v>12.5</v>
      </c>
      <c r="G149" s="32">
        <f ca="1">IF(G$148=1,H149,H149/(R149-INDEX($O$2:$O$6,C149)))</f>
        <v>12.5</v>
      </c>
      <c r="H149" s="32">
        <f>$F149*(INDEX($F$3:$F$5,H$148)+(($C149+($D149*$F$7))*INDEX($G$3:$G$5,H$148)))</f>
        <v>1.5</v>
      </c>
      <c r="I149" s="32">
        <f>$F149*(INDEX($F$3:$F$5,I$148)+(($C149+($D149*$F$7))*INDEX($G$3:$G$5,I$148)))</f>
        <v>6</v>
      </c>
      <c r="J149" s="32">
        <f>$F149*(INDEX($F$3:$F$5,J$148)+(($C149+($D149*$F$7))*INDEX($G$3:$G$5,J$148)))</f>
        <v>15</v>
      </c>
      <c r="K149" s="10">
        <f ca="1">1-((1-(I149/(G149*R149)))/INDEX($P$2:$P$6,C149))</f>
        <v>0.78082923810854121</v>
      </c>
      <c r="L149" s="10">
        <f>(INDEX($Q$2:$Q$6,C149)/((1/INDEX($F$4:$F$6,J$148))-1))</f>
        <v>3</v>
      </c>
      <c r="M149" s="10">
        <v>0</v>
      </c>
      <c r="N149" s="32">
        <f ca="1">(AVERAGE(O149,P149)*R149)/Q149</f>
        <v>12.5</v>
      </c>
      <c r="O149" s="32">
        <f t="shared" ref="O149:O156" ca="1" si="100">0.75*(((G149*INDEX($R$1:$R$3,$D149+2))*Q149)/R149)</f>
        <v>69.015082275765749</v>
      </c>
      <c r="P149" s="32">
        <f t="shared" ref="P149:P156" ca="1" si="101">1.25*(((G149*INDEX($R$1:$R$3,$D149+2))*Q149)/R149)</f>
        <v>115.02513712627625</v>
      </c>
      <c r="Q149" s="32">
        <f>(AVERAGE(VLOOKUP(E149,weapon_components!$A$8:$M$178,9,0),VLOOKUP(E149,weapon_components!$A$8:$M$178,10,0))+VLOOKUP(E149,weapon_components!$A$8:$M$178,11,0))/10</f>
        <v>3.85</v>
      </c>
      <c r="R149" s="32">
        <f ca="1">IF((H149/F149)+INDEX($O$2:$O$6,$C149)&gt;1,1,(H149/F149)+INDEX($O$2:$O$6,$C149))</f>
        <v>0.52298351041268143</v>
      </c>
      <c r="S149" s="32">
        <f>($S$148)*(1+(D149*$F$8))*(1+((C149-1)*$J$3))</f>
        <v>71.039999999999992</v>
      </c>
      <c r="T149" s="32">
        <v>0</v>
      </c>
      <c r="U149" s="14">
        <f>-INDEX('Ship Design Balancing'!$K$2:$K$6,'Weapon Formulas'!C149)*(INDEX('Weapon Formulas'!$R$1:$R$3,'Weapon Formulas'!D149+2)*(1+'Weapon Formulas'!B149))</f>
        <v>-53.333333333333329</v>
      </c>
      <c r="V149" s="32">
        <v>25.75</v>
      </c>
    </row>
    <row r="150" spans="3:22" x14ac:dyDescent="0.25">
      <c r="C150">
        <v>5</v>
      </c>
      <c r="D150">
        <v>0</v>
      </c>
      <c r="E150" s="15" t="s">
        <v>200</v>
      </c>
      <c r="F150" s="32">
        <f t="shared" ref="F150:F156" si="102">($F$2+(C150*$F$1))*(B150+1)</f>
        <v>12.5</v>
      </c>
      <c r="G150" s="32">
        <f t="shared" ref="G150" ca="1" si="103">IF(G$148=1,H150,H150/(R150-INDEX($O$2:$O$6,C150)))</f>
        <v>12.500000000000004</v>
      </c>
      <c r="H150" s="32">
        <f t="shared" ref="H150:J150" si="104">$F150*(INDEX($F$3:$F$5,H$148)+(($C150+($D150*$F$7))*INDEX($G$3:$G$5,H$148)))</f>
        <v>1.25</v>
      </c>
      <c r="I150" s="32">
        <f t="shared" si="104"/>
        <v>5</v>
      </c>
      <c r="J150" s="32">
        <f t="shared" si="104"/>
        <v>15.625</v>
      </c>
      <c r="K150" s="10">
        <f t="shared" ca="1" si="93"/>
        <v>0.4540125297378067</v>
      </c>
      <c r="L150" s="10">
        <f t="shared" ref="L150:L151" si="105">(INDEX($Q$2:$Q$6,C150)/((1/INDEX($F$4:$F$6,J$148))-1))</f>
        <v>3</v>
      </c>
      <c r="M150" s="10">
        <v>0</v>
      </c>
      <c r="N150" s="32">
        <f t="shared" ref="N150:N156" ca="1" si="106">(AVERAGE(O150,P150)*R150)/Q150</f>
        <v>25.000000000000007</v>
      </c>
      <c r="O150" s="32">
        <f t="shared" ca="1" si="100"/>
        <v>143.51862139729502</v>
      </c>
      <c r="P150" s="32">
        <f t="shared" ca="1" si="101"/>
        <v>239.19770232882502</v>
      </c>
      <c r="Q150" s="32">
        <f>(AVERAGE(VLOOKUP(E150,weapon_components!$A$8:$M$178,9,0),VLOOKUP(E150,weapon_components!$A$8:$M$178,10,0))+VLOOKUP(E150,weapon_components!$A$8:$M$178,11,0))/10</f>
        <v>3.85</v>
      </c>
      <c r="R150" s="32">
        <f t="shared" ref="R150:R156" ca="1" si="107">IF((H150/F150)+INDEX($O$2:$O$6,$C150)&gt;1,1,(H150/F150)+INDEX($O$2:$O$6,$C150))</f>
        <v>0.50298351041268141</v>
      </c>
      <c r="S150" s="32">
        <f t="shared" ref="S150:S151" si="108">($S$148)*(1+(D150*$F$8))*(1+((C150-1)*$J$3))</f>
        <v>88.8</v>
      </c>
      <c r="T150" s="32">
        <v>0</v>
      </c>
      <c r="U150" s="14">
        <f>-INDEX('Ship Design Balancing'!$K$2:$K$6,'Weapon Formulas'!C150)*(INDEX('Weapon Formulas'!$R$1:$R$3,'Weapon Formulas'!D150+2)*(1+'Weapon Formulas'!B150))</f>
        <v>-106.66666666666666</v>
      </c>
      <c r="V150" s="32">
        <v>26.75</v>
      </c>
    </row>
    <row r="151" spans="3:22" x14ac:dyDescent="0.25">
      <c r="C151">
        <v>5</v>
      </c>
      <c r="D151">
        <v>1</v>
      </c>
      <c r="E151" s="15" t="s">
        <v>201</v>
      </c>
      <c r="F151" s="32">
        <f>($F$2+(C151*$F$1))*(B151+1)</f>
        <v>12.5</v>
      </c>
      <c r="G151" s="32">
        <f ca="1">IF(G$148=1,H151,H151/(R151-INDEX($O$2:$O$6,C151)))</f>
        <v>12.500000000000005</v>
      </c>
      <c r="H151" s="32">
        <f>$F151*(INDEX($F$3:$F$5,H$148)+(($C151+($D151*$F$7))*INDEX($G$3:$G$5,H$148)))</f>
        <v>0.99999999999999989</v>
      </c>
      <c r="I151" s="32">
        <f>$F151*(INDEX($F$3:$F$5,I$148)+(($C151+($D151*$F$7))*INDEX($G$3:$G$5,I$148)))</f>
        <v>3.9999999999999996</v>
      </c>
      <c r="J151" s="32">
        <f>$F151*(INDEX($F$3:$F$5,J$148)+(($C151+($D151*$F$7))*INDEX($G$3:$G$5,J$148)))</f>
        <v>16.25</v>
      </c>
      <c r="K151" s="10">
        <f t="shared" ca="1" si="93"/>
        <v>0.10012933140831726</v>
      </c>
      <c r="L151" s="10">
        <f t="shared" si="105"/>
        <v>3</v>
      </c>
      <c r="M151" s="10">
        <v>0</v>
      </c>
      <c r="N151" s="32">
        <f t="shared" ca="1" si="106"/>
        <v>50.000000000000021</v>
      </c>
      <c r="O151" s="32">
        <f t="shared" ca="1" si="100"/>
        <v>298.92324869774541</v>
      </c>
      <c r="P151" s="32">
        <f t="shared" ca="1" si="101"/>
        <v>498.20541449624227</v>
      </c>
      <c r="Q151" s="32">
        <f>(AVERAGE(VLOOKUP(E151,weapon_components!$A$8:$M$178,9,0),VLOOKUP(E151,weapon_components!$A$8:$M$178,10,0))+VLOOKUP(E151,weapon_components!$A$8:$M$178,11,0))/10</f>
        <v>3.85</v>
      </c>
      <c r="R151" s="32">
        <f t="shared" ca="1" si="107"/>
        <v>0.48298351041268139</v>
      </c>
      <c r="S151" s="32">
        <f t="shared" si="108"/>
        <v>106.56</v>
      </c>
      <c r="T151" s="32">
        <v>0</v>
      </c>
      <c r="U151" s="14">
        <f>-INDEX('Ship Design Balancing'!$K$2:$K$6,'Weapon Formulas'!C151)*(INDEX('Weapon Formulas'!$R$1:$R$3,'Weapon Formulas'!D151+2)*(1+'Weapon Formulas'!B151))</f>
        <v>-213.33333333333331</v>
      </c>
      <c r="V151" s="32">
        <v>27.75</v>
      </c>
    </row>
    <row r="152" spans="3:22" x14ac:dyDescent="0.25">
      <c r="E152" s="34" t="s">
        <v>294</v>
      </c>
      <c r="F152" s="30">
        <v>1</v>
      </c>
      <c r="G152" s="32">
        <v>1</v>
      </c>
      <c r="H152" s="13">
        <v>1</v>
      </c>
      <c r="I152" s="13">
        <v>2</v>
      </c>
      <c r="J152" s="13">
        <v>1</v>
      </c>
      <c r="K152" s="10"/>
      <c r="L152" s="10"/>
      <c r="M152" s="10"/>
      <c r="N152" s="32"/>
      <c r="O152" s="32"/>
      <c r="P152" s="32"/>
      <c r="Q152" s="32"/>
      <c r="R152" s="13" t="s">
        <v>247</v>
      </c>
      <c r="S152" s="32">
        <v>30</v>
      </c>
      <c r="T152" s="32"/>
      <c r="U152" s="14"/>
      <c r="V152" s="32"/>
    </row>
    <row r="153" spans="3:22" x14ac:dyDescent="0.25">
      <c r="C153">
        <v>5</v>
      </c>
      <c r="D153">
        <v>-1</v>
      </c>
      <c r="E153" s="15" t="s">
        <v>203</v>
      </c>
      <c r="F153" s="32">
        <f t="shared" si="102"/>
        <v>12.5</v>
      </c>
      <c r="G153" s="32">
        <f>IF(G$152=1,H153,H153/(R153-INDEX($O$2:$O$6,C153)))</f>
        <v>15</v>
      </c>
      <c r="H153" s="32">
        <f>$F153*(INDEX($F$3:$F$5,H$152)+(($C153+($D153*$F$7))*INDEX($G$3:$G$5,H$152)))</f>
        <v>15</v>
      </c>
      <c r="I153" s="32">
        <f>$F153*(INDEX($F$3:$F$5,I$152)+(($C153+($D153*$F$7))*INDEX($G$3:$G$5,I$152)))</f>
        <v>6</v>
      </c>
      <c r="J153" s="32">
        <f>$F153*(INDEX($F$3:$F$5,J$152)+(($C153+($D153*$F$7))*INDEX($G$3:$G$5,J$152)))</f>
        <v>15</v>
      </c>
      <c r="K153" s="10">
        <f t="shared" ca="1" si="93"/>
        <v>-0.59999999999999987</v>
      </c>
      <c r="L153" s="10">
        <v>0</v>
      </c>
      <c r="M153" s="10">
        <v>1</v>
      </c>
      <c r="N153" s="32">
        <f t="shared" ca="1" si="106"/>
        <v>15.000000000000002</v>
      </c>
      <c r="O153" s="32">
        <f t="shared" ca="1" si="100"/>
        <v>60.1875</v>
      </c>
      <c r="P153" s="32">
        <f t="shared" ca="1" si="101"/>
        <v>100.3125</v>
      </c>
      <c r="Q153" s="32">
        <f>(AVERAGE(VLOOKUP(E153,weapon_components!$A$8:$M$178,9,0),VLOOKUP(E153,weapon_components!$A$8:$M$178,10,0))+VLOOKUP(E153,weapon_components!$A$8:$M$178,11,0))/10</f>
        <v>5.35</v>
      </c>
      <c r="R153" s="32">
        <f t="shared" ca="1" si="107"/>
        <v>1</v>
      </c>
      <c r="S153" s="32">
        <f>($S$152)*(1+(D153*$F$8))*(1+((C153-1)*$J$3))</f>
        <v>35.519999999999996</v>
      </c>
      <c r="T153" s="32">
        <f>INDEX($T$2:$T$6,C153)</f>
        <v>10</v>
      </c>
      <c r="U153" s="14">
        <f>-INDEX('Ship Design Balancing'!$K$2:$K$6,'Weapon Formulas'!C153)*(INDEX('Weapon Formulas'!$R$1:$R$3,'Weapon Formulas'!D153+2)*(1+'Weapon Formulas'!B153))</f>
        <v>-53.333333333333329</v>
      </c>
      <c r="V153" s="32">
        <v>29.75</v>
      </c>
    </row>
    <row r="154" spans="3:22" x14ac:dyDescent="0.25">
      <c r="C154">
        <v>5</v>
      </c>
      <c r="D154">
        <v>0</v>
      </c>
      <c r="E154" s="15" t="s">
        <v>204</v>
      </c>
      <c r="F154" s="32">
        <f t="shared" si="102"/>
        <v>12.5</v>
      </c>
      <c r="G154" s="32">
        <f>IF(G$152=1,H154,H154/(R154-INDEX($O$2:$O$6,C154)))</f>
        <v>15.625</v>
      </c>
      <c r="H154" s="32">
        <f t="shared" ref="H154:J156" si="109">$F154*(INDEX($F$3:$F$5,H$152)+(($C154+($D154*$F$7))*INDEX($G$3:$G$5,H$152)))</f>
        <v>15.625</v>
      </c>
      <c r="I154" s="32">
        <f t="shared" si="109"/>
        <v>5</v>
      </c>
      <c r="J154" s="32">
        <f t="shared" si="109"/>
        <v>15.625</v>
      </c>
      <c r="K154" s="10">
        <f t="shared" ca="1" si="93"/>
        <v>-0.81333333333333324</v>
      </c>
      <c r="L154" s="10">
        <v>0</v>
      </c>
      <c r="M154" s="10">
        <v>1</v>
      </c>
      <c r="N154" s="32">
        <f t="shared" ca="1" si="106"/>
        <v>31.250000000000004</v>
      </c>
      <c r="O154" s="32">
        <f t="shared" ca="1" si="100"/>
        <v>125.390625</v>
      </c>
      <c r="P154" s="32">
        <f t="shared" ca="1" si="101"/>
        <v>208.984375</v>
      </c>
      <c r="Q154" s="32">
        <f>(AVERAGE(VLOOKUP(E154,weapon_components!$A$8:$M$178,9,0),VLOOKUP(E154,weapon_components!$A$8:$M$178,10,0))+VLOOKUP(E154,weapon_components!$A$8:$M$178,11,0))/10</f>
        <v>5.35</v>
      </c>
      <c r="R154" s="32">
        <f t="shared" ca="1" si="107"/>
        <v>1</v>
      </c>
      <c r="S154" s="32">
        <f t="shared" ref="S154:S156" si="110">($S$152)*(1+(D154*$F$8))*(1+((C154-1)*$J$3))</f>
        <v>44.4</v>
      </c>
      <c r="T154" s="32">
        <f t="shared" ref="T154:T156" si="111">INDEX($T$2:$T$6,C154)</f>
        <v>10</v>
      </c>
      <c r="U154" s="14">
        <f>-INDEX('Ship Design Balancing'!$K$2:$K$6,'Weapon Formulas'!C154)*(INDEX('Weapon Formulas'!$R$1:$R$3,'Weapon Formulas'!D154+2)*(1+'Weapon Formulas'!B154))</f>
        <v>-106.66666666666666</v>
      </c>
      <c r="V154" s="32">
        <v>30.75</v>
      </c>
    </row>
    <row r="155" spans="3:22" x14ac:dyDescent="0.25">
      <c r="C155">
        <v>5</v>
      </c>
      <c r="D155">
        <v>1</v>
      </c>
      <c r="E155" s="15" t="s">
        <v>205</v>
      </c>
      <c r="F155" s="32">
        <f t="shared" si="102"/>
        <v>12.5</v>
      </c>
      <c r="G155" s="32">
        <f t="shared" ref="G155:G156" si="112">IF(G$152=1,H155,H155/(R155-INDEX($O$2:$O$6,C155)))</f>
        <v>16.25</v>
      </c>
      <c r="H155" s="32">
        <f t="shared" si="109"/>
        <v>16.25</v>
      </c>
      <c r="I155" s="32">
        <f t="shared" si="109"/>
        <v>3.9999999999999996</v>
      </c>
      <c r="J155" s="32">
        <f t="shared" si="109"/>
        <v>16.25</v>
      </c>
      <c r="K155" s="10">
        <f t="shared" ca="1" si="93"/>
        <v>-1.0102564102564102</v>
      </c>
      <c r="L155" s="10">
        <v>0</v>
      </c>
      <c r="M155" s="10">
        <v>1</v>
      </c>
      <c r="N155" s="32">
        <f t="shared" ca="1" si="106"/>
        <v>65</v>
      </c>
      <c r="O155" s="32">
        <f t="shared" ca="1" si="100"/>
        <v>260.8125</v>
      </c>
      <c r="P155" s="32">
        <f t="shared" ca="1" si="101"/>
        <v>434.6875</v>
      </c>
      <c r="Q155" s="32">
        <f>(AVERAGE(VLOOKUP(E155,weapon_components!$A$8:$M$178,9,0),VLOOKUP(E155,weapon_components!$A$8:$M$178,10,0))+VLOOKUP(E155,weapon_components!$A$8:$M$178,11,0))/10</f>
        <v>5.35</v>
      </c>
      <c r="R155" s="32">
        <f t="shared" ca="1" si="107"/>
        <v>1</v>
      </c>
      <c r="S155" s="32">
        <f t="shared" si="110"/>
        <v>53.28</v>
      </c>
      <c r="T155" s="32">
        <f t="shared" si="111"/>
        <v>10</v>
      </c>
      <c r="U155" s="14">
        <f>-INDEX('Ship Design Balancing'!$K$2:$K$6,'Weapon Formulas'!C155)*(INDEX('Weapon Formulas'!$R$1:$R$3,'Weapon Formulas'!D155+2)*(1+'Weapon Formulas'!B155))</f>
        <v>-213.33333333333331</v>
      </c>
      <c r="V155" s="32">
        <v>31.75</v>
      </c>
    </row>
    <row r="156" spans="3:22" x14ac:dyDescent="0.25">
      <c r="C156">
        <v>5</v>
      </c>
      <c r="D156">
        <v>1</v>
      </c>
      <c r="E156" s="15" t="s">
        <v>206</v>
      </c>
      <c r="F156" s="32">
        <f t="shared" si="102"/>
        <v>12.5</v>
      </c>
      <c r="G156" s="32">
        <f t="shared" si="112"/>
        <v>16.25</v>
      </c>
      <c r="H156" s="32">
        <f t="shared" si="109"/>
        <v>16.25</v>
      </c>
      <c r="I156" s="32">
        <f t="shared" si="109"/>
        <v>3.9999999999999996</v>
      </c>
      <c r="J156" s="32">
        <f t="shared" si="109"/>
        <v>16.25</v>
      </c>
      <c r="K156" s="10">
        <f t="shared" ca="1" si="93"/>
        <v>-1.0102564102564102</v>
      </c>
      <c r="L156" s="10">
        <v>0</v>
      </c>
      <c r="M156" s="10">
        <v>1</v>
      </c>
      <c r="N156" s="32">
        <f t="shared" ca="1" si="106"/>
        <v>65</v>
      </c>
      <c r="O156" s="32">
        <f t="shared" ca="1" si="100"/>
        <v>260.8125</v>
      </c>
      <c r="P156" s="32">
        <f t="shared" ca="1" si="101"/>
        <v>434.6875</v>
      </c>
      <c r="Q156" s="32">
        <f>(AVERAGE(VLOOKUP(E156,weapon_components!$A$8:$M$178,9,0),VLOOKUP(E156,weapon_components!$A$8:$M$178,10,0))+VLOOKUP(E156,weapon_components!$A$8:$M$178,11,0))/10</f>
        <v>5.35</v>
      </c>
      <c r="R156" s="32">
        <f t="shared" ca="1" si="107"/>
        <v>1</v>
      </c>
      <c r="S156" s="32">
        <f t="shared" si="110"/>
        <v>53.28</v>
      </c>
      <c r="T156" s="32">
        <f t="shared" si="111"/>
        <v>10</v>
      </c>
      <c r="U156" s="14">
        <f>-INDEX('Ship Design Balancing'!$K$2:$K$6,'Weapon Formulas'!C156)*(INDEX('Weapon Formulas'!$R$1:$R$3,'Weapon Formulas'!D156+2)*(1+'Weapon Formulas'!B156))</f>
        <v>-213.33333333333331</v>
      </c>
      <c r="V156" s="32">
        <v>32.75</v>
      </c>
    </row>
    <row r="157" spans="3:22" x14ac:dyDescent="0.25">
      <c r="E157" s="34" t="s">
        <v>295</v>
      </c>
      <c r="H157">
        <v>2</v>
      </c>
      <c r="I157">
        <v>1</v>
      </c>
      <c r="J157">
        <v>3</v>
      </c>
    </row>
    <row r="158" spans="3:22" x14ac:dyDescent="0.25">
      <c r="C158">
        <v>5</v>
      </c>
      <c r="D158">
        <v>-1</v>
      </c>
      <c r="E158" s="15" t="s">
        <v>207</v>
      </c>
      <c r="F158" s="32">
        <f>($F$2+(C158*$F$1))*(B158+1)</f>
        <v>12.5</v>
      </c>
      <c r="G158" s="32">
        <f>IF(G$152=1,H158,H158/(R158-INDEX($O$2:$O$6,C158)))</f>
        <v>6</v>
      </c>
      <c r="H158" s="32">
        <f t="shared" ref="H158:J159" si="113">$F158*(INDEX($F$3:$F$5,H$157)+(($C158+($D158*$F$7))*INDEX($G$3:$G$5,H$157)))</f>
        <v>6</v>
      </c>
      <c r="I158" s="32">
        <f t="shared" si="113"/>
        <v>15</v>
      </c>
      <c r="J158" s="32">
        <f t="shared" si="113"/>
        <v>1.5</v>
      </c>
      <c r="K158" s="10">
        <f t="shared" ca="1" si="93"/>
        <v>5.883493203873674</v>
      </c>
      <c r="L158" s="10">
        <f>(INDEX($Q$2:$Q$6,C158)/((1/INDEX($F$4:$F$6,J$157))-1))</f>
        <v>8.3333333333333329E-2</v>
      </c>
      <c r="M158" s="10">
        <v>0</v>
      </c>
      <c r="N158" s="32">
        <f ca="1">(AVERAGE(O158,P158)*R158)/Q158</f>
        <v>5.9999999999999991</v>
      </c>
      <c r="O158" s="32">
        <f ca="1">0.75*(((G158*INDEX($R$1:$R$3,$D158+2))*Q158)/R158)</f>
        <v>22.169156919874073</v>
      </c>
      <c r="P158" s="32">
        <f ca="1">1.25*(((G158*INDEX($R$1:$R$3,$D158+2))*Q158)/R158)</f>
        <v>36.948594866456787</v>
      </c>
      <c r="Q158" s="32">
        <f>(AVERAGE(VLOOKUP(E158,weapon_components!$A$8:$M$178,9,0),VLOOKUP(E158,weapon_components!$A$8:$M$178,10,0))+VLOOKUP(E158,weapon_components!$A$8:$M$178,11,0))/10</f>
        <v>4.3499999999999996</v>
      </c>
      <c r="R158" s="32">
        <f ca="1">IF((H158/F158)+INDEX($O$2:$O$6,$C158)&gt;1,1,(H158/F158)+INDEX($O$2:$O$6,$C158))</f>
        <v>0.88298351041268142</v>
      </c>
      <c r="S158" s="32">
        <f>($S$152)*(1+(D158*$F$8))*(1+((C158-1)*$J$3))</f>
        <v>35.519999999999996</v>
      </c>
      <c r="T158" s="32">
        <v>0</v>
      </c>
      <c r="U158" s="14">
        <f>-INDEX('Ship Design Balancing'!$K$2:$K$6,'Weapon Formulas'!C158)*(INDEX('Weapon Formulas'!$R$1:$R$3,'Weapon Formulas'!D158+2)*(1+'Weapon Formulas'!B158))</f>
        <v>-53.333333333333329</v>
      </c>
      <c r="V158" s="32">
        <v>33.75</v>
      </c>
    </row>
    <row r="159" spans="3:22" x14ac:dyDescent="0.25">
      <c r="C159">
        <v>5</v>
      </c>
      <c r="D159">
        <v>0</v>
      </c>
      <c r="E159" s="15" t="s">
        <v>208</v>
      </c>
      <c r="F159" s="32">
        <f>($F$2+(C159*$F$1))*(B159+1)</f>
        <v>12.5</v>
      </c>
      <c r="G159" s="32">
        <f>IF(G$152=1,H159,H159/(R159-INDEX($O$2:$O$6,C159)))</f>
        <v>5</v>
      </c>
      <c r="H159" s="32">
        <f t="shared" si="113"/>
        <v>5</v>
      </c>
      <c r="I159" s="32">
        <f t="shared" si="113"/>
        <v>15.625</v>
      </c>
      <c r="J159" s="32">
        <f t="shared" si="113"/>
        <v>1.25</v>
      </c>
      <c r="K159" s="10">
        <f t="shared" ca="1" si="93"/>
        <v>8.7112965483569411</v>
      </c>
      <c r="L159" s="10">
        <f>(INDEX($Q$2:$Q$6,C159)/((1/INDEX($F$4:$F$6,J$157))-1))</f>
        <v>8.3333333333333329E-2</v>
      </c>
      <c r="M159" s="10">
        <v>0</v>
      </c>
      <c r="N159" s="32">
        <f ca="1">(AVERAGE(O159,P159)*R159)/Q159</f>
        <v>10</v>
      </c>
      <c r="O159" s="32">
        <f ca="1">0.75*(((G159*INDEX($R$1:$R$3,$D159+2))*Q159)/R159)</f>
        <v>40.629725986817419</v>
      </c>
      <c r="P159" s="32">
        <f ca="1">1.25*(((G159*INDEX($R$1:$R$3,$D159+2))*Q159)/R159)</f>
        <v>67.716209978029028</v>
      </c>
      <c r="Q159" s="32">
        <f>(AVERAGE(VLOOKUP(E159,weapon_components!$A$8:$M$178,9,0),VLOOKUP(E159,weapon_components!$A$8:$M$178,10,0))+VLOOKUP(E159,weapon_components!$A$8:$M$178,11,0))/10</f>
        <v>4.3499999999999996</v>
      </c>
      <c r="R159" s="32">
        <f ca="1">IF((H159/F159)+INDEX($O$2:$O$6,$C159)&gt;1,1,(H159/F159)+INDEX($O$2:$O$6,$C159))</f>
        <v>0.80298351041268146</v>
      </c>
      <c r="S159" s="32">
        <f>($S$152)*(1+(D159*$F$8))*(1+((C159-1)*$J$3))</f>
        <v>44.4</v>
      </c>
      <c r="T159" s="32">
        <v>0</v>
      </c>
      <c r="U159" s="14">
        <f>-INDEX('Ship Design Balancing'!$K$2:$K$6,'Weapon Formulas'!C159)*(INDEX('Weapon Formulas'!$R$1:$R$3,'Weapon Formulas'!D159+2)*(1+'Weapon Formulas'!B159))</f>
        <v>-106.66666666666666</v>
      </c>
      <c r="V159" s="32">
        <v>34.75</v>
      </c>
    </row>
    <row r="160" spans="3:22" x14ac:dyDescent="0.25">
      <c r="E160" s="15" t="s">
        <v>209</v>
      </c>
      <c r="F160" s="30">
        <f>($F$2+(C160*$F$1))*(B169+1)</f>
        <v>0</v>
      </c>
      <c r="G160" s="32"/>
      <c r="H160" s="13">
        <v>2</v>
      </c>
      <c r="I160" s="13">
        <v>1</v>
      </c>
      <c r="J160" s="13">
        <v>3</v>
      </c>
      <c r="K160" s="10"/>
      <c r="L160" s="10"/>
      <c r="M160" s="10"/>
      <c r="N160" s="32"/>
      <c r="O160" s="32"/>
      <c r="P160" s="32"/>
      <c r="Q160" s="32"/>
      <c r="R160" s="13" t="s">
        <v>247</v>
      </c>
      <c r="S160" s="32">
        <v>45</v>
      </c>
      <c r="T160" s="32"/>
      <c r="U160" s="14"/>
      <c r="V160" s="32"/>
    </row>
    <row r="161" spans="3:22" x14ac:dyDescent="0.25">
      <c r="C161">
        <v>5</v>
      </c>
      <c r="D161">
        <v>1</v>
      </c>
      <c r="E161" s="15" t="s">
        <v>210</v>
      </c>
      <c r="F161" s="32">
        <f>($F$2+(C161*$F$1))*(B161+1)</f>
        <v>12.5</v>
      </c>
      <c r="G161" s="32">
        <f ca="1">IF(G$123=1,H161,H161/(R161-INDEX($O$2:$O$6,C161)))</f>
        <v>12.5</v>
      </c>
      <c r="H161" s="32">
        <f>$F161*(INDEX($F$3:$F$5,H$160)+(($C161+($D161*$F$7))*INDEX($G$3:$G$5,H$160)))</f>
        <v>3.9999999999999996</v>
      </c>
      <c r="I161" s="32">
        <f>$F161*(INDEX($F$3:$F$5,I$160)+(($C161+($D161*$F$7))*INDEX($G$3:$G$5,I$160)))</f>
        <v>16.25</v>
      </c>
      <c r="J161" s="32">
        <f>$F161*(INDEX($F$3:$F$5,J$160)+(($C161+($D161*$F$7))*INDEX($G$3:$G$5,J$160)))</f>
        <v>0.99999999999999989</v>
      </c>
      <c r="K161" s="10">
        <f t="shared" ca="1" si="93"/>
        <v>3.1282790226034556</v>
      </c>
      <c r="L161" s="10">
        <f>(INDEX($Q$2:$Q$6,C161)/((1/INDEX($F$4:$F$6,J$160))-1))</f>
        <v>8.3333333333333329E-2</v>
      </c>
      <c r="M161" s="10">
        <v>0</v>
      </c>
      <c r="N161" s="32">
        <f ca="1">(AVERAGE(O161,P161)*R161)/Q161</f>
        <v>50</v>
      </c>
      <c r="O161" s="32">
        <f ca="1">0.75*(((G161*INDEX($R$1:$R$3,$D161+2))*Q161)/R161)</f>
        <v>588.70637278719096</v>
      </c>
      <c r="P161" s="32">
        <f ca="1">1.25*(((G161*INDEX($R$1:$R$3,$D161+2))*Q161)/R161)</f>
        <v>981.17728797865175</v>
      </c>
      <c r="Q161" s="32">
        <f>(AVERAGE(VLOOKUP(E161,weapon_components!$A$8:$M$178,9,0),VLOOKUP(E161,weapon_components!$A$8:$M$178,10,0))+VLOOKUP(E161,weapon_components!$A$8:$M$178,11,0))/10</f>
        <v>11.35</v>
      </c>
      <c r="R161" s="32">
        <f ca="1">IF((H161/F161)+INDEX($O$2:$O$6,$C161)&gt;1,1,(H161/F161)+INDEX($O$2:$O$6,$C161))</f>
        <v>0.72298351041268138</v>
      </c>
      <c r="S161" s="32">
        <f>($S$160)*(1+(D161*$F$8))*(1+((C161-1)*$J$3))</f>
        <v>79.92</v>
      </c>
      <c r="T161" s="32">
        <v>0</v>
      </c>
      <c r="U161" s="14">
        <f>-INDEX('Ship Design Balancing'!$K$2:$K$6,'Weapon Formulas'!C161)*(INDEX('Weapon Formulas'!$R$1:$R$3,'Weapon Formulas'!D161+2)*(1+'Weapon Formulas'!B161))</f>
        <v>-213.33333333333331</v>
      </c>
      <c r="V161" s="32">
        <v>36.75</v>
      </c>
    </row>
    <row r="162" spans="3:22" x14ac:dyDescent="0.25">
      <c r="E162" s="34" t="s">
        <v>293</v>
      </c>
      <c r="F162" s="32">
        <f t="shared" ref="F162:F169" si="114">($F$2+(C162*$F$1))*(B162+1)</f>
        <v>0</v>
      </c>
      <c r="G162" s="32">
        <v>0</v>
      </c>
      <c r="H162" s="13">
        <v>1</v>
      </c>
      <c r="I162" s="13">
        <v>2</v>
      </c>
      <c r="J162" s="13">
        <v>3</v>
      </c>
      <c r="K162" s="10"/>
      <c r="L162" s="10"/>
      <c r="M162" s="10"/>
      <c r="N162" s="32"/>
      <c r="O162" s="32"/>
      <c r="P162" s="32"/>
      <c r="Q162" s="32"/>
      <c r="R162" s="32"/>
      <c r="S162" s="32"/>
      <c r="T162" s="32"/>
      <c r="U162" s="14"/>
      <c r="V162" s="32"/>
    </row>
    <row r="163" spans="3:22" x14ac:dyDescent="0.25">
      <c r="C163">
        <v>5</v>
      </c>
      <c r="D163">
        <v>0</v>
      </c>
      <c r="E163" s="15" t="s">
        <v>190</v>
      </c>
      <c r="F163" s="32">
        <f t="shared" si="114"/>
        <v>12.5</v>
      </c>
      <c r="G163" s="32">
        <f ca="1">IF(G$162=1,H163,H163/(R163-INDEX($O$2:$O$6,C163)))</f>
        <v>26.17180642832934</v>
      </c>
      <c r="H163" s="32">
        <f>$F163*(INDEX($F$3:$F$5,H$162)+(($C163+($D163*$F$7))*INDEX($G$3:$G$5,H$162)))</f>
        <v>15.625</v>
      </c>
      <c r="I163" s="32">
        <f>$F163*(INDEX($F$3:$F$5,I$162)+(($C163+($D163*$F$7))*INDEX($G$3:$G$5,I$162)))</f>
        <v>5</v>
      </c>
      <c r="J163" s="32">
        <f>$F163*(INDEX($F$3:$F$5,J$162)+(($C163+($D163*$F$7))*INDEX($G$3:$G$5,J$162)))</f>
        <v>1.25</v>
      </c>
      <c r="K163" s="10">
        <f t="shared" ca="1" si="93"/>
        <v>-1.1572125955521551</v>
      </c>
      <c r="L163" s="10">
        <f>(INDEX($Q$2:$Q$6,C163)/((1/INDEX($F$4:$F$6,J$162))-1))</f>
        <v>8.3333333333333329E-2</v>
      </c>
      <c r="M163" s="10">
        <v>0</v>
      </c>
      <c r="N163" s="32">
        <f t="shared" ref="N163" ca="1" si="115">(AVERAGE(O163,P163)*R163)/Q163</f>
        <v>52.343612856658673</v>
      </c>
      <c r="O163" s="32">
        <f ca="1">0.75*(((G163*INDEX($R$1:$R$3,$D163+2))*Q163)/R163)</f>
        <v>170.77103694484893</v>
      </c>
      <c r="P163" s="32">
        <f ca="1">1.25*(((G163*INDEX($R$1:$R$3,$D163+2))*Q163)/R163)</f>
        <v>284.61839490808154</v>
      </c>
      <c r="Q163" s="32">
        <f>(AVERAGE(VLOOKUP(E163,weapon_components!$A$8:$M$178,9,0),VLOOKUP(E163,weapon_components!$A$8:$M$178,10,0))+VLOOKUP(E163,weapon_components!$A$8:$M$178,11,0))/10</f>
        <v>4.3499999999999996</v>
      </c>
      <c r="R163" s="32">
        <f ca="1">IF((H163/F163)+INDEX($O$2:$O$6,$C163)&gt;1,1,(H163/F163)+INDEX($O$2:$O$6,$C163))</f>
        <v>1</v>
      </c>
      <c r="S163" s="32">
        <f>($S$160)*(1+(D163*$F$8))*(1+((C163-1)*$J$3))</f>
        <v>66.599999999999994</v>
      </c>
      <c r="T163" s="32">
        <v>0</v>
      </c>
      <c r="U163" s="14">
        <f>-INDEX('Ship Design Balancing'!$K$2:$K$6,'Weapon Formulas'!C163)*(INDEX('Weapon Formulas'!$R$1:$R$3,'Weapon Formulas'!D163+2)*(1+'Weapon Formulas'!B163))</f>
        <v>-106.66666666666666</v>
      </c>
      <c r="V163" s="32">
        <v>38.75</v>
      </c>
    </row>
    <row r="164" spans="3:22" x14ac:dyDescent="0.25">
      <c r="G164">
        <v>0</v>
      </c>
      <c r="H164" s="13">
        <v>1</v>
      </c>
      <c r="I164" s="13">
        <v>2</v>
      </c>
      <c r="J164" s="13">
        <v>3</v>
      </c>
    </row>
    <row r="165" spans="3:22" x14ac:dyDescent="0.25">
      <c r="C165">
        <v>1</v>
      </c>
      <c r="D165">
        <v>-1</v>
      </c>
      <c r="E165" s="15" t="s">
        <v>191</v>
      </c>
      <c r="F165" s="32">
        <f t="shared" si="114"/>
        <v>2.5</v>
      </c>
      <c r="G165" s="32">
        <f ca="1">IF(G$123=1,H165,H165/(R165-INDEX($O$2:$O$6,C165)))</f>
        <v>2.7191549189161477</v>
      </c>
      <c r="H165" s="32">
        <f>$F165*(INDEX($F$3:$F$5,H$164)+(($C165+($D165*$F$7))*INDEX($G$3:$G$5,H$164)))</f>
        <v>2.5</v>
      </c>
      <c r="I165" s="32">
        <f>$F165*(INDEX($F$3:$F$5,I$164)+(($C165+($D165*$F$7))*INDEX($G$3:$G$5,I$164)))</f>
        <v>2</v>
      </c>
      <c r="J165" s="32">
        <f>$F165*(INDEX($F$3:$F$5,J$164)+(($C165+($D165*$F$7))*INDEX($G$3:$G$5,J$164)))</f>
        <v>0.5</v>
      </c>
      <c r="K165" s="10">
        <f ca="1">1-((1-(I165/(G165*R165)))/INDEX($P$2:$P$6,C165))</f>
        <v>-5.6119340416507244</v>
      </c>
      <c r="L165" s="10">
        <f>(INDEX($Q$2:$Q$6,C165)/((1/INDEX($F$4:$F$6,J$164))-1))</f>
        <v>8.8888888888888889E-3</v>
      </c>
      <c r="M165" s="10">
        <v>0</v>
      </c>
      <c r="N165" s="32">
        <f ca="1">(AVERAGE(O165,P165)*R165)/Q165</f>
        <v>2.7191549189161477</v>
      </c>
      <c r="O165" s="32">
        <f ca="1">0.75*(((G165*INDEX($R$1:$R$3,$D165+2))*Q165)/R165)</f>
        <v>8.8712429229639298</v>
      </c>
      <c r="P165" s="32">
        <f ca="1">1.25*(((G165*INDEX($R$1:$R$3,$D165+2))*Q165)/R165)</f>
        <v>14.785404871606552</v>
      </c>
      <c r="Q165" s="32">
        <f>(AVERAGE(VLOOKUP(E165,weapon_components!$A$8:$M$178,9,0),VLOOKUP(E165,weapon_components!$A$8:$M$178,10,0))+VLOOKUP(E165,weapon_components!$A$8:$M$178,11,0))/10</f>
        <v>4.3499999999999996</v>
      </c>
      <c r="R165" s="32">
        <f ca="1">IF((H165/F165)+INDEX($O$2:$O$6,$C165)&gt;1,1,(H165/F165)+INDEX($O$2:$O$6,$C165))</f>
        <v>1</v>
      </c>
      <c r="S165" s="32">
        <f>($S$160)*(1+(D165*$F$8))*(1+((C164-1)*$J$3))</f>
        <v>31.68</v>
      </c>
      <c r="T165" s="32">
        <v>0</v>
      </c>
      <c r="U165" s="14">
        <f>-INDEX('Ship Design Balancing'!$K$2:$K$6,'Weapon Formulas'!C165)*(INDEX('Weapon Formulas'!$R$1:$R$3,'Weapon Formulas'!D165+2)*(1+'Weapon Formulas'!B165))</f>
        <v>-3.333333333333333</v>
      </c>
      <c r="V165" s="32">
        <v>39.75</v>
      </c>
    </row>
    <row r="166" spans="3:22" x14ac:dyDescent="0.25">
      <c r="C166">
        <v>1</v>
      </c>
      <c r="D166">
        <v>0</v>
      </c>
      <c r="E166" s="15" t="s">
        <v>192</v>
      </c>
      <c r="F166" s="32">
        <f t="shared" si="114"/>
        <v>2.5</v>
      </c>
      <c r="G166" s="32">
        <f ca="1">IF(G$123=1,H166,H166/(R166-INDEX($O$2:$O$6,C166)))</f>
        <v>2.8551126648619549</v>
      </c>
      <c r="H166" s="32">
        <f t="shared" ref="H166:H167" si="116">$F166*(INDEX($F$3:$F$5,H$164)+(($C166+($D166*$F$7))*INDEX($G$3:$G$5,H$164)))</f>
        <v>2.625</v>
      </c>
      <c r="I166" s="32">
        <f>$F166*(INDEX($F$3:$F$5,I$164)+(($C166+($D166*$F$7))*INDEX($G$3:$G$5,I$164)))</f>
        <v>1.7999999999999998</v>
      </c>
      <c r="J166" s="32">
        <f>$F166*(INDEX($F$3:$F$5,J$164)+(($C166+($D166*$F$7))*INDEX($G$3:$G$5,J$164)))</f>
        <v>0.44999999999999996</v>
      </c>
      <c r="K166" s="10">
        <f t="shared" ca="1" si="93"/>
        <v>-8.2388006071291944</v>
      </c>
      <c r="L166" s="10">
        <f t="shared" ref="L166:L167" si="117">(INDEX($Q$2:$Q$6,C166)/((1/INDEX($F$4:$F$6,J$164))-1))</f>
        <v>8.8888888888888889E-3</v>
      </c>
      <c r="M166" s="10">
        <v>0</v>
      </c>
      <c r="N166" s="32">
        <f ca="1">(AVERAGE(O166,P166)*R166)/Q166</f>
        <v>5.7102253297239098</v>
      </c>
      <c r="O166" s="32">
        <f ca="1">0.75*(((G166*INDEX($R$1:$R$3,$D166+2))*Q166)/R166)</f>
        <v>18.629610138224255</v>
      </c>
      <c r="P166" s="32">
        <f ca="1">1.25*(((G166*INDEX($R$1:$R$3,$D166+2))*Q166)/R166)</f>
        <v>31.049350230373758</v>
      </c>
      <c r="Q166" s="32">
        <f>(AVERAGE(VLOOKUP(E166,weapon_components!$A$8:$M$178,9,0),VLOOKUP(E166,weapon_components!$A$8:$M$178,10,0))+VLOOKUP(E166,weapon_components!$A$8:$M$178,11,0))/10</f>
        <v>4.3499999999999996</v>
      </c>
      <c r="R166" s="32">
        <f ca="1">IF((H166/F166)+INDEX($O$2:$O$6,$C166)&gt;1,1,(H166/F166)+INDEX($O$2:$O$6,$C166))</f>
        <v>1</v>
      </c>
      <c r="S166" s="32">
        <f>($S$160)*(1+(D166*$F$8))*(1+((C166-1)*$J$3))</f>
        <v>45</v>
      </c>
      <c r="T166" s="32">
        <v>0</v>
      </c>
      <c r="U166" s="14">
        <f>-INDEX('Ship Design Balancing'!$K$2:$K$6,'Weapon Formulas'!C166)*(INDEX('Weapon Formulas'!$R$1:$R$3,'Weapon Formulas'!D166+2)*(1+'Weapon Formulas'!B166))</f>
        <v>-6.6666666666666661</v>
      </c>
      <c r="V166" s="32">
        <v>41.75</v>
      </c>
    </row>
    <row r="167" spans="3:22" x14ac:dyDescent="0.25">
      <c r="C167">
        <v>1</v>
      </c>
      <c r="D167">
        <v>1</v>
      </c>
      <c r="E167" s="15" t="s">
        <v>193</v>
      </c>
      <c r="F167" s="32">
        <f t="shared" si="114"/>
        <v>2.5</v>
      </c>
      <c r="G167" s="32">
        <f ca="1">IF(G$123=1,H167,H167/(R167-INDEX($O$2:$O$6,C167)))</f>
        <v>2.9910704108077626</v>
      </c>
      <c r="H167" s="32">
        <f t="shared" si="116"/>
        <v>2.75</v>
      </c>
      <c r="I167" s="32">
        <f>$F167*(INDEX($F$3:$F$5,I$164)+(($C167+($D167*$F$7))*INDEX($G$3:$G$5,I$164)))</f>
        <v>1.6</v>
      </c>
      <c r="J167" s="32">
        <f>$F167*(INDEX($F$3:$F$5,J$164)+(($C167+($D167*$F$7))*INDEX($G$3:$G$5,J$164)))</f>
        <v>0.4</v>
      </c>
      <c r="K167" s="10">
        <f t="shared" ca="1" si="93"/>
        <v>-10.626861121200527</v>
      </c>
      <c r="L167" s="10">
        <f t="shared" si="117"/>
        <v>8.8888888888888889E-3</v>
      </c>
      <c r="M167" s="10">
        <v>0</v>
      </c>
      <c r="N167" s="32">
        <f ca="1">(AVERAGE(O167,P167)*R167)/Q167</f>
        <v>11.96428164323105</v>
      </c>
      <c r="O167" s="32">
        <f ca="1">0.75*(((G167*INDEX($R$1:$R$3,$D167+2))*Q167)/R167)</f>
        <v>39.0334688610413</v>
      </c>
      <c r="P167" s="32">
        <f ca="1">1.25*(((G167*INDEX($R$1:$R$3,$D167+2))*Q167)/R167)</f>
        <v>65.055781435068823</v>
      </c>
      <c r="Q167" s="32">
        <f>(AVERAGE(VLOOKUP(E167,weapon_components!$A$8:$M$178,9,0),VLOOKUP(E167,weapon_components!$A$8:$M$178,10,0))+VLOOKUP(E167,weapon_components!$A$8:$M$178,11,0))/10</f>
        <v>4.3499999999999996</v>
      </c>
      <c r="R167" s="32">
        <f ca="1">IF((H167/F167)+INDEX($O$2:$O$6,$C167)&gt;1,1,(H167/F167)+INDEX($O$2:$O$6,$C167))</f>
        <v>1</v>
      </c>
      <c r="S167" s="32">
        <f>($S$160)*(1+(D167*$F$8))*(1+((C167-1)*$J$3))</f>
        <v>54</v>
      </c>
      <c r="T167" s="32">
        <v>0</v>
      </c>
      <c r="U167" s="14">
        <f>-INDEX('Ship Design Balancing'!$K$2:$K$6,'Weapon Formulas'!C167)*(INDEX('Weapon Formulas'!$R$1:$R$3,'Weapon Formulas'!D167+2)*(1+'Weapon Formulas'!B167))</f>
        <v>-13.333333333333332</v>
      </c>
      <c r="V167" s="32">
        <v>42.75</v>
      </c>
    </row>
    <row r="168" spans="3:22" x14ac:dyDescent="0.25">
      <c r="G168">
        <v>0</v>
      </c>
      <c r="H168" s="13">
        <v>1</v>
      </c>
      <c r="I168" s="13">
        <v>1</v>
      </c>
      <c r="J168" s="13">
        <v>2</v>
      </c>
      <c r="K168" s="10"/>
    </row>
    <row r="169" spans="3:22" x14ac:dyDescent="0.25">
      <c r="C169">
        <v>4</v>
      </c>
      <c r="D169">
        <v>-1</v>
      </c>
      <c r="E169" s="15" t="s">
        <v>194</v>
      </c>
      <c r="F169" s="32">
        <f t="shared" si="114"/>
        <v>10</v>
      </c>
      <c r="G169" s="32">
        <f ca="1">IF(G$123=1,H169,H169/(R169-INDEX($O$2:$O$6,C169)))</f>
        <v>16.971334297167878</v>
      </c>
      <c r="H169" s="32">
        <f t="shared" ref="H169:J170" si="118">$F169*(INDEX($F$3:$F$5,H$168)+(($C169+($D169*$F$7))*INDEX($G$3:$G$5,H$168)))</f>
        <v>11.5</v>
      </c>
      <c r="I169" s="32">
        <f t="shared" si="118"/>
        <v>11.5</v>
      </c>
      <c r="J169" s="32">
        <f t="shared" si="118"/>
        <v>5.6000000000000005</v>
      </c>
      <c r="K169" s="10">
        <f t="shared" ca="1" si="93"/>
        <v>8.0405897533997184E-3</v>
      </c>
      <c r="L169" s="10">
        <f>(INDEX($Q$2:$Q$6,C169)/((1/INDEX($F$4:$F$6,J$168))-1))</f>
        <v>0.16250000000000001</v>
      </c>
      <c r="M169" s="10">
        <v>0</v>
      </c>
      <c r="N169" s="32">
        <f ca="1">(AVERAGE(O169,P169)*R169)/Q169</f>
        <v>16.971334297167878</v>
      </c>
      <c r="O169" s="32">
        <f ca="1">0.75*(((G169*INDEX($R$1:$R$3,$D169+2))*Q169)/R169)</f>
        <v>55.368978144510194</v>
      </c>
      <c r="P169" s="32">
        <f ca="1">1.25*(((G169*INDEX($R$1:$R$3,$D169+2))*Q169)/R169)</f>
        <v>92.281630240850333</v>
      </c>
      <c r="Q169" s="32">
        <f>(AVERAGE(VLOOKUP(E169,weapon_components!$A$8:$M$178,9,0),VLOOKUP(E169,weapon_components!$A$8:$M$178,10,0))+VLOOKUP(E169,weapon_components!$A$8:$M$178,11,0))/10</f>
        <v>4.3499999999999996</v>
      </c>
      <c r="R169" s="32">
        <f ca="1">IF((H169/F169)+INDEX($O$2:$O$6,$C169)&gt;1,1,(H169/F169)+INDEX($O$2:$O$6,$C169))</f>
        <v>1</v>
      </c>
      <c r="S169" s="32">
        <f>($S$160)*(1+(D169*$F$8))*(1+((C168-1)*$J$3))</f>
        <v>31.68</v>
      </c>
      <c r="T169" s="32">
        <v>0</v>
      </c>
      <c r="U169" s="14">
        <f>-INDEX('Ship Design Balancing'!$K$2:$K$6,'Weapon Formulas'!C169)*(INDEX('Weapon Formulas'!$R$1:$R$3,'Weapon Formulas'!D169+2)*(1+'Weapon Formulas'!B169))</f>
        <v>-26.666666666666664</v>
      </c>
      <c r="V169" s="32">
        <v>43.75</v>
      </c>
    </row>
    <row r="170" spans="3:22" x14ac:dyDescent="0.25">
      <c r="C170">
        <v>4</v>
      </c>
      <c r="D170">
        <v>1</v>
      </c>
      <c r="E170" s="15" t="s">
        <v>195</v>
      </c>
      <c r="F170" s="32">
        <f t="shared" ref="F170" si="119">($F$2+(C170*$F$1))*(B170+1)</f>
        <v>10</v>
      </c>
      <c r="G170" s="32">
        <f ca="1">IF(G$123=1,H170,H170/(R170-INDEX($O$2:$O$6,C170)))</f>
        <v>18.447102496921609</v>
      </c>
      <c r="H170" s="32">
        <f t="shared" si="118"/>
        <v>12.5</v>
      </c>
      <c r="I170" s="32">
        <f t="shared" si="118"/>
        <v>12.5</v>
      </c>
      <c r="J170" s="32">
        <f t="shared" si="118"/>
        <v>3.9999999999999996</v>
      </c>
      <c r="K170" s="10">
        <f t="shared" ca="1" si="93"/>
        <v>8.0405897533997184E-3</v>
      </c>
      <c r="L170" s="10">
        <f>(INDEX($Q$2:$Q$6,C170)/((1/INDEX($F$4:$F$6,J$168))-1))</f>
        <v>0.16250000000000001</v>
      </c>
      <c r="M170" s="10">
        <v>0</v>
      </c>
      <c r="N170" s="32">
        <f ca="1">(AVERAGE(O170,P170)*R170)/Q170</f>
        <v>73.788409987686435</v>
      </c>
      <c r="O170" s="32">
        <f ca="1">0.75*(((G170*INDEX($R$1:$R$3,$D170+2))*Q170)/R170)</f>
        <v>240.73468758482699</v>
      </c>
      <c r="P170" s="32">
        <f ca="1">1.25*(((G170*INDEX($R$1:$R$3,$D170+2))*Q170)/R170)</f>
        <v>401.22447930804498</v>
      </c>
      <c r="Q170" s="32">
        <f>(AVERAGE(VLOOKUP(E170,weapon_components!$A$8:$M$178,9,0),VLOOKUP(E170,weapon_components!$A$8:$M$178,10,0))+VLOOKUP(E170,weapon_components!$A$8:$M$178,11,0))/10</f>
        <v>4.3499999999999996</v>
      </c>
      <c r="R170" s="32">
        <f ca="1">IF((H170/F170)+INDEX($O$2:$O$6,$C170)&gt;1,1,(H170/F170)+INDEX($O$2:$O$6,$C170))</f>
        <v>1</v>
      </c>
      <c r="S170" s="32">
        <f>($S$160)*(1+(D170*$F$8))*(1+((C169-1)*$J$3))</f>
        <v>73.44</v>
      </c>
      <c r="T170" s="32">
        <v>0</v>
      </c>
      <c r="U170" s="14">
        <f>-INDEX('Ship Design Balancing'!$K$2:$K$6,'Weapon Formulas'!C170)*(INDEX('Weapon Formulas'!$R$1:$R$3,'Weapon Formulas'!D170+2)*(1+'Weapon Formulas'!B170))</f>
        <v>-106.66666666666666</v>
      </c>
      <c r="V170" s="32">
        <v>44.75</v>
      </c>
    </row>
    <row r="171" spans="3:22" x14ac:dyDescent="0.25">
      <c r="F171" s="32"/>
      <c r="G171" s="32"/>
      <c r="H171" s="32">
        <v>2</v>
      </c>
      <c r="I171" s="32">
        <v>1</v>
      </c>
      <c r="J171" s="32">
        <v>3</v>
      </c>
      <c r="K171" s="10"/>
      <c r="L171" s="10"/>
      <c r="M171" s="10"/>
      <c r="N171" s="32"/>
      <c r="O171" s="32"/>
      <c r="P171" s="32"/>
      <c r="Q171" s="32"/>
      <c r="R171" s="32"/>
      <c r="S171" s="32"/>
      <c r="T171" s="32"/>
      <c r="U171" s="14"/>
      <c r="V171" s="32"/>
    </row>
    <row r="172" spans="3:22" x14ac:dyDescent="0.25">
      <c r="C172">
        <v>2</v>
      </c>
      <c r="D172">
        <v>-1</v>
      </c>
      <c r="E172" s="15" t="s">
        <v>196</v>
      </c>
      <c r="F172" s="32">
        <f>($F$2+(C172*$F$1))*(B172+1)</f>
        <v>5</v>
      </c>
      <c r="G172" s="32">
        <f ca="1">IF(G$123=1,H172,H172/(R172-INDEX($O$2:$O$6,C172)))</f>
        <v>5</v>
      </c>
      <c r="H172" s="32">
        <f t="shared" ref="H172:J173" si="120">$F172*(INDEX($F$3:$F$5,H$171)+(($C172+($D172*$F$7))*INDEX($G$3:$G$5,H$171)))</f>
        <v>3.5999999999999996</v>
      </c>
      <c r="I172" s="32">
        <f t="shared" si="120"/>
        <v>5.25</v>
      </c>
      <c r="J172" s="32">
        <f t="shared" si="120"/>
        <v>0.89999999999999991</v>
      </c>
      <c r="K172" s="10">
        <f t="shared" ca="1" si="93"/>
        <v>2.0642549261858454</v>
      </c>
      <c r="L172" s="10">
        <f>(INDEX($Q$2:$Q$6,C172)/((1/INDEX($F$4:$F$6,J$171))-1))</f>
        <v>0.04</v>
      </c>
      <c r="M172" s="10">
        <v>0</v>
      </c>
      <c r="N172" s="32">
        <f ca="1">(AVERAGE(O172,P172)*R172)/Q172</f>
        <v>5</v>
      </c>
      <c r="O172" s="32">
        <f ca="1">0.75*(((G172*INDEX($R$1:$R$3,$D172+2))*Q172)/R172)</f>
        <v>18.511827168583988</v>
      </c>
      <c r="P172" s="32">
        <f ca="1">1.25*(((G172*INDEX($R$1:$R$3,$D172+2))*Q172)/R172)</f>
        <v>30.853045280973316</v>
      </c>
      <c r="Q172" s="32">
        <f>(AVERAGE(VLOOKUP(E172,weapon_components!$A$8:$M$178,9,0),VLOOKUP(E172,weapon_components!$A$8:$M$178,10,0))+VLOOKUP(E172,weapon_components!$A$8:$M$178,11,0))/10</f>
        <v>4.3499999999999996</v>
      </c>
      <c r="R172" s="32">
        <f ca="1">IF((H172/F172)+INDEX($O$2:$O$6,$C172)&gt;1,1,(H172/F172)+INDEX($O$2:$O$6,$C172))</f>
        <v>0.88119340416507252</v>
      </c>
      <c r="S172" s="32">
        <f>($S$160)*(1+(D172*$F$8))*(1+((C171-1)*$J$3))</f>
        <v>31.68</v>
      </c>
      <c r="T172" s="32">
        <v>0</v>
      </c>
      <c r="U172" s="14">
        <f>-INDEX('Ship Design Balancing'!$K$2:$K$6,'Weapon Formulas'!C172)*(INDEX('Weapon Formulas'!$R$1:$R$3,'Weapon Formulas'!D172+2)*(1+'Weapon Formulas'!B172))</f>
        <v>-6.6666666666666661</v>
      </c>
      <c r="V172" s="32">
        <v>44.75</v>
      </c>
    </row>
    <row r="173" spans="3:22" x14ac:dyDescent="0.25">
      <c r="C173">
        <v>2</v>
      </c>
      <c r="D173">
        <v>0</v>
      </c>
      <c r="E173" s="15" t="s">
        <v>197</v>
      </c>
      <c r="F173" s="32">
        <f>($F$2+(C172*$F$1))*(B173+1)</f>
        <v>5</v>
      </c>
      <c r="G173" s="32">
        <f ca="1">IF(G$123=1,H173,H173/(R173-INDEX($O$2:$O$6,C172)))</f>
        <v>5</v>
      </c>
      <c r="H173" s="32">
        <f t="shared" si="120"/>
        <v>3.2</v>
      </c>
      <c r="I173" s="32">
        <f t="shared" si="120"/>
        <v>5.5</v>
      </c>
      <c r="J173" s="32">
        <f t="shared" si="120"/>
        <v>0.8</v>
      </c>
      <c r="K173" s="10">
        <f t="shared" ca="1" si="93"/>
        <v>3.0719549548180649</v>
      </c>
      <c r="L173" s="10">
        <f>(INDEX($Q$2:$Q$6,C173)/((1/INDEX($F$4:$F$6,J$171))-1))</f>
        <v>0.04</v>
      </c>
      <c r="M173" s="10">
        <v>0</v>
      </c>
      <c r="N173" s="32">
        <f ca="1">(AVERAGE(O173,P173)*R173)/Q173</f>
        <v>10</v>
      </c>
      <c r="O173" s="32">
        <f ca="1">0.75*(((G173*INDEX($R$1:$R$3,$D173+2))*Q173)/R173)</f>
        <v>40.720504974699168</v>
      </c>
      <c r="P173" s="32">
        <f ca="1">1.25*(((G173*INDEX($R$1:$R$3,$D173+2))*Q173)/R173)</f>
        <v>67.867508291165279</v>
      </c>
      <c r="Q173" s="32">
        <f>(AVERAGE(VLOOKUP(E173,weapon_components!$A$8:$M$178,9,0),VLOOKUP(E173,weapon_components!$A$8:$M$178,10,0))+VLOOKUP(E173,weapon_components!$A$8:$M$178,11,0))/10</f>
        <v>4.3499999999999996</v>
      </c>
      <c r="R173" s="32">
        <f ca="1">IF((H173/F173)+INDEX($O$2:$O$6,$C172)&gt;1,1,(H173/F173)+INDEX($O$2:$O$6,$C172))</f>
        <v>0.80119340416507256</v>
      </c>
      <c r="S173" s="32">
        <f>($S$160)*(1+(D173*$F$8))*(1+((C172-1)*$J$3))</f>
        <v>50.400000000000006</v>
      </c>
      <c r="T173" s="32">
        <v>0</v>
      </c>
      <c r="U173" s="14">
        <f>-INDEX('Ship Design Balancing'!$K$2:$K$6,'Weapon Formulas'!C173)*(INDEX('Weapon Formulas'!$R$1:$R$3,'Weapon Formulas'!D173+2)*(1+'Weapon Formulas'!B173))</f>
        <v>-13.333333333333332</v>
      </c>
      <c r="V173" s="32">
        <v>48.75</v>
      </c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E4" sqref="E4"/>
    </sheetView>
  </sheetViews>
  <sheetFormatPr defaultRowHeight="15" x14ac:dyDescent="0.25"/>
  <sheetData>
    <row r="1" spans="2:13" x14ac:dyDescent="0.25">
      <c r="D1" t="s">
        <v>23</v>
      </c>
    </row>
    <row r="2" spans="2:13" x14ac:dyDescent="0.25">
      <c r="D2">
        <v>0.05</v>
      </c>
    </row>
    <row r="3" spans="2:13" x14ac:dyDescent="0.25">
      <c r="B3" t="s">
        <v>220</v>
      </c>
      <c r="C3" t="s">
        <v>290</v>
      </c>
      <c r="D3" t="s">
        <v>133</v>
      </c>
      <c r="E3" t="s">
        <v>291</v>
      </c>
      <c r="I3" s="32"/>
      <c r="J3" s="32"/>
      <c r="K3" s="32"/>
      <c r="L3" s="32"/>
      <c r="M3" s="32"/>
    </row>
    <row r="4" spans="2:13" x14ac:dyDescent="0.25">
      <c r="B4">
        <v>10</v>
      </c>
      <c r="C4">
        <v>0.1</v>
      </c>
      <c r="D4">
        <f>B4*C4</f>
        <v>1</v>
      </c>
      <c r="E4" s="10">
        <f>D4/((C4-$D$2)*B4)</f>
        <v>2</v>
      </c>
      <c r="F4" s="32"/>
      <c r="G4" s="32"/>
      <c r="H4" s="32"/>
      <c r="I4" s="32"/>
      <c r="J4" s="32"/>
      <c r="K4" s="32"/>
      <c r="L4" s="32"/>
      <c r="M4" s="32"/>
    </row>
    <row r="5" spans="2:13" x14ac:dyDescent="0.25">
      <c r="B5">
        <f>1/C5</f>
        <v>5</v>
      </c>
      <c r="C5">
        <f>C4+0.1</f>
        <v>0.2</v>
      </c>
      <c r="D5" s="32">
        <f t="shared" ref="D5:D13" si="0">B5*C5</f>
        <v>1</v>
      </c>
      <c r="E5" s="10">
        <f t="shared" ref="E5:E13" si="1">D5/((C5-$D$2)*B5)</f>
        <v>1.333333333333333</v>
      </c>
      <c r="F5" s="32"/>
      <c r="G5" s="32"/>
      <c r="H5" s="32"/>
      <c r="I5" s="32"/>
      <c r="J5" s="32"/>
      <c r="K5" s="32"/>
      <c r="L5" s="32"/>
      <c r="M5" s="32"/>
    </row>
    <row r="6" spans="2:13" x14ac:dyDescent="0.25">
      <c r="B6" s="32">
        <f t="shared" ref="B6:B13" si="2">1/C6</f>
        <v>3.333333333333333</v>
      </c>
      <c r="C6" s="32">
        <f t="shared" ref="C6:C12" si="3">C5+0.1</f>
        <v>0.30000000000000004</v>
      </c>
      <c r="D6" s="32">
        <f t="shared" si="0"/>
        <v>1</v>
      </c>
      <c r="E6" s="10">
        <f t="shared" si="1"/>
        <v>1.1999999999999997</v>
      </c>
      <c r="F6" s="32"/>
      <c r="G6" s="32"/>
      <c r="H6" s="32"/>
      <c r="I6" s="32"/>
      <c r="J6" s="32"/>
      <c r="K6" s="32"/>
      <c r="L6" s="32"/>
      <c r="M6" s="32"/>
    </row>
    <row r="7" spans="2:13" x14ac:dyDescent="0.25">
      <c r="B7" s="32">
        <f t="shared" si="2"/>
        <v>2.5</v>
      </c>
      <c r="C7" s="32">
        <f t="shared" si="3"/>
        <v>0.4</v>
      </c>
      <c r="D7" s="32">
        <f t="shared" si="0"/>
        <v>1</v>
      </c>
      <c r="E7" s="10">
        <f t="shared" si="1"/>
        <v>1.1428571428571428</v>
      </c>
      <c r="F7" s="32"/>
      <c r="G7" s="32"/>
      <c r="H7" s="32"/>
      <c r="I7" s="32"/>
      <c r="J7" s="32"/>
      <c r="K7" s="32"/>
      <c r="L7" s="32"/>
      <c r="M7" s="32"/>
    </row>
    <row r="8" spans="2:13" x14ac:dyDescent="0.25">
      <c r="B8" s="32">
        <f t="shared" si="2"/>
        <v>2</v>
      </c>
      <c r="C8" s="32">
        <f t="shared" si="3"/>
        <v>0.5</v>
      </c>
      <c r="D8" s="32">
        <f t="shared" si="0"/>
        <v>1</v>
      </c>
      <c r="E8" s="10">
        <f t="shared" si="1"/>
        <v>1.1111111111111112</v>
      </c>
      <c r="F8" s="32"/>
      <c r="G8" s="32"/>
      <c r="H8" s="32"/>
      <c r="I8" s="32"/>
      <c r="J8" s="32"/>
      <c r="K8" s="32"/>
      <c r="L8" s="32"/>
      <c r="M8" s="32"/>
    </row>
    <row r="9" spans="2:13" x14ac:dyDescent="0.25">
      <c r="B9" s="32">
        <f t="shared" si="2"/>
        <v>1.6666666666666667</v>
      </c>
      <c r="C9" s="32">
        <f t="shared" si="3"/>
        <v>0.6</v>
      </c>
      <c r="D9" s="32">
        <f t="shared" si="0"/>
        <v>1</v>
      </c>
      <c r="E9" s="10">
        <f t="shared" si="1"/>
        <v>1.0909090909090911</v>
      </c>
      <c r="F9" s="32"/>
      <c r="G9" s="32"/>
      <c r="H9" s="32"/>
      <c r="I9" s="32"/>
      <c r="J9" s="32"/>
      <c r="K9" s="32"/>
      <c r="L9" s="32"/>
      <c r="M9" s="32"/>
    </row>
    <row r="10" spans="2:13" x14ac:dyDescent="0.25">
      <c r="B10" s="32">
        <f t="shared" si="2"/>
        <v>1.4285714285714286</v>
      </c>
      <c r="C10" s="32">
        <f t="shared" si="3"/>
        <v>0.7</v>
      </c>
      <c r="D10" s="32">
        <f t="shared" si="0"/>
        <v>1</v>
      </c>
      <c r="E10" s="10">
        <f t="shared" si="1"/>
        <v>1.0769230769230771</v>
      </c>
    </row>
    <row r="11" spans="2:13" x14ac:dyDescent="0.25">
      <c r="B11" s="32">
        <f t="shared" si="2"/>
        <v>1.25</v>
      </c>
      <c r="C11" s="32">
        <f t="shared" si="3"/>
        <v>0.79999999999999993</v>
      </c>
      <c r="D11" s="32">
        <f t="shared" si="0"/>
        <v>0.99999999999999989</v>
      </c>
      <c r="E11" s="10">
        <f t="shared" si="1"/>
        <v>1.0666666666666667</v>
      </c>
    </row>
    <row r="12" spans="2:13" x14ac:dyDescent="0.25">
      <c r="B12" s="32">
        <f t="shared" si="2"/>
        <v>1.1111111111111112</v>
      </c>
      <c r="C12" s="32">
        <f t="shared" si="3"/>
        <v>0.89999999999999991</v>
      </c>
      <c r="D12" s="32">
        <f t="shared" si="0"/>
        <v>1</v>
      </c>
      <c r="E12" s="10">
        <f t="shared" si="1"/>
        <v>1.0588235294117649</v>
      </c>
    </row>
    <row r="13" spans="2:13" x14ac:dyDescent="0.25">
      <c r="B13" s="32">
        <f t="shared" si="2"/>
        <v>1.0000000000000002</v>
      </c>
      <c r="C13" s="32">
        <f>C12+0.1</f>
        <v>0.99999999999999989</v>
      </c>
      <c r="D13" s="32">
        <f t="shared" si="0"/>
        <v>1</v>
      </c>
      <c r="E13" s="10">
        <f t="shared" si="1"/>
        <v>1.0526315789473684</v>
      </c>
    </row>
    <row r="14" spans="2:13" x14ac:dyDescent="0.25">
      <c r="E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6"/>
  <sheetViews>
    <sheetView tabSelected="1" workbookViewId="0">
      <selection activeCell="N6" sqref="N6"/>
    </sheetView>
  </sheetViews>
  <sheetFormatPr defaultRowHeight="15" x14ac:dyDescent="0.25"/>
  <cols>
    <col min="1" max="1" width="28.140625" customWidth="1"/>
    <col min="2" max="2" width="12.140625" customWidth="1"/>
    <col min="3" max="3" width="10.140625" customWidth="1"/>
    <col min="4" max="4" width="11.140625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  <c r="M4" t="s">
        <v>265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G5" t="s">
        <v>298</v>
      </c>
      <c r="I5">
        <v>4</v>
      </c>
      <c r="J5" s="22">
        <f t="shared" si="2"/>
        <v>40</v>
      </c>
      <c r="K5" s="22">
        <f t="shared" si="0"/>
        <v>26.666666666666664</v>
      </c>
      <c r="N5" s="24">
        <f ca="1">(B9/B5)/5</f>
        <v>2.3333333333333331E-2</v>
      </c>
      <c r="O5" s="12">
        <v>40</v>
      </c>
      <c r="P5" s="12">
        <f>P6*5</f>
        <v>2.25</v>
      </c>
    </row>
    <row r="6" spans="1:19" x14ac:dyDescent="0.25">
      <c r="A6" s="14" t="s">
        <v>266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G6">
        <f ca="1">AVERAGE('Weapon Formulas'!R11:R25,'Weapon Formulas'!R27:R28,'Weapon Formulas'!R30:R38,'Weapon Formulas'!R40:R41,'Weapon Formulas'!R43:R51,'Weapon Formulas'!R53:R54,'Weapon Formulas'!R56:R70,'Weapon Formulas'!R72:R73,'Weapon Formulas'!R75:R83,'Weapon Formulas'!R86,'Weapon Formulas'!R85,'Weapon Formulas'!R88:R102,'Weapon Formulas'!R104:R112,'Weapon Formulas'!R114:R115,'Weapon Formulas'!R117:R119,'Weapon Formulas'!R121:R122,'Weapon Formulas'!R124:R147,'Weapon Formulas'!R149:R151,'Weapon Formulas'!R153:R156,'Weapon Formulas'!R158:R159,'Weapon Formulas'!R161,'Weapon Formulas'!R163,'Weapon Formulas'!R165:R167,'Weapon Formulas'!R169,'Weapon Formulas'!R170,'Weapon Formulas'!R172,'Weapon Formulas'!R173)</f>
        <v>0.86852188974575439</v>
      </c>
      <c r="I6">
        <v>5</v>
      </c>
      <c r="J6" s="22">
        <f t="shared" si="2"/>
        <v>80</v>
      </c>
      <c r="K6" s="22">
        <f t="shared" si="0"/>
        <v>53.333333333333329</v>
      </c>
      <c r="P6">
        <v>0.45</v>
      </c>
    </row>
    <row r="7" spans="1:19" s="23" customFormat="1" x14ac:dyDescent="0.25">
      <c r="A7" s="14" t="s">
        <v>264</v>
      </c>
      <c r="B7" s="33">
        <v>1</v>
      </c>
      <c r="C7" s="33">
        <f ca="1">(C9/C8)</f>
        <v>0.37142857142857144</v>
      </c>
      <c r="D7" s="33">
        <f ca="1">(D9/D8)</f>
        <v>0.125</v>
      </c>
      <c r="E7" s="23">
        <f ca="1">(E9/E8)</f>
        <v>3.035714285714286E-2</v>
      </c>
    </row>
    <row r="8" spans="1:19" s="23" customFormat="1" x14ac:dyDescent="0.25">
      <c r="A8" s="14" t="s">
        <v>302</v>
      </c>
      <c r="B8" s="23">
        <f ca="1">B5*$N$5*5</f>
        <v>0.7</v>
      </c>
      <c r="C8" s="33">
        <f t="shared" ref="C8:D8" ca="1" si="5">C5*$N$5*5</f>
        <v>1.4</v>
      </c>
      <c r="D8" s="33">
        <f t="shared" ca="1" si="5"/>
        <v>2.8</v>
      </c>
      <c r="E8" s="33">
        <f ca="1">E5*$N$5*5</f>
        <v>5.6</v>
      </c>
    </row>
    <row r="9" spans="1:19" x14ac:dyDescent="0.25">
      <c r="A9" s="14" t="s">
        <v>299</v>
      </c>
      <c r="B9" s="12">
        <f ca="1">(VLOOKUP(B10,$E$28:$F$102,2,1)/100)</f>
        <v>0.7</v>
      </c>
      <c r="C9" s="12">
        <f t="shared" ref="C9:E9" ca="1" si="6">(VLOOKUP(C10,$E$28:$F$102,2,1)/100)</f>
        <v>0.52</v>
      </c>
      <c r="D9" s="12">
        <f t="shared" ca="1" si="6"/>
        <v>0.35</v>
      </c>
      <c r="E9" s="12">
        <f t="shared" ca="1" si="6"/>
        <v>0.17</v>
      </c>
    </row>
    <row r="10" spans="1:19" s="33" customFormat="1" x14ac:dyDescent="0.25">
      <c r="A10" s="14" t="s">
        <v>304</v>
      </c>
      <c r="B10" s="24">
        <v>0.81</v>
      </c>
      <c r="C10" s="24">
        <f>B10*3/4</f>
        <v>0.60750000000000004</v>
      </c>
      <c r="D10" s="24">
        <f>B10*0.5</f>
        <v>0.40500000000000003</v>
      </c>
      <c r="E10" s="24">
        <f>B10/4</f>
        <v>0.20250000000000001</v>
      </c>
    </row>
    <row r="11" spans="1:19" x14ac:dyDescent="0.25">
      <c r="A11" s="14" t="s">
        <v>270</v>
      </c>
      <c r="B11" s="27">
        <f t="shared" ref="B11:D11" si="7">B15/B14</f>
        <v>1.0256410256410258</v>
      </c>
      <c r="C11" s="27">
        <f t="shared" si="7"/>
        <v>1.3333333333333333</v>
      </c>
      <c r="D11" s="27">
        <f t="shared" si="7"/>
        <v>1.4285714285714286</v>
      </c>
      <c r="E11">
        <f>E15/E14</f>
        <v>1.6666666666666667</v>
      </c>
      <c r="I11" t="s">
        <v>268</v>
      </c>
      <c r="J11" s="14" t="s">
        <v>250</v>
      </c>
      <c r="K11" s="27" t="s">
        <v>251</v>
      </c>
      <c r="L11" s="27" t="s">
        <v>252</v>
      </c>
      <c r="M11" s="27" t="s">
        <v>253</v>
      </c>
    </row>
    <row r="12" spans="1:19" x14ac:dyDescent="0.25">
      <c r="A12" t="s">
        <v>269</v>
      </c>
      <c r="B12">
        <f>E12*(0.25)</f>
        <v>0.1875</v>
      </c>
      <c r="C12">
        <f>E12*(0.5)</f>
        <v>0.375</v>
      </c>
      <c r="D12">
        <f>E12*(3/4)</f>
        <v>0.5625</v>
      </c>
      <c r="E12" s="29">
        <v>0.75</v>
      </c>
      <c r="G12">
        <f>18.7*0.75*5</f>
        <v>70.125</v>
      </c>
      <c r="I12">
        <v>1</v>
      </c>
      <c r="J12" s="10">
        <f>($P$6*$I12*B$5*B$11)/(($P$6*$I12*B$5*B$11)+60)</f>
        <v>4.4117647058823539E-2</v>
      </c>
      <c r="K12" s="10">
        <f>($P$6*$I12*C$5*C$11)/(($P$6*$I12*C$5*C$11)+60)</f>
        <v>0.10714285714285714</v>
      </c>
      <c r="L12" s="10">
        <f>($P$6*$I12*D$5*D$11)/(($P$6*$I12*D$5*D$11)+60)</f>
        <v>0.20454545454545456</v>
      </c>
      <c r="M12" s="10">
        <f>($P$6*$I12*E$5*E$11)/(($P$6*$I12*E$5*E$11)+60)</f>
        <v>0.37500000000000006</v>
      </c>
    </row>
    <row r="13" spans="1:19" x14ac:dyDescent="0.25">
      <c r="A13" t="s">
        <v>271</v>
      </c>
      <c r="B13">
        <f>-(60*B12)/(B12-1)</f>
        <v>13.846153846153847</v>
      </c>
      <c r="C13" s="27">
        <f t="shared" ref="C13:D13" si="8">-(60*C12)/(C12-1)</f>
        <v>36</v>
      </c>
      <c r="D13" s="27">
        <f t="shared" si="8"/>
        <v>77.142857142857139</v>
      </c>
      <c r="E13" s="27">
        <f>-(60*E12)/(E12-1)</f>
        <v>180</v>
      </c>
      <c r="I13">
        <v>2</v>
      </c>
      <c r="J13" s="10">
        <f>($P$6*$I13*B$5*B$11)/(($P$6*$I13*B$5*B$11)+60)</f>
        <v>8.4507042253521139E-2</v>
      </c>
      <c r="K13" s="10">
        <f>($P$6*$I13*C$5*C$11)/(($P$6*$I13*C$5*C$11)+60)</f>
        <v>0.19354838709677419</v>
      </c>
      <c r="L13" s="10">
        <f>($P$6*$I13*D$5*D$11)/(($P$6*$I13*D$5*D$11)+60)</f>
        <v>0.339622641509434</v>
      </c>
      <c r="M13" s="10">
        <f>($P$6*$I13*E$5*E$11)/(($P$6*$I13*E$5*E$11)+60)</f>
        <v>0.54545454545454553</v>
      </c>
    </row>
    <row r="14" spans="1:19" x14ac:dyDescent="0.25">
      <c r="A14" s="14" t="s">
        <v>274</v>
      </c>
      <c r="B14" s="12">
        <f>$P$5*B5</f>
        <v>13.5</v>
      </c>
      <c r="C14" s="12">
        <f>$P$5*C5</f>
        <v>27</v>
      </c>
      <c r="D14" s="12">
        <f>$P$5*D5</f>
        <v>54</v>
      </c>
      <c r="E14" s="12">
        <f>$P$5*E5</f>
        <v>108</v>
      </c>
      <c r="F14" s="23"/>
      <c r="I14">
        <v>3</v>
      </c>
      <c r="J14" s="10">
        <f>($P$6*$I14*B$5*B$11)/(($P$6*$I14*B$5*B$11)+60)</f>
        <v>0.12162162162162166</v>
      </c>
      <c r="K14" s="10">
        <f>($P$6*$I14*C$5*C$11)/(($P$6*$I14*C$5*C$11)+60)</f>
        <v>0.26470588235294124</v>
      </c>
      <c r="L14" s="10">
        <f>($P$6*$I14*D$5*D$11)/(($P$6*$I14*D$5*D$11)+60)</f>
        <v>0.43548387096774199</v>
      </c>
      <c r="M14" s="10">
        <f>($P$6*$I14*E$5*E$11)/(($P$6*$I14*E$5*E$11)+60)</f>
        <v>0.6428571428571429</v>
      </c>
    </row>
    <row r="15" spans="1:19" x14ac:dyDescent="0.25">
      <c r="A15" s="14" t="s">
        <v>272</v>
      </c>
      <c r="B15" s="23">
        <f>-(60*(B12))/((B12)-1)</f>
        <v>13.846153846153847</v>
      </c>
      <c r="C15" s="27">
        <f t="shared" ref="C15:E15" si="9">-(60*(C12))/((C12)-1)</f>
        <v>36</v>
      </c>
      <c r="D15" s="27">
        <f t="shared" si="9"/>
        <v>77.142857142857139</v>
      </c>
      <c r="E15" s="27">
        <f>-(60*(E12))/((E12)-1)</f>
        <v>180</v>
      </c>
      <c r="I15">
        <v>4</v>
      </c>
      <c r="J15" s="10">
        <f>($P$6*$I15*B$5*B$11)/(($P$6*$I15*B$5*B$11)+60)</f>
        <v>0.15584415584415587</v>
      </c>
      <c r="K15" s="10">
        <f>($P$6*$I15*C$5*C$11)/(($P$6*$I15*C$5*C$11)+60)</f>
        <v>0.32432432432432434</v>
      </c>
      <c r="L15" s="10">
        <f>($P$6*$I15*D$5*D$11)/(($P$6*$I15*D$5*D$11)+60)</f>
        <v>0.50704225352112675</v>
      </c>
      <c r="M15" s="10">
        <f>($P$6*$I15*E$5*E$11)/(($P$6*$I15*E$5*E$11)+60)</f>
        <v>0.70588235294117652</v>
      </c>
    </row>
    <row r="16" spans="1:19" x14ac:dyDescent="0.25">
      <c r="A16" s="14" t="s">
        <v>296</v>
      </c>
      <c r="B16">
        <f>0.023*B6*0.9</f>
        <v>6.21</v>
      </c>
      <c r="C16" s="10"/>
      <c r="D16" s="10"/>
      <c r="E16" s="10"/>
      <c r="I16">
        <v>5</v>
      </c>
      <c r="J16" s="10">
        <f>($P$6*$I16*B$5*B$11)/(($P$6*$I16*B$5*B$11)+60)</f>
        <v>0.1875</v>
      </c>
      <c r="K16" s="10">
        <f>($P$6*$I16*C$5*C$11)/(($P$6*$I16*C$5*C$11)+60)</f>
        <v>0.375</v>
      </c>
      <c r="L16" s="10">
        <f>($P$6*$I16*D$5*D$11)/(($P$6*$I16*D$5*D$11)+60)</f>
        <v>0.5625</v>
      </c>
      <c r="M16" s="10">
        <f>($P$6*$I16*E$5*E$11)/(($P$6*$I16*E$5*E$11)+60)</f>
        <v>0.75</v>
      </c>
    </row>
    <row r="17" spans="1:13" x14ac:dyDescent="0.25">
      <c r="A17" s="14"/>
      <c r="C17" s="23"/>
      <c r="D17" s="23"/>
      <c r="E17" s="23"/>
      <c r="F17" s="23"/>
      <c r="H17" t="s">
        <v>273</v>
      </c>
      <c r="J17" s="10"/>
      <c r="K17" s="10"/>
      <c r="L17" s="10"/>
      <c r="M17" s="10"/>
    </row>
    <row r="18" spans="1:13" x14ac:dyDescent="0.25">
      <c r="C18" t="s">
        <v>300</v>
      </c>
      <c r="D18" t="s">
        <v>301</v>
      </c>
      <c r="I18" s="33" t="s">
        <v>297</v>
      </c>
      <c r="J18" s="14" t="s">
        <v>250</v>
      </c>
      <c r="K18" s="33" t="s">
        <v>251</v>
      </c>
      <c r="L18" s="33" t="s">
        <v>252</v>
      </c>
      <c r="M18" s="33" t="s">
        <v>253</v>
      </c>
    </row>
    <row r="19" spans="1:13" x14ac:dyDescent="0.25">
      <c r="B19">
        <v>1</v>
      </c>
      <c r="C19">
        <f ca="1">G6</f>
        <v>0.86852188974575439</v>
      </c>
      <c r="D19" s="38">
        <f ca="1">B9</f>
        <v>0.7</v>
      </c>
      <c r="E19">
        <f ca="1">B19*(C19-D19)</f>
        <v>0.16852188974575444</v>
      </c>
      <c r="I19" s="33">
        <v>1</v>
      </c>
      <c r="J19" s="10">
        <f ca="1">1-(($G$6-($N$5*B$5*$I19*(B$7)))/$G$6)</f>
        <v>0.16119340416507255</v>
      </c>
      <c r="K19" s="10">
        <f t="shared" ref="K19:L23" ca="1" si="10">1-(($G$6-($I19*$N$5*C$5*C$7))/$G$6)</f>
        <v>0.1197436716654825</v>
      </c>
      <c r="L19" s="10">
        <f t="shared" ca="1" si="10"/>
        <v>8.059670208253622E-2</v>
      </c>
      <c r="M19" s="10">
        <f ca="1">1-(($G$6-($I19*$N$5*E$5*E$7))/$G$6)</f>
        <v>3.9146969582946278E-2</v>
      </c>
    </row>
    <row r="20" spans="1:13" x14ac:dyDescent="0.25">
      <c r="B20">
        <v>1</v>
      </c>
      <c r="C20">
        <f ca="1">G6</f>
        <v>0.86852188974575439</v>
      </c>
      <c r="D20">
        <v>0</v>
      </c>
      <c r="E20">
        <f ca="1">B20*(C20-D20)</f>
        <v>0.86852188974575439</v>
      </c>
      <c r="F20" s="10">
        <f ca="1">1-(E19/E20)</f>
        <v>0.80596702082536287</v>
      </c>
      <c r="I20" s="33">
        <v>2</v>
      </c>
      <c r="J20" s="10">
        <f t="shared" ref="J20:J22" ca="1" si="11">1-(($G$6-($N$5*B$5*$I20*(B$7)))/$G$6)</f>
        <v>0.3223868083301451</v>
      </c>
      <c r="K20" s="10">
        <f t="shared" ca="1" si="10"/>
        <v>0.239487343330965</v>
      </c>
      <c r="L20" s="10">
        <f t="shared" ca="1" si="10"/>
        <v>0.16119340416507255</v>
      </c>
      <c r="M20" s="10">
        <f t="shared" ref="M20:M22" ca="1" si="12">1-(($G$6-($I20*$N$5*E$5*E$7))/$G$6)</f>
        <v>7.8293939165892334E-2</v>
      </c>
    </row>
    <row r="21" spans="1:13" x14ac:dyDescent="0.25">
      <c r="I21" s="33">
        <v>3</v>
      </c>
      <c r="J21" s="10">
        <f t="shared" ca="1" si="11"/>
        <v>0.48358021249521765</v>
      </c>
      <c r="K21" s="10">
        <f t="shared" ca="1" si="10"/>
        <v>0.35923101499644738</v>
      </c>
      <c r="L21" s="10">
        <f t="shared" ca="1" si="10"/>
        <v>0.24179010624760888</v>
      </c>
      <c r="M21" s="10">
        <f t="shared" ca="1" si="12"/>
        <v>0.11744090874883861</v>
      </c>
    </row>
    <row r="22" spans="1:13" x14ac:dyDescent="0.25">
      <c r="I22" s="33">
        <v>4</v>
      </c>
      <c r="J22" s="10">
        <f t="shared" ca="1" si="11"/>
        <v>0.64477361666029021</v>
      </c>
      <c r="K22" s="10">
        <f t="shared" ca="1" si="10"/>
        <v>0.47897468666192999</v>
      </c>
      <c r="L22" s="10">
        <f t="shared" ca="1" si="10"/>
        <v>0.3223868083301451</v>
      </c>
      <c r="M22" s="10">
        <f t="shared" ca="1" si="12"/>
        <v>0.15658787833178478</v>
      </c>
    </row>
    <row r="23" spans="1:13" x14ac:dyDescent="0.25">
      <c r="I23" s="33">
        <v>5</v>
      </c>
      <c r="J23" s="10">
        <f ca="1">1-(($G$6-($N$5*B$5*$I23*(B$7)))/$G$6)</f>
        <v>0.80596702082536287</v>
      </c>
      <c r="K23" s="10">
        <f t="shared" ca="1" si="10"/>
        <v>0.59871835832741249</v>
      </c>
      <c r="L23" s="10">
        <f t="shared" ca="1" si="10"/>
        <v>0.40298351041268143</v>
      </c>
      <c r="M23" s="10">
        <f ca="1">1-(($G$6-($I23*$N$5*E$5*E$7))/$G$6)</f>
        <v>0.19573484791473106</v>
      </c>
    </row>
    <row r="27" spans="1:13" x14ac:dyDescent="0.25">
      <c r="E27" t="s">
        <v>303</v>
      </c>
      <c r="F27" t="s">
        <v>305</v>
      </c>
      <c r="G27" t="s">
        <v>144</v>
      </c>
    </row>
    <row r="28" spans="1:13" x14ac:dyDescent="0.25">
      <c r="E28" s="10">
        <f ca="1">1-($G$6-(F28/100))/$G$6</f>
        <v>1.1513814583219428E-2</v>
      </c>
      <c r="F28">
        <v>1</v>
      </c>
      <c r="G28" s="10">
        <f>F28/(F28+60)</f>
        <v>1.6393442622950821E-2</v>
      </c>
    </row>
    <row r="29" spans="1:13" x14ac:dyDescent="0.25">
      <c r="E29" s="10">
        <f ca="1">1-($G$6-(F29/100))/$G$6</f>
        <v>2.3027629166438968E-2</v>
      </c>
      <c r="F29">
        <v>2</v>
      </c>
      <c r="G29" s="10">
        <f t="shared" ref="G29:G92" si="13">F29/(F29+60)</f>
        <v>3.2258064516129031E-2</v>
      </c>
    </row>
    <row r="30" spans="1:13" x14ac:dyDescent="0.25">
      <c r="E30" s="10">
        <f ca="1">1-($G$6-(F30/100))/$G$6</f>
        <v>3.4541443749658396E-2</v>
      </c>
      <c r="F30">
        <v>3</v>
      </c>
      <c r="G30" s="10">
        <f t="shared" si="13"/>
        <v>4.7619047619047616E-2</v>
      </c>
    </row>
    <row r="31" spans="1:13" x14ac:dyDescent="0.25">
      <c r="E31" s="10">
        <f ca="1">1-($G$6-(F31/100))/$G$6</f>
        <v>4.6055258332877935E-2</v>
      </c>
      <c r="F31">
        <v>4</v>
      </c>
      <c r="G31" s="10">
        <f t="shared" si="13"/>
        <v>6.25E-2</v>
      </c>
    </row>
    <row r="32" spans="1:13" x14ac:dyDescent="0.25">
      <c r="E32" s="10">
        <f ca="1">1-($G$6-(F32/100))/$G$6</f>
        <v>5.7569072916097364E-2</v>
      </c>
      <c r="F32">
        <v>5</v>
      </c>
      <c r="G32" s="10">
        <f t="shared" si="13"/>
        <v>7.6923076923076927E-2</v>
      </c>
    </row>
    <row r="33" spans="5:7" x14ac:dyDescent="0.25">
      <c r="E33" s="10">
        <f ca="1">1-($G$6-(F33/100))/$G$6</f>
        <v>6.9082887499316792E-2</v>
      </c>
      <c r="F33">
        <v>6</v>
      </c>
      <c r="G33" s="10">
        <f t="shared" si="13"/>
        <v>9.0909090909090912E-2</v>
      </c>
    </row>
    <row r="34" spans="5:7" x14ac:dyDescent="0.25">
      <c r="E34" s="10">
        <f ca="1">1-($G$6-(F34/100))/$G$6</f>
        <v>8.059670208253622E-2</v>
      </c>
      <c r="F34">
        <v>7</v>
      </c>
      <c r="G34" s="10">
        <f t="shared" si="13"/>
        <v>0.1044776119402985</v>
      </c>
    </row>
    <row r="35" spans="5:7" x14ac:dyDescent="0.25">
      <c r="E35" s="10">
        <f ca="1">1-($G$6-(F35/100))/$G$6</f>
        <v>9.2110516665755759E-2</v>
      </c>
      <c r="F35">
        <v>8</v>
      </c>
      <c r="G35" s="10">
        <f t="shared" si="13"/>
        <v>0.11764705882352941</v>
      </c>
    </row>
    <row r="36" spans="5:7" x14ac:dyDescent="0.25">
      <c r="E36" s="10">
        <f ca="1">1-($G$6-(F36/100))/$G$6</f>
        <v>0.10362433124897519</v>
      </c>
      <c r="F36">
        <v>9</v>
      </c>
      <c r="G36" s="10">
        <f t="shared" si="13"/>
        <v>0.13043478260869565</v>
      </c>
    </row>
    <row r="37" spans="5:7" x14ac:dyDescent="0.25">
      <c r="E37" s="10">
        <f ca="1">1-($G$6-(F37/100))/$G$6</f>
        <v>0.11513814583219473</v>
      </c>
      <c r="F37">
        <v>10</v>
      </c>
      <c r="G37" s="10">
        <f t="shared" si="13"/>
        <v>0.14285714285714285</v>
      </c>
    </row>
    <row r="38" spans="5:7" x14ac:dyDescent="0.25">
      <c r="E38" s="10">
        <f ca="1">1-($G$6-(F38/100))/$G$6</f>
        <v>0.12665196041541416</v>
      </c>
      <c r="F38" s="33">
        <v>11</v>
      </c>
      <c r="G38" s="10">
        <f t="shared" si="13"/>
        <v>0.15492957746478872</v>
      </c>
    </row>
    <row r="39" spans="5:7" x14ac:dyDescent="0.25">
      <c r="E39" s="10">
        <f ca="1">1-($G$6-(F39/100))/$G$6</f>
        <v>0.13816577499863369</v>
      </c>
      <c r="F39" s="33">
        <v>12</v>
      </c>
      <c r="G39" s="10">
        <f t="shared" si="13"/>
        <v>0.16666666666666666</v>
      </c>
    </row>
    <row r="40" spans="5:7" x14ac:dyDescent="0.25">
      <c r="E40" s="10">
        <f ca="1">1-($G$6-(F40/100))/$G$6</f>
        <v>0.14967958958185312</v>
      </c>
      <c r="F40" s="33">
        <v>13</v>
      </c>
      <c r="G40" s="10">
        <f t="shared" si="13"/>
        <v>0.17808219178082191</v>
      </c>
    </row>
    <row r="41" spans="5:7" x14ac:dyDescent="0.25">
      <c r="E41" s="10">
        <f ca="1">1-($G$6-(F41/100))/$G$6</f>
        <v>0.16119340416507255</v>
      </c>
      <c r="F41" s="33">
        <v>14</v>
      </c>
      <c r="G41" s="10">
        <f t="shared" si="13"/>
        <v>0.1891891891891892</v>
      </c>
    </row>
    <row r="42" spans="5:7" x14ac:dyDescent="0.25">
      <c r="E42" s="10">
        <f ca="1">1-($G$6-(F42/100))/$G$6</f>
        <v>0.17270721874829209</v>
      </c>
      <c r="F42" s="33">
        <v>15</v>
      </c>
      <c r="G42" s="10">
        <f t="shared" si="13"/>
        <v>0.2</v>
      </c>
    </row>
    <row r="43" spans="5:7" x14ac:dyDescent="0.25">
      <c r="E43" s="10">
        <f ca="1">1-($G$6-(F43/100))/$G$6</f>
        <v>0.18422103333151152</v>
      </c>
      <c r="F43" s="33">
        <v>16</v>
      </c>
      <c r="G43" s="10">
        <f t="shared" si="13"/>
        <v>0.21052631578947367</v>
      </c>
    </row>
    <row r="44" spans="5:7" x14ac:dyDescent="0.25">
      <c r="E44" s="10">
        <f ca="1">1-($G$6-(F44/100))/$G$6</f>
        <v>0.19573484791473106</v>
      </c>
      <c r="F44" s="33">
        <v>17</v>
      </c>
      <c r="G44" s="10">
        <f t="shared" si="13"/>
        <v>0.22077922077922077</v>
      </c>
    </row>
    <row r="45" spans="5:7" x14ac:dyDescent="0.25">
      <c r="E45" s="10">
        <f ca="1">1-($G$6-(F45/100))/$G$6</f>
        <v>0.20724866249795049</v>
      </c>
      <c r="F45" s="33">
        <v>18</v>
      </c>
      <c r="G45" s="10">
        <f t="shared" si="13"/>
        <v>0.23076923076923078</v>
      </c>
    </row>
    <row r="46" spans="5:7" x14ac:dyDescent="0.25">
      <c r="E46" s="10">
        <f ca="1">1-($G$6-(F46/100))/$G$6</f>
        <v>0.21876247708117003</v>
      </c>
      <c r="F46" s="33">
        <v>19</v>
      </c>
      <c r="G46" s="10">
        <f t="shared" si="13"/>
        <v>0.24050632911392406</v>
      </c>
    </row>
    <row r="47" spans="5:7" x14ac:dyDescent="0.25">
      <c r="E47" s="10">
        <f ca="1">1-($G$6-(F47/100))/$G$6</f>
        <v>0.23027629166438945</v>
      </c>
      <c r="F47" s="33">
        <v>20</v>
      </c>
      <c r="G47" s="10">
        <f t="shared" si="13"/>
        <v>0.25</v>
      </c>
    </row>
    <row r="48" spans="5:7" x14ac:dyDescent="0.25">
      <c r="E48" s="10">
        <f ca="1">1-($G$6-(F48/100))/$G$6</f>
        <v>0.24179010624760888</v>
      </c>
      <c r="F48" s="33">
        <v>21</v>
      </c>
      <c r="G48" s="10">
        <f t="shared" si="13"/>
        <v>0.25925925925925924</v>
      </c>
    </row>
    <row r="49" spans="5:7" x14ac:dyDescent="0.25">
      <c r="E49" s="10">
        <f ca="1">1-($G$6-(F49/100))/$G$6</f>
        <v>0.25330392083082831</v>
      </c>
      <c r="F49" s="33">
        <v>22</v>
      </c>
      <c r="G49" s="10">
        <f t="shared" si="13"/>
        <v>0.26829268292682928</v>
      </c>
    </row>
    <row r="50" spans="5:7" x14ac:dyDescent="0.25">
      <c r="E50" s="10">
        <f ca="1">1-($G$6-(F50/100))/$G$6</f>
        <v>0.26481773541404785</v>
      </c>
      <c r="F50" s="33">
        <v>23</v>
      </c>
      <c r="G50" s="10">
        <f t="shared" si="13"/>
        <v>0.27710843373493976</v>
      </c>
    </row>
    <row r="51" spans="5:7" x14ac:dyDescent="0.25">
      <c r="E51" s="10">
        <f ca="1">1-($G$6-(F51/100))/$G$6</f>
        <v>0.27633154999726728</v>
      </c>
      <c r="F51" s="33">
        <v>24</v>
      </c>
      <c r="G51" s="10">
        <f t="shared" si="13"/>
        <v>0.2857142857142857</v>
      </c>
    </row>
    <row r="52" spans="5:7" x14ac:dyDescent="0.25">
      <c r="E52" s="10">
        <f ca="1">1-($G$6-(F52/100))/$G$6</f>
        <v>0.28784536458048671</v>
      </c>
      <c r="F52" s="33">
        <v>25</v>
      </c>
      <c r="G52" s="10">
        <f t="shared" si="13"/>
        <v>0.29411764705882354</v>
      </c>
    </row>
    <row r="53" spans="5:7" x14ac:dyDescent="0.25">
      <c r="E53" s="10">
        <f ca="1">1-($G$6-(F53/100))/$G$6</f>
        <v>0.29935917916370625</v>
      </c>
      <c r="F53" s="33">
        <v>26</v>
      </c>
      <c r="G53" s="10">
        <f t="shared" si="13"/>
        <v>0.30232558139534882</v>
      </c>
    </row>
    <row r="54" spans="5:7" x14ac:dyDescent="0.25">
      <c r="E54" s="10">
        <f ca="1">1-($G$6-(F54/100))/$G$6</f>
        <v>0.31087299374692567</v>
      </c>
      <c r="F54" s="33">
        <v>27</v>
      </c>
      <c r="G54" s="10">
        <f t="shared" si="13"/>
        <v>0.31034482758620691</v>
      </c>
    </row>
    <row r="55" spans="5:7" x14ac:dyDescent="0.25">
      <c r="E55" s="10">
        <f ca="1">1-($G$6-(F55/100))/$G$6</f>
        <v>0.32238680833014521</v>
      </c>
      <c r="F55" s="33">
        <v>28</v>
      </c>
      <c r="G55" s="10">
        <f t="shared" si="13"/>
        <v>0.31818181818181818</v>
      </c>
    </row>
    <row r="56" spans="5:7" x14ac:dyDescent="0.25">
      <c r="E56" s="10">
        <f ca="1">1-($G$6-(F56/100))/$G$6</f>
        <v>0.33390062291336453</v>
      </c>
      <c r="F56" s="33">
        <v>29</v>
      </c>
      <c r="G56" s="10">
        <f t="shared" si="13"/>
        <v>0.3258426966292135</v>
      </c>
    </row>
    <row r="57" spans="5:7" x14ac:dyDescent="0.25">
      <c r="E57" s="10">
        <f ca="1">1-($G$6-(F57/100))/$G$6</f>
        <v>0.34541443749658407</v>
      </c>
      <c r="F57" s="33">
        <v>30</v>
      </c>
      <c r="G57" s="10">
        <f t="shared" si="13"/>
        <v>0.33333333333333331</v>
      </c>
    </row>
    <row r="58" spans="5:7" x14ac:dyDescent="0.25">
      <c r="E58" s="10">
        <f ca="1">1-($G$6-(F58/100))/$G$6</f>
        <v>0.3569282520798035</v>
      </c>
      <c r="F58" s="33">
        <v>31</v>
      </c>
      <c r="G58" s="10">
        <f t="shared" si="13"/>
        <v>0.34065934065934067</v>
      </c>
    </row>
    <row r="59" spans="5:7" x14ac:dyDescent="0.25">
      <c r="E59" s="10">
        <f ca="1">1-($G$6-(F59/100))/$G$6</f>
        <v>0.36844206666302304</v>
      </c>
      <c r="F59" s="33">
        <v>32</v>
      </c>
      <c r="G59" s="10">
        <f t="shared" si="13"/>
        <v>0.34782608695652173</v>
      </c>
    </row>
    <row r="60" spans="5:7" x14ac:dyDescent="0.25">
      <c r="E60" s="10">
        <f ca="1">1-($G$6-(F60/100))/$G$6</f>
        <v>0.37995588124624247</v>
      </c>
      <c r="F60" s="33">
        <v>33</v>
      </c>
      <c r="G60" s="10">
        <f t="shared" si="13"/>
        <v>0.35483870967741937</v>
      </c>
    </row>
    <row r="61" spans="5:7" x14ac:dyDescent="0.25">
      <c r="E61" s="10">
        <f ca="1">1-($G$6-(F61/100))/$G$6</f>
        <v>0.39146969582946201</v>
      </c>
      <c r="F61" s="33">
        <v>34</v>
      </c>
      <c r="G61" s="10">
        <f t="shared" si="13"/>
        <v>0.36170212765957449</v>
      </c>
    </row>
    <row r="62" spans="5:7" x14ac:dyDescent="0.25">
      <c r="E62" s="10">
        <f ca="1">1-($G$6-(F62/100))/$G$6</f>
        <v>0.40298351041268143</v>
      </c>
      <c r="F62" s="33">
        <v>35</v>
      </c>
      <c r="G62" s="10">
        <f t="shared" si="13"/>
        <v>0.36842105263157893</v>
      </c>
    </row>
    <row r="63" spans="5:7" x14ac:dyDescent="0.25">
      <c r="E63" s="10">
        <f ca="1">1-($G$6-(F63/100))/$G$6</f>
        <v>0.41449732499590097</v>
      </c>
      <c r="F63" s="33">
        <v>36</v>
      </c>
      <c r="G63" s="10">
        <f t="shared" si="13"/>
        <v>0.375</v>
      </c>
    </row>
    <row r="64" spans="5:7" x14ac:dyDescent="0.25">
      <c r="E64" s="10">
        <f ca="1">1-($G$6-(F64/100))/$G$6</f>
        <v>0.4260111395791204</v>
      </c>
      <c r="F64" s="33">
        <v>37</v>
      </c>
      <c r="G64" s="10">
        <f t="shared" si="13"/>
        <v>0.38144329896907214</v>
      </c>
    </row>
    <row r="65" spans="5:7" x14ac:dyDescent="0.25">
      <c r="E65" s="10">
        <f ca="1">1-($G$6-(F65/100))/$G$6</f>
        <v>0.43752495416233983</v>
      </c>
      <c r="F65" s="33">
        <v>38</v>
      </c>
      <c r="G65" s="10">
        <f t="shared" si="13"/>
        <v>0.38775510204081631</v>
      </c>
    </row>
    <row r="66" spans="5:7" x14ac:dyDescent="0.25">
      <c r="E66" s="10">
        <f ca="1">1-($G$6-(F66/100))/$G$6</f>
        <v>0.44903876874555937</v>
      </c>
      <c r="F66" s="33">
        <v>39</v>
      </c>
      <c r="G66" s="10">
        <f t="shared" si="13"/>
        <v>0.39393939393939392</v>
      </c>
    </row>
    <row r="67" spans="5:7" x14ac:dyDescent="0.25">
      <c r="E67" s="10">
        <f ca="1">1-($G$6-(F67/100))/$G$6</f>
        <v>0.4605525833287788</v>
      </c>
      <c r="F67" s="33">
        <v>40</v>
      </c>
      <c r="G67" s="10">
        <f t="shared" si="13"/>
        <v>0.4</v>
      </c>
    </row>
    <row r="68" spans="5:7" x14ac:dyDescent="0.25">
      <c r="E68" s="10">
        <f ca="1">1-($G$6-(F68/100))/$G$6</f>
        <v>0.47206639791199823</v>
      </c>
      <c r="F68" s="33">
        <v>41</v>
      </c>
      <c r="G68" s="10">
        <f t="shared" si="13"/>
        <v>0.40594059405940597</v>
      </c>
    </row>
    <row r="69" spans="5:7" x14ac:dyDescent="0.25">
      <c r="E69" s="10">
        <f ca="1">1-($G$6-(F69/100))/$G$6</f>
        <v>0.48358021249521776</v>
      </c>
      <c r="F69" s="33">
        <v>42</v>
      </c>
      <c r="G69" s="10">
        <f t="shared" si="13"/>
        <v>0.41176470588235292</v>
      </c>
    </row>
    <row r="70" spans="5:7" x14ac:dyDescent="0.25">
      <c r="E70" s="10">
        <f ca="1">1-($G$6-(F70/100))/$G$6</f>
        <v>0.49509402707843719</v>
      </c>
      <c r="F70" s="33">
        <v>43</v>
      </c>
      <c r="G70" s="10">
        <f t="shared" si="13"/>
        <v>0.41747572815533979</v>
      </c>
    </row>
    <row r="71" spans="5:7" x14ac:dyDescent="0.25">
      <c r="E71" s="10">
        <f ca="1">1-($G$6-(F71/100))/$G$6</f>
        <v>0.50660784166165662</v>
      </c>
      <c r="F71" s="33">
        <v>44</v>
      </c>
      <c r="G71" s="10">
        <f t="shared" si="13"/>
        <v>0.42307692307692307</v>
      </c>
    </row>
    <row r="72" spans="5:7" x14ac:dyDescent="0.25">
      <c r="E72" s="10">
        <f ca="1">1-($G$6-(F72/100))/$G$6</f>
        <v>0.51812165624487616</v>
      </c>
      <c r="F72" s="33">
        <v>45</v>
      </c>
      <c r="G72" s="10">
        <f t="shared" si="13"/>
        <v>0.42857142857142855</v>
      </c>
    </row>
    <row r="73" spans="5:7" x14ac:dyDescent="0.25">
      <c r="E73" s="10">
        <f ca="1">1-($G$6-(F73/100))/$G$6</f>
        <v>0.5296354708280957</v>
      </c>
      <c r="F73" s="33">
        <v>46</v>
      </c>
      <c r="G73" s="10">
        <f t="shared" si="13"/>
        <v>0.43396226415094341</v>
      </c>
    </row>
    <row r="74" spans="5:7" x14ac:dyDescent="0.25">
      <c r="E74" s="10">
        <f ca="1">1-($G$6-(F74/100))/$G$6</f>
        <v>0.54114928541131513</v>
      </c>
      <c r="F74" s="33">
        <v>47</v>
      </c>
      <c r="G74" s="10">
        <f t="shared" si="13"/>
        <v>0.43925233644859812</v>
      </c>
    </row>
    <row r="75" spans="5:7" x14ac:dyDescent="0.25">
      <c r="E75" s="10">
        <f ca="1">1-($G$6-(F75/100))/$G$6</f>
        <v>0.55266309999453456</v>
      </c>
      <c r="F75" s="33">
        <v>48</v>
      </c>
      <c r="G75" s="10">
        <f t="shared" si="13"/>
        <v>0.44444444444444442</v>
      </c>
    </row>
    <row r="76" spans="5:7" x14ac:dyDescent="0.25">
      <c r="E76" s="10">
        <f ca="1">1-($G$6-(F76/100))/$G$6</f>
        <v>0.56417691457775399</v>
      </c>
      <c r="F76" s="33">
        <v>49</v>
      </c>
      <c r="G76" s="10">
        <f t="shared" si="13"/>
        <v>0.44954128440366975</v>
      </c>
    </row>
    <row r="77" spans="5:7" x14ac:dyDescent="0.25">
      <c r="E77" s="10">
        <f ca="1">1-($G$6-(F77/100))/$G$6</f>
        <v>0.57569072916097352</v>
      </c>
      <c r="F77" s="33">
        <v>50</v>
      </c>
      <c r="G77" s="10">
        <f t="shared" si="13"/>
        <v>0.45454545454545453</v>
      </c>
    </row>
    <row r="78" spans="5:7" x14ac:dyDescent="0.25">
      <c r="E78" s="10">
        <f ca="1">1-($G$6-(F78/100))/$G$6</f>
        <v>0.58720454374419306</v>
      </c>
      <c r="F78" s="33">
        <v>51</v>
      </c>
      <c r="G78" s="10">
        <f t="shared" si="13"/>
        <v>0.45945945945945948</v>
      </c>
    </row>
    <row r="79" spans="5:7" x14ac:dyDescent="0.25">
      <c r="E79" s="10">
        <f ca="1">1-($G$6-(F79/100))/$G$6</f>
        <v>0.59871835832741249</v>
      </c>
      <c r="F79" s="33">
        <v>52</v>
      </c>
      <c r="G79" s="10">
        <f t="shared" si="13"/>
        <v>0.4642857142857143</v>
      </c>
    </row>
    <row r="80" spans="5:7" x14ac:dyDescent="0.25">
      <c r="E80" s="10">
        <f ca="1">1-($G$6-(F80/100))/$G$6</f>
        <v>0.61023217291063192</v>
      </c>
      <c r="F80" s="33">
        <v>53</v>
      </c>
      <c r="G80" s="10">
        <f t="shared" si="13"/>
        <v>0.46902654867256638</v>
      </c>
    </row>
    <row r="81" spans="5:7" x14ac:dyDescent="0.25">
      <c r="E81" s="10">
        <f ca="1">1-($G$6-(F81/100))/$G$6</f>
        <v>0.62174598749385146</v>
      </c>
      <c r="F81" s="33">
        <v>54</v>
      </c>
      <c r="G81" s="10">
        <f t="shared" si="13"/>
        <v>0.47368421052631576</v>
      </c>
    </row>
    <row r="82" spans="5:7" x14ac:dyDescent="0.25">
      <c r="E82" s="10">
        <f ca="1">1-($G$6-(F82/100))/$G$6</f>
        <v>0.633259802077071</v>
      </c>
      <c r="F82" s="33">
        <v>55</v>
      </c>
      <c r="G82" s="10">
        <f t="shared" si="13"/>
        <v>0.47826086956521741</v>
      </c>
    </row>
    <row r="83" spans="5:7" x14ac:dyDescent="0.25">
      <c r="E83" s="10">
        <f ca="1">1-($G$6-(F83/100))/$G$6</f>
        <v>0.64477361666029043</v>
      </c>
      <c r="F83" s="33">
        <v>56</v>
      </c>
      <c r="G83" s="10">
        <f t="shared" si="13"/>
        <v>0.48275862068965519</v>
      </c>
    </row>
    <row r="84" spans="5:7" x14ac:dyDescent="0.25">
      <c r="E84" s="10">
        <f ca="1">1-($G$6-(F84/100))/$G$6</f>
        <v>0.65628743124350974</v>
      </c>
      <c r="F84" s="33">
        <v>57</v>
      </c>
      <c r="G84" s="10">
        <f t="shared" si="13"/>
        <v>0.48717948717948717</v>
      </c>
    </row>
    <row r="85" spans="5:7" x14ac:dyDescent="0.25">
      <c r="E85" s="10">
        <f ca="1">1-($G$6-(F85/100))/$G$6</f>
        <v>0.66780124582672928</v>
      </c>
      <c r="F85" s="33">
        <v>58</v>
      </c>
      <c r="G85" s="10">
        <f t="shared" si="13"/>
        <v>0.49152542372881358</v>
      </c>
    </row>
    <row r="86" spans="5:7" x14ac:dyDescent="0.25">
      <c r="E86" s="10">
        <f ca="1">1-($G$6-(F86/100))/$G$6</f>
        <v>0.67931506040994871</v>
      </c>
      <c r="F86" s="33">
        <v>59</v>
      </c>
      <c r="G86" s="10">
        <f t="shared" si="13"/>
        <v>0.49579831932773111</v>
      </c>
    </row>
    <row r="87" spans="5:7" x14ac:dyDescent="0.25">
      <c r="E87" s="10">
        <f ca="1">1-($G$6-(F87/100))/$G$6</f>
        <v>0.69082887499316814</v>
      </c>
      <c r="F87" s="33">
        <v>60</v>
      </c>
      <c r="G87" s="10">
        <f t="shared" si="13"/>
        <v>0.5</v>
      </c>
    </row>
    <row r="88" spans="5:7" x14ac:dyDescent="0.25">
      <c r="E88" s="10">
        <f ca="1">1-($G$6-(F88/100))/$G$6</f>
        <v>0.70234268957638768</v>
      </c>
      <c r="F88" s="33">
        <v>61</v>
      </c>
      <c r="G88" s="10">
        <f t="shared" si="13"/>
        <v>0.50413223140495866</v>
      </c>
    </row>
    <row r="89" spans="5:7" x14ac:dyDescent="0.25">
      <c r="E89" s="10">
        <f ca="1">1-($G$6-(F89/100))/$G$6</f>
        <v>0.71385650415960722</v>
      </c>
      <c r="F89" s="33">
        <v>62</v>
      </c>
      <c r="G89" s="10">
        <f t="shared" si="13"/>
        <v>0.50819672131147542</v>
      </c>
    </row>
    <row r="90" spans="5:7" x14ac:dyDescent="0.25">
      <c r="E90" s="10">
        <f ca="1">1-($G$6-(F90/100))/$G$6</f>
        <v>0.72537031874282665</v>
      </c>
      <c r="F90" s="33">
        <v>63</v>
      </c>
      <c r="G90" s="10">
        <f t="shared" si="13"/>
        <v>0.51219512195121952</v>
      </c>
    </row>
    <row r="91" spans="5:7" x14ac:dyDescent="0.25">
      <c r="E91" s="10">
        <f ca="1">1-($G$6-(F91/100))/$G$6</f>
        <v>0.73688413332604608</v>
      </c>
      <c r="F91" s="33">
        <v>64</v>
      </c>
      <c r="G91" s="10">
        <f t="shared" si="13"/>
        <v>0.5161290322580645</v>
      </c>
    </row>
    <row r="92" spans="5:7" x14ac:dyDescent="0.25">
      <c r="E92" s="10">
        <f ca="1">1-($G$6-(F92/100))/$G$6</f>
        <v>0.74839794790926562</v>
      </c>
      <c r="F92" s="33">
        <v>65</v>
      </c>
      <c r="G92" s="10">
        <f t="shared" si="13"/>
        <v>0.52</v>
      </c>
    </row>
    <row r="93" spans="5:7" x14ac:dyDescent="0.25">
      <c r="E93" s="10">
        <f ca="1">1-($G$6-(F93/100))/$G$6</f>
        <v>0.75991176249248515</v>
      </c>
      <c r="F93" s="33">
        <v>66</v>
      </c>
      <c r="G93" s="10">
        <f t="shared" ref="G93:G156" si="14">F93/(F93+60)</f>
        <v>0.52380952380952384</v>
      </c>
    </row>
    <row r="94" spans="5:7" x14ac:dyDescent="0.25">
      <c r="E94" s="10">
        <f ca="1">1-($G$6-(F94/100))/$G$6</f>
        <v>0.77142557707570458</v>
      </c>
      <c r="F94" s="33">
        <v>67</v>
      </c>
      <c r="G94" s="10">
        <f t="shared" si="14"/>
        <v>0.52755905511811019</v>
      </c>
    </row>
    <row r="95" spans="5:7" x14ac:dyDescent="0.25">
      <c r="E95" s="10">
        <f ca="1">1-($G$6-(F95/100))/$G$6</f>
        <v>0.78293939165892401</v>
      </c>
      <c r="F95" s="33">
        <v>68</v>
      </c>
      <c r="G95" s="10">
        <f t="shared" si="14"/>
        <v>0.53125</v>
      </c>
    </row>
    <row r="96" spans="5:7" x14ac:dyDescent="0.25">
      <c r="E96" s="10">
        <f ca="1">1-($G$6-(F96/100))/$G$6</f>
        <v>0.79445320624214344</v>
      </c>
      <c r="F96" s="33">
        <v>69</v>
      </c>
      <c r="G96" s="10">
        <f t="shared" si="14"/>
        <v>0.53488372093023251</v>
      </c>
    </row>
    <row r="97" spans="5:7" x14ac:dyDescent="0.25">
      <c r="E97" s="10">
        <f ca="1">1-($G$6-(F97/100))/$G$6</f>
        <v>0.80596702082536287</v>
      </c>
      <c r="F97" s="33">
        <v>70</v>
      </c>
      <c r="G97" s="10">
        <f t="shared" si="14"/>
        <v>0.53846153846153844</v>
      </c>
    </row>
    <row r="98" spans="5:7" x14ac:dyDescent="0.25">
      <c r="E98" s="10">
        <f ca="1">1-($G$6-(F98/100))/$G$6</f>
        <v>0.8174808354085823</v>
      </c>
      <c r="F98" s="33">
        <v>71</v>
      </c>
      <c r="G98" s="10">
        <f t="shared" si="14"/>
        <v>0.5419847328244275</v>
      </c>
    </row>
    <row r="99" spans="5:7" x14ac:dyDescent="0.25">
      <c r="E99" s="10">
        <f ca="1">1-($G$6-(F99/100))/$G$6</f>
        <v>0.82899464999180184</v>
      </c>
      <c r="F99" s="33">
        <v>72</v>
      </c>
      <c r="G99" s="10">
        <f t="shared" si="14"/>
        <v>0.54545454545454541</v>
      </c>
    </row>
    <row r="100" spans="5:7" x14ac:dyDescent="0.25">
      <c r="E100" s="10">
        <f ca="1">1-($G$6-(F100/100))/$G$6</f>
        <v>0.84050846457502137</v>
      </c>
      <c r="F100" s="33">
        <v>73</v>
      </c>
      <c r="G100" s="10">
        <f t="shared" si="14"/>
        <v>0.54887218045112784</v>
      </c>
    </row>
    <row r="101" spans="5:7" x14ac:dyDescent="0.25">
      <c r="E101" s="10">
        <f ca="1">1-($G$6-(F101/100))/$G$6</f>
        <v>0.8520222791582408</v>
      </c>
      <c r="F101" s="33">
        <v>74</v>
      </c>
      <c r="G101" s="10">
        <f t="shared" si="14"/>
        <v>0.55223880597014929</v>
      </c>
    </row>
    <row r="102" spans="5:7" x14ac:dyDescent="0.25">
      <c r="E102" s="10">
        <f ca="1">1-($G$6-(F102/100))/$G$6</f>
        <v>0.86353609374146023</v>
      </c>
      <c r="F102" s="33">
        <v>75</v>
      </c>
      <c r="G102" s="10">
        <f t="shared" si="14"/>
        <v>0.55555555555555558</v>
      </c>
    </row>
    <row r="103" spans="5:7" x14ac:dyDescent="0.25">
      <c r="E103" s="10">
        <f t="shared" ref="E103:E166" ca="1" si="15">1-($G$6-(F103/100))/$G$6</f>
        <v>0.87504990832467977</v>
      </c>
      <c r="F103" s="33">
        <v>76</v>
      </c>
      <c r="G103" s="10">
        <f t="shared" si="14"/>
        <v>0.55882352941176472</v>
      </c>
    </row>
    <row r="104" spans="5:7" x14ac:dyDescent="0.25">
      <c r="E104" s="10">
        <f t="shared" ca="1" si="15"/>
        <v>0.8865637229078992</v>
      </c>
      <c r="F104" s="33">
        <v>77</v>
      </c>
      <c r="G104" s="10">
        <f t="shared" si="14"/>
        <v>0.56204379562043794</v>
      </c>
    </row>
    <row r="105" spans="5:7" x14ac:dyDescent="0.25">
      <c r="E105" s="10">
        <f t="shared" ca="1" si="15"/>
        <v>0.89807753749111874</v>
      </c>
      <c r="F105" s="33">
        <v>78</v>
      </c>
      <c r="G105" s="10">
        <f t="shared" si="14"/>
        <v>0.56521739130434778</v>
      </c>
    </row>
    <row r="106" spans="5:7" x14ac:dyDescent="0.25">
      <c r="E106" s="10">
        <f t="shared" ca="1" si="15"/>
        <v>0.90959135207433817</v>
      </c>
      <c r="F106" s="33">
        <v>79</v>
      </c>
      <c r="G106" s="10">
        <f t="shared" si="14"/>
        <v>0.56834532374100721</v>
      </c>
    </row>
    <row r="107" spans="5:7" x14ac:dyDescent="0.25">
      <c r="E107" s="10">
        <f t="shared" ca="1" si="15"/>
        <v>0.92110516665755771</v>
      </c>
      <c r="F107" s="33">
        <v>80</v>
      </c>
      <c r="G107" s="10">
        <f t="shared" si="14"/>
        <v>0.5714285714285714</v>
      </c>
    </row>
    <row r="108" spans="5:7" x14ac:dyDescent="0.25">
      <c r="E108" s="10">
        <f t="shared" ca="1" si="15"/>
        <v>0.93261898124077713</v>
      </c>
      <c r="F108" s="33">
        <v>81</v>
      </c>
      <c r="G108" s="10">
        <f t="shared" si="14"/>
        <v>0.57446808510638303</v>
      </c>
    </row>
    <row r="109" spans="5:7" x14ac:dyDescent="0.25">
      <c r="E109" s="10">
        <f t="shared" ca="1" si="15"/>
        <v>0.94413279582399656</v>
      </c>
      <c r="F109" s="33">
        <v>82</v>
      </c>
      <c r="G109" s="10">
        <f t="shared" si="14"/>
        <v>0.57746478873239437</v>
      </c>
    </row>
    <row r="110" spans="5:7" x14ac:dyDescent="0.25">
      <c r="E110" s="10">
        <f t="shared" ca="1" si="15"/>
        <v>0.95564661040721599</v>
      </c>
      <c r="F110" s="33">
        <v>83</v>
      </c>
      <c r="G110" s="10">
        <f t="shared" si="14"/>
        <v>0.58041958041958042</v>
      </c>
    </row>
    <row r="111" spans="5:7" x14ac:dyDescent="0.25">
      <c r="E111" s="10">
        <f t="shared" ca="1" si="15"/>
        <v>0.96716042499043553</v>
      </c>
      <c r="F111" s="33">
        <v>84</v>
      </c>
      <c r="G111" s="10">
        <f t="shared" si="14"/>
        <v>0.58333333333333337</v>
      </c>
    </row>
    <row r="112" spans="5:7" x14ac:dyDescent="0.25">
      <c r="E112" s="10">
        <f t="shared" ca="1" si="15"/>
        <v>0.97867423957365496</v>
      </c>
      <c r="F112" s="33">
        <v>85</v>
      </c>
      <c r="G112" s="10">
        <f t="shared" si="14"/>
        <v>0.58620689655172409</v>
      </c>
    </row>
    <row r="113" spans="5:7" x14ac:dyDescent="0.25">
      <c r="E113" s="10">
        <f t="shared" ca="1" si="15"/>
        <v>0.9901880541568745</v>
      </c>
      <c r="F113" s="33">
        <v>86</v>
      </c>
      <c r="G113" s="10">
        <f t="shared" si="14"/>
        <v>0.58904109589041098</v>
      </c>
    </row>
    <row r="114" spans="5:7" x14ac:dyDescent="0.25">
      <c r="E114" s="10">
        <f t="shared" ca="1" si="15"/>
        <v>1.0017018687400938</v>
      </c>
      <c r="F114" s="33">
        <v>87</v>
      </c>
      <c r="G114" s="10">
        <f t="shared" si="14"/>
        <v>0.59183673469387754</v>
      </c>
    </row>
    <row r="115" spans="5:7" x14ac:dyDescent="0.25">
      <c r="E115" s="10">
        <f t="shared" ca="1" si="15"/>
        <v>1.0132156833233135</v>
      </c>
      <c r="F115" s="33">
        <v>88</v>
      </c>
      <c r="G115" s="10">
        <f t="shared" si="14"/>
        <v>0.59459459459459463</v>
      </c>
    </row>
    <row r="116" spans="5:7" x14ac:dyDescent="0.25">
      <c r="E116" s="10">
        <f t="shared" ca="1" si="15"/>
        <v>1.0247294979065329</v>
      </c>
      <c r="F116" s="33">
        <v>89</v>
      </c>
      <c r="G116" s="10">
        <f t="shared" si="14"/>
        <v>0.59731543624161076</v>
      </c>
    </row>
    <row r="117" spans="5:7" x14ac:dyDescent="0.25">
      <c r="E117" s="10">
        <f t="shared" ca="1" si="15"/>
        <v>1.0362433124897523</v>
      </c>
      <c r="F117" s="33">
        <v>90</v>
      </c>
      <c r="G117" s="10">
        <f t="shared" si="14"/>
        <v>0.6</v>
      </c>
    </row>
    <row r="118" spans="5:7" x14ac:dyDescent="0.25">
      <c r="E118" s="10">
        <f t="shared" ca="1" si="15"/>
        <v>1.0477571270729718</v>
      </c>
      <c r="F118" s="33">
        <v>91</v>
      </c>
      <c r="G118" s="10">
        <f t="shared" si="14"/>
        <v>0.60264900662251653</v>
      </c>
    </row>
    <row r="119" spans="5:7" x14ac:dyDescent="0.25">
      <c r="E119" s="10">
        <f t="shared" ca="1" si="15"/>
        <v>1.0592709416561914</v>
      </c>
      <c r="F119" s="33">
        <v>92</v>
      </c>
      <c r="G119" s="10">
        <f t="shared" si="14"/>
        <v>0.60526315789473684</v>
      </c>
    </row>
    <row r="120" spans="5:7" x14ac:dyDescent="0.25">
      <c r="E120" s="10">
        <f t="shared" ca="1" si="15"/>
        <v>1.0707847562394108</v>
      </c>
      <c r="F120" s="33">
        <v>93</v>
      </c>
      <c r="G120" s="10">
        <f t="shared" si="14"/>
        <v>0.60784313725490191</v>
      </c>
    </row>
    <row r="121" spans="5:7" x14ac:dyDescent="0.25">
      <c r="E121" s="10">
        <f t="shared" ca="1" si="15"/>
        <v>1.0822985708226303</v>
      </c>
      <c r="F121" s="33">
        <v>94</v>
      </c>
      <c r="G121" s="10">
        <f t="shared" si="14"/>
        <v>0.61038961038961037</v>
      </c>
    </row>
    <row r="122" spans="5:7" x14ac:dyDescent="0.25">
      <c r="E122" s="10">
        <f t="shared" ca="1" si="15"/>
        <v>1.0938123854058497</v>
      </c>
      <c r="F122" s="33">
        <v>95</v>
      </c>
      <c r="G122" s="10">
        <f t="shared" si="14"/>
        <v>0.61290322580645162</v>
      </c>
    </row>
    <row r="123" spans="5:7" x14ac:dyDescent="0.25">
      <c r="E123" s="10">
        <f t="shared" ca="1" si="15"/>
        <v>1.1053261999890691</v>
      </c>
      <c r="F123" s="33">
        <v>96</v>
      </c>
      <c r="G123" s="10">
        <f t="shared" si="14"/>
        <v>0.61538461538461542</v>
      </c>
    </row>
    <row r="124" spans="5:7" x14ac:dyDescent="0.25">
      <c r="E124" s="10">
        <f t="shared" ca="1" si="15"/>
        <v>1.1168400145722885</v>
      </c>
      <c r="F124" s="33">
        <v>97</v>
      </c>
      <c r="G124" s="10">
        <f t="shared" si="14"/>
        <v>0.61783439490445857</v>
      </c>
    </row>
    <row r="125" spans="5:7" x14ac:dyDescent="0.25">
      <c r="E125" s="10">
        <f t="shared" ca="1" si="15"/>
        <v>1.128353829155508</v>
      </c>
      <c r="F125" s="33">
        <v>98</v>
      </c>
      <c r="G125" s="10">
        <f t="shared" si="14"/>
        <v>0.620253164556962</v>
      </c>
    </row>
    <row r="126" spans="5:7" x14ac:dyDescent="0.25">
      <c r="E126" s="10">
        <f t="shared" ca="1" si="15"/>
        <v>1.1398676437387276</v>
      </c>
      <c r="F126" s="33">
        <v>99</v>
      </c>
      <c r="G126" s="10">
        <f t="shared" si="14"/>
        <v>0.62264150943396224</v>
      </c>
    </row>
    <row r="127" spans="5:7" x14ac:dyDescent="0.25">
      <c r="E127" s="10">
        <f t="shared" ca="1" si="15"/>
        <v>1.151381458321947</v>
      </c>
      <c r="F127" s="33">
        <v>100</v>
      </c>
      <c r="G127" s="10">
        <f t="shared" si="14"/>
        <v>0.625</v>
      </c>
    </row>
    <row r="128" spans="5:7" x14ac:dyDescent="0.25">
      <c r="E128" s="10">
        <f t="shared" ca="1" si="15"/>
        <v>1.1628952729051665</v>
      </c>
      <c r="F128" s="33">
        <v>101</v>
      </c>
      <c r="G128" s="10">
        <f t="shared" si="14"/>
        <v>0.62732919254658381</v>
      </c>
    </row>
    <row r="129" spans="5:7" x14ac:dyDescent="0.25">
      <c r="E129" s="10">
        <f t="shared" ca="1" si="15"/>
        <v>1.1744090874883861</v>
      </c>
      <c r="F129" s="33">
        <v>102</v>
      </c>
      <c r="G129" s="10">
        <f t="shared" si="14"/>
        <v>0.62962962962962965</v>
      </c>
    </row>
    <row r="130" spans="5:7" x14ac:dyDescent="0.25">
      <c r="E130" s="10">
        <f t="shared" ca="1" si="15"/>
        <v>1.1859229020716056</v>
      </c>
      <c r="F130" s="33">
        <v>103</v>
      </c>
      <c r="G130" s="10">
        <f t="shared" si="14"/>
        <v>0.63190184049079756</v>
      </c>
    </row>
    <row r="131" spans="5:7" x14ac:dyDescent="0.25">
      <c r="E131" s="10">
        <f t="shared" ca="1" si="15"/>
        <v>1.197436716654825</v>
      </c>
      <c r="F131" s="33">
        <v>104</v>
      </c>
      <c r="G131" s="10">
        <f t="shared" si="14"/>
        <v>0.63414634146341464</v>
      </c>
    </row>
    <row r="132" spans="5:7" x14ac:dyDescent="0.25">
      <c r="E132" s="10">
        <f t="shared" ca="1" si="15"/>
        <v>1.2089505312380444</v>
      </c>
      <c r="F132" s="33">
        <v>105</v>
      </c>
      <c r="G132" s="10">
        <f t="shared" si="14"/>
        <v>0.63636363636363635</v>
      </c>
    </row>
    <row r="133" spans="5:7" x14ac:dyDescent="0.25">
      <c r="E133" s="10">
        <f t="shared" ca="1" si="15"/>
        <v>1.2204643458212638</v>
      </c>
      <c r="F133" s="33">
        <v>106</v>
      </c>
      <c r="G133" s="10">
        <f t="shared" si="14"/>
        <v>0.63855421686746983</v>
      </c>
    </row>
    <row r="134" spans="5:7" x14ac:dyDescent="0.25">
      <c r="E134" s="10">
        <f t="shared" ca="1" si="15"/>
        <v>1.2319781604044835</v>
      </c>
      <c r="F134" s="33">
        <v>107</v>
      </c>
      <c r="G134" s="10">
        <f t="shared" si="14"/>
        <v>0.64071856287425155</v>
      </c>
    </row>
    <row r="135" spans="5:7" x14ac:dyDescent="0.25">
      <c r="E135" s="10">
        <f t="shared" ca="1" si="15"/>
        <v>1.2434919749877029</v>
      </c>
      <c r="F135" s="33">
        <v>108</v>
      </c>
      <c r="G135" s="10">
        <f t="shared" si="14"/>
        <v>0.6428571428571429</v>
      </c>
    </row>
    <row r="136" spans="5:7" x14ac:dyDescent="0.25">
      <c r="E136" s="10">
        <f t="shared" ca="1" si="15"/>
        <v>1.2550057895709223</v>
      </c>
      <c r="F136" s="33">
        <v>109</v>
      </c>
      <c r="G136" s="10">
        <f t="shared" si="14"/>
        <v>0.6449704142011834</v>
      </c>
    </row>
    <row r="137" spans="5:7" x14ac:dyDescent="0.25">
      <c r="E137" s="10">
        <f t="shared" ca="1" si="15"/>
        <v>1.2665196041541418</v>
      </c>
      <c r="F137" s="33">
        <v>110</v>
      </c>
      <c r="G137" s="10">
        <f t="shared" si="14"/>
        <v>0.6470588235294118</v>
      </c>
    </row>
    <row r="138" spans="5:7" x14ac:dyDescent="0.25">
      <c r="E138" s="10">
        <f t="shared" ca="1" si="15"/>
        <v>1.2780334187373614</v>
      </c>
      <c r="F138" s="33">
        <v>111</v>
      </c>
      <c r="G138" s="10">
        <f t="shared" si="14"/>
        <v>0.64912280701754388</v>
      </c>
    </row>
    <row r="139" spans="5:7" x14ac:dyDescent="0.25">
      <c r="E139" s="10">
        <f t="shared" ca="1" si="15"/>
        <v>1.2895472333205809</v>
      </c>
      <c r="F139" s="33">
        <v>112</v>
      </c>
      <c r="G139" s="10">
        <f t="shared" si="14"/>
        <v>0.65116279069767447</v>
      </c>
    </row>
    <row r="140" spans="5:7" x14ac:dyDescent="0.25">
      <c r="E140" s="10">
        <f t="shared" ca="1" si="15"/>
        <v>1.3010610479038001</v>
      </c>
      <c r="F140" s="33">
        <v>113</v>
      </c>
      <c r="G140" s="10">
        <f t="shared" si="14"/>
        <v>0.65317919075144504</v>
      </c>
    </row>
    <row r="141" spans="5:7" x14ac:dyDescent="0.25">
      <c r="E141" s="10">
        <f t="shared" ca="1" si="15"/>
        <v>1.3125748624870195</v>
      </c>
      <c r="F141" s="33">
        <v>114</v>
      </c>
      <c r="G141" s="10">
        <f t="shared" si="14"/>
        <v>0.65517241379310343</v>
      </c>
    </row>
    <row r="142" spans="5:7" x14ac:dyDescent="0.25">
      <c r="E142" s="10">
        <f t="shared" ca="1" si="15"/>
        <v>1.3240886770702389</v>
      </c>
      <c r="F142" s="33">
        <v>115</v>
      </c>
      <c r="G142" s="10">
        <f t="shared" si="14"/>
        <v>0.65714285714285714</v>
      </c>
    </row>
    <row r="143" spans="5:7" x14ac:dyDescent="0.25">
      <c r="E143" s="10">
        <f t="shared" ca="1" si="15"/>
        <v>1.3356024916534586</v>
      </c>
      <c r="F143" s="33">
        <v>116</v>
      </c>
      <c r="G143" s="10">
        <f t="shared" si="14"/>
        <v>0.65909090909090906</v>
      </c>
    </row>
    <row r="144" spans="5:7" x14ac:dyDescent="0.25">
      <c r="E144" s="10">
        <f t="shared" ca="1" si="15"/>
        <v>1.347116306236678</v>
      </c>
      <c r="F144" s="33">
        <v>117</v>
      </c>
      <c r="G144" s="10">
        <f t="shared" si="14"/>
        <v>0.66101694915254239</v>
      </c>
    </row>
    <row r="145" spans="5:7" x14ac:dyDescent="0.25">
      <c r="E145" s="10">
        <f t="shared" ca="1" si="15"/>
        <v>1.3586301208198974</v>
      </c>
      <c r="F145" s="33">
        <v>118</v>
      </c>
      <c r="G145" s="10">
        <f t="shared" si="14"/>
        <v>0.6629213483146067</v>
      </c>
    </row>
    <row r="146" spans="5:7" x14ac:dyDescent="0.25">
      <c r="E146" s="10">
        <f t="shared" ca="1" si="15"/>
        <v>1.3701439354031169</v>
      </c>
      <c r="F146" s="33">
        <v>119</v>
      </c>
      <c r="G146" s="10">
        <f t="shared" si="14"/>
        <v>0.66480446927374304</v>
      </c>
    </row>
    <row r="147" spans="5:7" x14ac:dyDescent="0.25">
      <c r="E147" s="10">
        <f t="shared" ca="1" si="15"/>
        <v>1.3816577499863363</v>
      </c>
      <c r="F147" s="33">
        <v>120</v>
      </c>
      <c r="G147" s="10">
        <f t="shared" si="14"/>
        <v>0.66666666666666663</v>
      </c>
    </row>
    <row r="148" spans="5:7" x14ac:dyDescent="0.25">
      <c r="E148" s="10">
        <f t="shared" ca="1" si="15"/>
        <v>1.3931715645695559</v>
      </c>
      <c r="F148" s="33">
        <v>121</v>
      </c>
      <c r="G148" s="10">
        <f t="shared" si="14"/>
        <v>0.66850828729281764</v>
      </c>
    </row>
    <row r="149" spans="5:7" x14ac:dyDescent="0.25">
      <c r="E149" s="10">
        <f t="shared" ca="1" si="15"/>
        <v>1.4046853791527754</v>
      </c>
      <c r="F149" s="33">
        <v>122</v>
      </c>
      <c r="G149" s="10">
        <f t="shared" si="14"/>
        <v>0.67032967032967028</v>
      </c>
    </row>
    <row r="150" spans="5:7" x14ac:dyDescent="0.25">
      <c r="E150" s="10">
        <f t="shared" ca="1" si="15"/>
        <v>1.4161991937359948</v>
      </c>
      <c r="F150" s="33">
        <v>123</v>
      </c>
      <c r="G150" s="10">
        <f t="shared" si="14"/>
        <v>0.67213114754098358</v>
      </c>
    </row>
    <row r="151" spans="5:7" x14ac:dyDescent="0.25">
      <c r="E151" s="10">
        <f t="shared" ca="1" si="15"/>
        <v>1.4277130083192144</v>
      </c>
      <c r="F151" s="33">
        <v>124</v>
      </c>
      <c r="G151" s="10">
        <f t="shared" si="14"/>
        <v>0.67391304347826086</v>
      </c>
    </row>
    <row r="152" spans="5:7" x14ac:dyDescent="0.25">
      <c r="E152" s="10">
        <f t="shared" ca="1" si="15"/>
        <v>1.4392268229024339</v>
      </c>
      <c r="F152" s="33">
        <v>125</v>
      </c>
      <c r="G152" s="10">
        <f t="shared" si="14"/>
        <v>0.67567567567567566</v>
      </c>
    </row>
    <row r="153" spans="5:7" x14ac:dyDescent="0.25">
      <c r="E153" s="10">
        <f t="shared" ca="1" si="15"/>
        <v>1.4507406374856533</v>
      </c>
      <c r="F153" s="33">
        <v>126</v>
      </c>
      <c r="G153" s="10">
        <f t="shared" si="14"/>
        <v>0.67741935483870963</v>
      </c>
    </row>
    <row r="154" spans="5:7" x14ac:dyDescent="0.25">
      <c r="E154" s="10">
        <f t="shared" ca="1" si="15"/>
        <v>1.4622544520688727</v>
      </c>
      <c r="F154" s="33">
        <v>127</v>
      </c>
      <c r="G154" s="10">
        <f t="shared" si="14"/>
        <v>0.67914438502673802</v>
      </c>
    </row>
    <row r="155" spans="5:7" x14ac:dyDescent="0.25">
      <c r="E155" s="10">
        <f t="shared" ca="1" si="15"/>
        <v>1.4737682666520922</v>
      </c>
      <c r="F155" s="33">
        <v>128</v>
      </c>
      <c r="G155" s="10">
        <f t="shared" si="14"/>
        <v>0.68085106382978722</v>
      </c>
    </row>
    <row r="156" spans="5:7" x14ac:dyDescent="0.25">
      <c r="E156" s="10">
        <f t="shared" ca="1" si="15"/>
        <v>1.4852820812353118</v>
      </c>
      <c r="F156" s="33">
        <v>129</v>
      </c>
      <c r="G156" s="10">
        <f t="shared" si="14"/>
        <v>0.68253968253968256</v>
      </c>
    </row>
    <row r="157" spans="5:7" x14ac:dyDescent="0.25">
      <c r="E157" s="10">
        <f t="shared" ca="1" si="15"/>
        <v>1.4967958958185312</v>
      </c>
      <c r="F157" s="33">
        <v>130</v>
      </c>
      <c r="G157" s="10">
        <f t="shared" ref="G157:G220" si="16">F157/(F157+60)</f>
        <v>0.68421052631578949</v>
      </c>
    </row>
    <row r="158" spans="5:7" x14ac:dyDescent="0.25">
      <c r="E158" s="10">
        <f t="shared" ca="1" si="15"/>
        <v>1.5083097104017507</v>
      </c>
      <c r="F158" s="33">
        <v>131</v>
      </c>
      <c r="G158" s="10">
        <f t="shared" si="16"/>
        <v>0.68586387434554974</v>
      </c>
    </row>
    <row r="159" spans="5:7" x14ac:dyDescent="0.25">
      <c r="E159" s="10">
        <f t="shared" ca="1" si="15"/>
        <v>1.5198235249849703</v>
      </c>
      <c r="F159" s="33">
        <v>132</v>
      </c>
      <c r="G159" s="10">
        <f t="shared" si="16"/>
        <v>0.6875</v>
      </c>
    </row>
    <row r="160" spans="5:7" x14ac:dyDescent="0.25">
      <c r="E160" s="10">
        <f t="shared" ca="1" si="15"/>
        <v>1.5313373395681897</v>
      </c>
      <c r="F160" s="33">
        <v>133</v>
      </c>
      <c r="G160" s="10">
        <f t="shared" si="16"/>
        <v>0.68911917098445596</v>
      </c>
    </row>
    <row r="161" spans="5:7" x14ac:dyDescent="0.25">
      <c r="E161" s="10">
        <f t="shared" ca="1" si="15"/>
        <v>1.5428511541514092</v>
      </c>
      <c r="F161" s="33">
        <v>134</v>
      </c>
      <c r="G161" s="10">
        <f t="shared" si="16"/>
        <v>0.69072164948453607</v>
      </c>
    </row>
    <row r="162" spans="5:7" x14ac:dyDescent="0.25">
      <c r="E162" s="10">
        <f t="shared" ca="1" si="15"/>
        <v>1.5543649687346286</v>
      </c>
      <c r="F162" s="33">
        <v>135</v>
      </c>
      <c r="G162" s="10">
        <f t="shared" si="16"/>
        <v>0.69230769230769229</v>
      </c>
    </row>
    <row r="163" spans="5:7" x14ac:dyDescent="0.25">
      <c r="E163" s="10">
        <f t="shared" ca="1" si="15"/>
        <v>1.565878783317848</v>
      </c>
      <c r="F163" s="33">
        <v>136</v>
      </c>
      <c r="G163" s="10">
        <f t="shared" si="16"/>
        <v>0.69387755102040816</v>
      </c>
    </row>
    <row r="164" spans="5:7" x14ac:dyDescent="0.25">
      <c r="E164" s="10">
        <f t="shared" ca="1" si="15"/>
        <v>1.5773925979010675</v>
      </c>
      <c r="F164" s="33">
        <v>137</v>
      </c>
      <c r="G164" s="10">
        <f t="shared" si="16"/>
        <v>0.69543147208121825</v>
      </c>
    </row>
    <row r="165" spans="5:7" x14ac:dyDescent="0.25">
      <c r="E165" s="10">
        <f t="shared" ca="1" si="15"/>
        <v>1.5889064124842869</v>
      </c>
      <c r="F165" s="33">
        <v>138</v>
      </c>
      <c r="G165" s="10">
        <f t="shared" si="16"/>
        <v>0.69696969696969702</v>
      </c>
    </row>
    <row r="166" spans="5:7" x14ac:dyDescent="0.25">
      <c r="E166" s="10">
        <f t="shared" ca="1" si="15"/>
        <v>1.6004202270675063</v>
      </c>
      <c r="F166" s="33">
        <v>139</v>
      </c>
      <c r="G166" s="10">
        <f t="shared" si="16"/>
        <v>0.69849246231155782</v>
      </c>
    </row>
    <row r="167" spans="5:7" x14ac:dyDescent="0.25">
      <c r="E167" s="10">
        <f t="shared" ref="E167:E230" ca="1" si="17">1-($G$6-(F167/100))/$G$6</f>
        <v>1.6119340416507257</v>
      </c>
      <c r="F167" s="33">
        <v>140</v>
      </c>
      <c r="G167" s="10">
        <f t="shared" si="16"/>
        <v>0.7</v>
      </c>
    </row>
    <row r="168" spans="5:7" x14ac:dyDescent="0.25">
      <c r="E168" s="10">
        <f t="shared" ca="1" si="17"/>
        <v>1.6234478562339452</v>
      </c>
      <c r="F168" s="33">
        <v>141</v>
      </c>
      <c r="G168" s="10">
        <f t="shared" si="16"/>
        <v>0.70149253731343286</v>
      </c>
    </row>
    <row r="169" spans="5:7" x14ac:dyDescent="0.25">
      <c r="E169" s="10">
        <f t="shared" ca="1" si="17"/>
        <v>1.6349616708171646</v>
      </c>
      <c r="F169" s="33">
        <v>142</v>
      </c>
      <c r="G169" s="10">
        <f t="shared" si="16"/>
        <v>0.70297029702970293</v>
      </c>
    </row>
    <row r="170" spans="5:7" x14ac:dyDescent="0.25">
      <c r="E170" s="10">
        <f t="shared" ca="1" si="17"/>
        <v>1.6464754854003842</v>
      </c>
      <c r="F170" s="33">
        <v>143</v>
      </c>
      <c r="G170" s="10">
        <f t="shared" si="16"/>
        <v>0.70443349753694584</v>
      </c>
    </row>
    <row r="171" spans="5:7" x14ac:dyDescent="0.25">
      <c r="E171" s="10">
        <f t="shared" ca="1" si="17"/>
        <v>1.6579892999836037</v>
      </c>
      <c r="F171" s="33">
        <v>144</v>
      </c>
      <c r="G171" s="10">
        <f t="shared" si="16"/>
        <v>0.70588235294117652</v>
      </c>
    </row>
    <row r="172" spans="5:7" x14ac:dyDescent="0.25">
      <c r="E172" s="10">
        <f t="shared" ca="1" si="17"/>
        <v>1.6695031145668233</v>
      </c>
      <c r="F172" s="33">
        <v>145</v>
      </c>
      <c r="G172" s="10">
        <f t="shared" si="16"/>
        <v>0.70731707317073167</v>
      </c>
    </row>
    <row r="173" spans="5:7" x14ac:dyDescent="0.25">
      <c r="E173" s="10">
        <f t="shared" ca="1" si="17"/>
        <v>1.6810169291500427</v>
      </c>
      <c r="F173" s="33">
        <v>146</v>
      </c>
      <c r="G173" s="10">
        <f t="shared" si="16"/>
        <v>0.70873786407766992</v>
      </c>
    </row>
    <row r="174" spans="5:7" x14ac:dyDescent="0.25">
      <c r="E174" s="10">
        <f t="shared" ca="1" si="17"/>
        <v>1.6925307437332622</v>
      </c>
      <c r="F174" s="33">
        <v>147</v>
      </c>
      <c r="G174" s="10">
        <f t="shared" si="16"/>
        <v>0.71014492753623193</v>
      </c>
    </row>
    <row r="175" spans="5:7" x14ac:dyDescent="0.25">
      <c r="E175" s="10">
        <f t="shared" ca="1" si="17"/>
        <v>1.7040445583164816</v>
      </c>
      <c r="F175" s="33">
        <v>148</v>
      </c>
      <c r="G175" s="10">
        <f t="shared" si="16"/>
        <v>0.71153846153846156</v>
      </c>
    </row>
    <row r="176" spans="5:7" x14ac:dyDescent="0.25">
      <c r="E176" s="10">
        <f t="shared" ca="1" si="17"/>
        <v>1.715558372899701</v>
      </c>
      <c r="F176" s="33">
        <v>149</v>
      </c>
      <c r="G176" s="10">
        <f t="shared" si="16"/>
        <v>0.71291866028708128</v>
      </c>
    </row>
    <row r="177" spans="5:7" x14ac:dyDescent="0.25">
      <c r="E177" s="10">
        <f t="shared" ca="1" si="17"/>
        <v>1.7270721874829205</v>
      </c>
      <c r="F177" s="33">
        <v>150</v>
      </c>
      <c r="G177" s="10">
        <f t="shared" si="16"/>
        <v>0.7142857142857143</v>
      </c>
    </row>
    <row r="178" spans="5:7" x14ac:dyDescent="0.25">
      <c r="E178" s="10">
        <f t="shared" ca="1" si="17"/>
        <v>1.7385860020661399</v>
      </c>
      <c r="F178" s="33">
        <v>151</v>
      </c>
      <c r="G178" s="10">
        <f t="shared" si="16"/>
        <v>0.71563981042654023</v>
      </c>
    </row>
    <row r="179" spans="5:7" x14ac:dyDescent="0.25">
      <c r="E179" s="10">
        <f t="shared" ca="1" si="17"/>
        <v>1.7500998166493595</v>
      </c>
      <c r="F179" s="33">
        <v>152</v>
      </c>
      <c r="G179" s="10">
        <f t="shared" si="16"/>
        <v>0.71698113207547165</v>
      </c>
    </row>
    <row r="180" spans="5:7" x14ac:dyDescent="0.25">
      <c r="E180" s="10">
        <f t="shared" ca="1" si="17"/>
        <v>1.761613631232579</v>
      </c>
      <c r="F180" s="33">
        <v>153</v>
      </c>
      <c r="G180" s="10">
        <f t="shared" si="16"/>
        <v>0.71830985915492962</v>
      </c>
    </row>
    <row r="181" spans="5:7" x14ac:dyDescent="0.25">
      <c r="E181" s="10">
        <f t="shared" ca="1" si="17"/>
        <v>1.7731274458157986</v>
      </c>
      <c r="F181" s="33">
        <v>154</v>
      </c>
      <c r="G181" s="10">
        <f t="shared" si="16"/>
        <v>0.71962616822429903</v>
      </c>
    </row>
    <row r="182" spans="5:7" x14ac:dyDescent="0.25">
      <c r="E182" s="10">
        <f t="shared" ca="1" si="17"/>
        <v>1.784641260399018</v>
      </c>
      <c r="F182" s="33">
        <v>155</v>
      </c>
      <c r="G182" s="10">
        <f t="shared" si="16"/>
        <v>0.72093023255813948</v>
      </c>
    </row>
    <row r="183" spans="5:7" x14ac:dyDescent="0.25">
      <c r="E183" s="10">
        <f t="shared" ca="1" si="17"/>
        <v>1.7961550749822375</v>
      </c>
      <c r="F183" s="33">
        <v>156</v>
      </c>
      <c r="G183" s="10">
        <f t="shared" si="16"/>
        <v>0.72222222222222221</v>
      </c>
    </row>
    <row r="184" spans="5:7" x14ac:dyDescent="0.25">
      <c r="E184" s="10">
        <f t="shared" ca="1" si="17"/>
        <v>1.8076688895654569</v>
      </c>
      <c r="F184" s="33">
        <v>157</v>
      </c>
      <c r="G184" s="10">
        <f t="shared" si="16"/>
        <v>0.72350230414746541</v>
      </c>
    </row>
    <row r="185" spans="5:7" x14ac:dyDescent="0.25">
      <c r="E185" s="10">
        <f t="shared" ca="1" si="17"/>
        <v>1.8191827041486763</v>
      </c>
      <c r="F185" s="33">
        <v>158</v>
      </c>
      <c r="G185" s="10">
        <f t="shared" si="16"/>
        <v>0.72477064220183485</v>
      </c>
    </row>
    <row r="186" spans="5:7" x14ac:dyDescent="0.25">
      <c r="E186" s="10">
        <f t="shared" ca="1" si="17"/>
        <v>1.8306965187318958</v>
      </c>
      <c r="F186" s="33">
        <v>159</v>
      </c>
      <c r="G186" s="10">
        <f t="shared" si="16"/>
        <v>0.72602739726027399</v>
      </c>
    </row>
    <row r="187" spans="5:7" x14ac:dyDescent="0.25">
      <c r="E187" s="10">
        <f t="shared" ca="1" si="17"/>
        <v>1.8422103333151154</v>
      </c>
      <c r="F187" s="33">
        <v>160</v>
      </c>
      <c r="G187" s="10">
        <f t="shared" si="16"/>
        <v>0.72727272727272729</v>
      </c>
    </row>
    <row r="188" spans="5:7" x14ac:dyDescent="0.25">
      <c r="E188" s="10">
        <f t="shared" ca="1" si="17"/>
        <v>1.8537241478983348</v>
      </c>
      <c r="F188" s="33">
        <v>161</v>
      </c>
      <c r="G188" s="10">
        <f t="shared" si="16"/>
        <v>0.72850678733031671</v>
      </c>
    </row>
    <row r="189" spans="5:7" x14ac:dyDescent="0.25">
      <c r="E189" s="10">
        <f t="shared" ca="1" si="17"/>
        <v>1.8652379624815545</v>
      </c>
      <c r="F189" s="33">
        <v>162</v>
      </c>
      <c r="G189" s="10">
        <f t="shared" si="16"/>
        <v>0.72972972972972971</v>
      </c>
    </row>
    <row r="190" spans="5:7" x14ac:dyDescent="0.25">
      <c r="E190" s="10">
        <f t="shared" ca="1" si="17"/>
        <v>1.8767517770647735</v>
      </c>
      <c r="F190" s="33">
        <v>163</v>
      </c>
      <c r="G190" s="10">
        <f t="shared" si="16"/>
        <v>0.73094170403587444</v>
      </c>
    </row>
    <row r="191" spans="5:7" x14ac:dyDescent="0.25">
      <c r="E191" s="10">
        <f t="shared" ca="1" si="17"/>
        <v>1.8882655916479929</v>
      </c>
      <c r="F191" s="33">
        <v>164</v>
      </c>
      <c r="G191" s="10">
        <f t="shared" si="16"/>
        <v>0.7321428571428571</v>
      </c>
    </row>
    <row r="192" spans="5:7" x14ac:dyDescent="0.25">
      <c r="E192" s="10">
        <f t="shared" ca="1" si="17"/>
        <v>1.8997794062312126</v>
      </c>
      <c r="F192" s="33">
        <v>165</v>
      </c>
      <c r="G192" s="10">
        <f t="shared" si="16"/>
        <v>0.73333333333333328</v>
      </c>
    </row>
    <row r="193" spans="5:7" x14ac:dyDescent="0.25">
      <c r="E193" s="10">
        <f t="shared" ca="1" si="17"/>
        <v>1.911293220814432</v>
      </c>
      <c r="F193" s="33">
        <v>166</v>
      </c>
      <c r="G193" s="10">
        <f t="shared" si="16"/>
        <v>0.73451327433628322</v>
      </c>
    </row>
    <row r="194" spans="5:7" x14ac:dyDescent="0.25">
      <c r="E194" s="10">
        <f t="shared" ca="1" si="17"/>
        <v>1.9228070353976516</v>
      </c>
      <c r="F194" s="33">
        <v>167</v>
      </c>
      <c r="G194" s="10">
        <f t="shared" si="16"/>
        <v>0.73568281938325997</v>
      </c>
    </row>
    <row r="195" spans="5:7" x14ac:dyDescent="0.25">
      <c r="E195" s="10">
        <f t="shared" ca="1" si="17"/>
        <v>1.9343208499808711</v>
      </c>
      <c r="F195" s="33">
        <v>168</v>
      </c>
      <c r="G195" s="10">
        <f t="shared" si="16"/>
        <v>0.73684210526315785</v>
      </c>
    </row>
    <row r="196" spans="5:7" x14ac:dyDescent="0.25">
      <c r="E196" s="10">
        <f t="shared" ca="1" si="17"/>
        <v>1.9458346645640905</v>
      </c>
      <c r="F196" s="33">
        <v>169</v>
      </c>
      <c r="G196" s="10">
        <f t="shared" si="16"/>
        <v>0.73799126637554591</v>
      </c>
    </row>
    <row r="197" spans="5:7" x14ac:dyDescent="0.25">
      <c r="E197" s="10">
        <f t="shared" ca="1" si="17"/>
        <v>1.9573484791473099</v>
      </c>
      <c r="F197" s="33">
        <v>170</v>
      </c>
      <c r="G197" s="10">
        <f t="shared" si="16"/>
        <v>0.73913043478260865</v>
      </c>
    </row>
    <row r="198" spans="5:7" x14ac:dyDescent="0.25">
      <c r="E198" s="10">
        <f t="shared" ca="1" si="17"/>
        <v>1.9688622937305293</v>
      </c>
      <c r="F198" s="33">
        <v>171</v>
      </c>
      <c r="G198" s="10">
        <f t="shared" si="16"/>
        <v>0.74025974025974028</v>
      </c>
    </row>
    <row r="199" spans="5:7" x14ac:dyDescent="0.25">
      <c r="E199" s="10">
        <f t="shared" ca="1" si="17"/>
        <v>1.9803761083137488</v>
      </c>
      <c r="F199" s="33">
        <v>172</v>
      </c>
      <c r="G199" s="10">
        <f t="shared" si="16"/>
        <v>0.74137931034482762</v>
      </c>
    </row>
    <row r="200" spans="5:7" x14ac:dyDescent="0.25">
      <c r="E200" s="10">
        <f t="shared" ca="1" si="17"/>
        <v>1.9918899228969684</v>
      </c>
      <c r="F200" s="33">
        <v>173</v>
      </c>
      <c r="G200" s="10">
        <f t="shared" si="16"/>
        <v>0.74248927038626611</v>
      </c>
    </row>
    <row r="201" spans="5:7" x14ac:dyDescent="0.25">
      <c r="E201" s="10">
        <f t="shared" ca="1" si="17"/>
        <v>2.0034037374801876</v>
      </c>
      <c r="F201" s="33">
        <v>174</v>
      </c>
      <c r="G201" s="10">
        <f t="shared" si="16"/>
        <v>0.74358974358974361</v>
      </c>
    </row>
    <row r="202" spans="5:7" x14ac:dyDescent="0.25">
      <c r="E202" s="10">
        <f t="shared" ca="1" si="17"/>
        <v>2.0149175520634071</v>
      </c>
      <c r="F202" s="33">
        <v>175</v>
      </c>
      <c r="G202" s="10">
        <f t="shared" si="16"/>
        <v>0.74468085106382975</v>
      </c>
    </row>
    <row r="203" spans="5:7" x14ac:dyDescent="0.25">
      <c r="E203" s="10">
        <f t="shared" ca="1" si="17"/>
        <v>2.0264313666466265</v>
      </c>
      <c r="F203" s="33">
        <v>176</v>
      </c>
      <c r="G203" s="10">
        <f t="shared" si="16"/>
        <v>0.74576271186440679</v>
      </c>
    </row>
    <row r="204" spans="5:7" x14ac:dyDescent="0.25">
      <c r="E204" s="10">
        <f t="shared" ca="1" si="17"/>
        <v>2.0379451812298464</v>
      </c>
      <c r="F204" s="33">
        <v>177</v>
      </c>
      <c r="G204" s="10">
        <f t="shared" si="16"/>
        <v>0.74683544303797467</v>
      </c>
    </row>
    <row r="205" spans="5:7" x14ac:dyDescent="0.25">
      <c r="E205" s="10">
        <f t="shared" ca="1" si="17"/>
        <v>2.0494589958130658</v>
      </c>
      <c r="F205" s="33">
        <v>178</v>
      </c>
      <c r="G205" s="10">
        <f t="shared" si="16"/>
        <v>0.74789915966386555</v>
      </c>
    </row>
    <row r="206" spans="5:7" x14ac:dyDescent="0.25">
      <c r="E206" s="10">
        <f t="shared" ca="1" si="17"/>
        <v>2.0609728103962852</v>
      </c>
      <c r="F206" s="33">
        <v>179</v>
      </c>
      <c r="G206" s="10">
        <f t="shared" si="16"/>
        <v>0.7489539748953975</v>
      </c>
    </row>
    <row r="207" spans="5:7" x14ac:dyDescent="0.25">
      <c r="E207" s="10">
        <f t="shared" ca="1" si="17"/>
        <v>2.0724866249795046</v>
      </c>
      <c r="F207" s="33">
        <v>180</v>
      </c>
      <c r="G207" s="10">
        <f t="shared" si="16"/>
        <v>0.75</v>
      </c>
    </row>
    <row r="208" spans="5:7" x14ac:dyDescent="0.25">
      <c r="E208" s="10">
        <f t="shared" ca="1" si="17"/>
        <v>2.0840004395627245</v>
      </c>
      <c r="F208" s="33">
        <v>181</v>
      </c>
      <c r="G208" s="10">
        <f t="shared" si="16"/>
        <v>0.75103734439834025</v>
      </c>
    </row>
    <row r="209" spans="5:7" x14ac:dyDescent="0.25">
      <c r="E209" s="10">
        <f t="shared" ca="1" si="17"/>
        <v>2.0955142541459439</v>
      </c>
      <c r="F209" s="33">
        <v>182</v>
      </c>
      <c r="G209" s="10">
        <f t="shared" si="16"/>
        <v>0.75206611570247939</v>
      </c>
    </row>
    <row r="210" spans="5:7" x14ac:dyDescent="0.25">
      <c r="E210" s="10">
        <f t="shared" ca="1" si="17"/>
        <v>2.1070280687291634</v>
      </c>
      <c r="F210" s="33">
        <v>183</v>
      </c>
      <c r="G210" s="10">
        <f t="shared" si="16"/>
        <v>0.75308641975308643</v>
      </c>
    </row>
    <row r="211" spans="5:7" x14ac:dyDescent="0.25">
      <c r="E211" s="10">
        <f t="shared" ca="1" si="17"/>
        <v>2.1185418833123828</v>
      </c>
      <c r="F211" s="33">
        <v>184</v>
      </c>
      <c r="G211" s="10">
        <f t="shared" si="16"/>
        <v>0.75409836065573765</v>
      </c>
    </row>
    <row r="212" spans="5:7" x14ac:dyDescent="0.25">
      <c r="E212" s="10">
        <f t="shared" ca="1" si="17"/>
        <v>2.1300556978956022</v>
      </c>
      <c r="F212" s="33">
        <v>185</v>
      </c>
      <c r="G212" s="10">
        <f t="shared" si="16"/>
        <v>0.75510204081632648</v>
      </c>
    </row>
    <row r="213" spans="5:7" x14ac:dyDescent="0.25">
      <c r="E213" s="10">
        <f t="shared" ca="1" si="17"/>
        <v>2.1415695124788217</v>
      </c>
      <c r="F213" s="33">
        <v>186</v>
      </c>
      <c r="G213" s="10">
        <f t="shared" si="16"/>
        <v>0.75609756097560976</v>
      </c>
    </row>
    <row r="214" spans="5:7" x14ac:dyDescent="0.25">
      <c r="E214" s="10">
        <f t="shared" ca="1" si="17"/>
        <v>2.1530833270620411</v>
      </c>
      <c r="F214" s="33">
        <v>187</v>
      </c>
      <c r="G214" s="10">
        <f t="shared" si="16"/>
        <v>0.75708502024291502</v>
      </c>
    </row>
    <row r="215" spans="5:7" x14ac:dyDescent="0.25">
      <c r="E215" s="10">
        <f t="shared" ca="1" si="17"/>
        <v>2.1645971416452605</v>
      </c>
      <c r="F215" s="33">
        <v>188</v>
      </c>
      <c r="G215" s="10">
        <f t="shared" si="16"/>
        <v>0.75806451612903225</v>
      </c>
    </row>
    <row r="216" spans="5:7" x14ac:dyDescent="0.25">
      <c r="E216" s="10">
        <f t="shared" ca="1" si="17"/>
        <v>2.1761109562284799</v>
      </c>
      <c r="F216" s="33">
        <v>189</v>
      </c>
      <c r="G216" s="10">
        <f t="shared" si="16"/>
        <v>0.75903614457831325</v>
      </c>
    </row>
    <row r="217" spans="5:7" x14ac:dyDescent="0.25">
      <c r="E217" s="10">
        <f t="shared" ca="1" si="17"/>
        <v>2.1876247708116994</v>
      </c>
      <c r="F217" s="33">
        <v>190</v>
      </c>
      <c r="G217" s="10">
        <f t="shared" si="16"/>
        <v>0.76</v>
      </c>
    </row>
    <row r="218" spans="5:7" x14ac:dyDescent="0.25">
      <c r="E218" s="10">
        <f t="shared" ca="1" si="17"/>
        <v>2.1991385853949188</v>
      </c>
      <c r="F218" s="33">
        <v>191</v>
      </c>
      <c r="G218" s="10">
        <f t="shared" si="16"/>
        <v>0.76095617529880477</v>
      </c>
    </row>
    <row r="219" spans="5:7" x14ac:dyDescent="0.25">
      <c r="E219" s="10">
        <f t="shared" ca="1" si="17"/>
        <v>2.2106523999781382</v>
      </c>
      <c r="F219" s="33">
        <v>192</v>
      </c>
      <c r="G219" s="10">
        <f t="shared" si="16"/>
        <v>0.76190476190476186</v>
      </c>
    </row>
    <row r="220" spans="5:7" x14ac:dyDescent="0.25">
      <c r="E220" s="10">
        <f t="shared" ca="1" si="17"/>
        <v>2.2221662145613577</v>
      </c>
      <c r="F220" s="33">
        <v>193</v>
      </c>
      <c r="G220" s="10">
        <f t="shared" si="16"/>
        <v>0.76284584980237158</v>
      </c>
    </row>
    <row r="221" spans="5:7" x14ac:dyDescent="0.25">
      <c r="E221" s="10">
        <f t="shared" ca="1" si="17"/>
        <v>2.2336800291445771</v>
      </c>
      <c r="F221" s="33">
        <v>194</v>
      </c>
      <c r="G221" s="10">
        <f t="shared" ref="G221:G284" si="18">F221/(F221+60)</f>
        <v>0.76377952755905509</v>
      </c>
    </row>
    <row r="222" spans="5:7" x14ac:dyDescent="0.25">
      <c r="E222" s="10">
        <f t="shared" ca="1" si="17"/>
        <v>2.2451938437277965</v>
      </c>
      <c r="F222" s="33">
        <v>195</v>
      </c>
      <c r="G222" s="10">
        <f t="shared" si="18"/>
        <v>0.76470588235294112</v>
      </c>
    </row>
    <row r="223" spans="5:7" x14ac:dyDescent="0.25">
      <c r="E223" s="10">
        <f t="shared" ca="1" si="17"/>
        <v>2.2567076583110164</v>
      </c>
      <c r="F223" s="33">
        <v>196</v>
      </c>
      <c r="G223" s="10">
        <f t="shared" si="18"/>
        <v>0.765625</v>
      </c>
    </row>
    <row r="224" spans="5:7" x14ac:dyDescent="0.25">
      <c r="E224" s="10">
        <f t="shared" ca="1" si="17"/>
        <v>2.2682214728942354</v>
      </c>
      <c r="F224" s="33">
        <v>197</v>
      </c>
      <c r="G224" s="10">
        <f t="shared" si="18"/>
        <v>0.7665369649805448</v>
      </c>
    </row>
    <row r="225" spans="5:7" x14ac:dyDescent="0.25">
      <c r="E225" s="10">
        <f t="shared" ca="1" si="17"/>
        <v>2.2797352874774552</v>
      </c>
      <c r="F225" s="33">
        <v>198</v>
      </c>
      <c r="G225" s="10">
        <f t="shared" si="18"/>
        <v>0.76744186046511631</v>
      </c>
    </row>
    <row r="226" spans="5:7" x14ac:dyDescent="0.25">
      <c r="E226" s="10">
        <f t="shared" ca="1" si="17"/>
        <v>2.2912491020606742</v>
      </c>
      <c r="F226" s="33">
        <v>199</v>
      </c>
      <c r="G226" s="10">
        <f t="shared" si="18"/>
        <v>0.76833976833976836</v>
      </c>
    </row>
    <row r="227" spans="5:7" x14ac:dyDescent="0.25">
      <c r="E227" s="10">
        <f t="shared" ca="1" si="17"/>
        <v>2.3027629166438945</v>
      </c>
      <c r="F227" s="33">
        <v>200</v>
      </c>
      <c r="G227" s="10">
        <f t="shared" si="18"/>
        <v>0.76923076923076927</v>
      </c>
    </row>
    <row r="228" spans="5:7" x14ac:dyDescent="0.25">
      <c r="E228" s="10">
        <f t="shared" ca="1" si="17"/>
        <v>2.3142767312271135</v>
      </c>
      <c r="F228" s="33">
        <v>201</v>
      </c>
      <c r="G228" s="10">
        <f t="shared" si="18"/>
        <v>0.77011494252873558</v>
      </c>
    </row>
    <row r="229" spans="5:7" x14ac:dyDescent="0.25">
      <c r="E229" s="10">
        <f t="shared" ca="1" si="17"/>
        <v>2.3257905458103334</v>
      </c>
      <c r="F229" s="33">
        <v>202</v>
      </c>
      <c r="G229" s="10">
        <f t="shared" si="18"/>
        <v>0.77099236641221369</v>
      </c>
    </row>
    <row r="230" spans="5:7" x14ac:dyDescent="0.25">
      <c r="E230" s="10">
        <f t="shared" ca="1" si="17"/>
        <v>2.3373043603935524</v>
      </c>
      <c r="F230" s="33">
        <v>203</v>
      </c>
      <c r="G230" s="10">
        <f t="shared" si="18"/>
        <v>0.77186311787072248</v>
      </c>
    </row>
    <row r="231" spans="5:7" x14ac:dyDescent="0.25">
      <c r="E231" s="10">
        <f t="shared" ref="E231:E273" ca="1" si="19">1-($G$6-(F231/100))/$G$6</f>
        <v>2.3488181749767723</v>
      </c>
      <c r="F231" s="33">
        <v>204</v>
      </c>
      <c r="G231" s="10">
        <f t="shared" si="18"/>
        <v>0.77272727272727271</v>
      </c>
    </row>
    <row r="232" spans="5:7" x14ac:dyDescent="0.25">
      <c r="E232" s="10">
        <f t="shared" ca="1" si="19"/>
        <v>2.3603319895599917</v>
      </c>
      <c r="F232" s="33">
        <v>205</v>
      </c>
      <c r="G232" s="10">
        <f t="shared" si="18"/>
        <v>0.77358490566037741</v>
      </c>
    </row>
    <row r="233" spans="5:7" x14ac:dyDescent="0.25">
      <c r="E233" s="10">
        <f t="shared" ca="1" si="19"/>
        <v>2.3718458041432111</v>
      </c>
      <c r="F233" s="33">
        <v>206</v>
      </c>
      <c r="G233" s="10">
        <f t="shared" si="18"/>
        <v>0.77443609022556392</v>
      </c>
    </row>
    <row r="234" spans="5:7" x14ac:dyDescent="0.25">
      <c r="E234" s="10">
        <f t="shared" ca="1" si="19"/>
        <v>2.3833596187264305</v>
      </c>
      <c r="F234" s="33">
        <v>207</v>
      </c>
      <c r="G234" s="10">
        <f t="shared" si="18"/>
        <v>0.7752808988764045</v>
      </c>
    </row>
    <row r="235" spans="5:7" x14ac:dyDescent="0.25">
      <c r="E235" s="10">
        <f t="shared" ca="1" si="19"/>
        <v>2.39487343330965</v>
      </c>
      <c r="F235" s="33">
        <v>208</v>
      </c>
      <c r="G235" s="10">
        <f t="shared" si="18"/>
        <v>0.77611940298507465</v>
      </c>
    </row>
    <row r="236" spans="5:7" x14ac:dyDescent="0.25">
      <c r="E236" s="10">
        <f t="shared" ca="1" si="19"/>
        <v>2.4063872478928694</v>
      </c>
      <c r="F236" s="33">
        <v>209</v>
      </c>
      <c r="G236" s="10">
        <f t="shared" si="18"/>
        <v>0.77695167286245348</v>
      </c>
    </row>
    <row r="237" spans="5:7" x14ac:dyDescent="0.25">
      <c r="E237" s="10">
        <f t="shared" ca="1" si="19"/>
        <v>2.4179010624760888</v>
      </c>
      <c r="F237" s="33">
        <v>210</v>
      </c>
      <c r="G237" s="10">
        <f t="shared" si="18"/>
        <v>0.77777777777777779</v>
      </c>
    </row>
    <row r="238" spans="5:7" x14ac:dyDescent="0.25">
      <c r="E238" s="10">
        <f t="shared" ca="1" si="19"/>
        <v>2.4294148770593083</v>
      </c>
      <c r="F238" s="33">
        <v>211</v>
      </c>
      <c r="G238" s="10">
        <f t="shared" si="18"/>
        <v>0.77859778597785978</v>
      </c>
    </row>
    <row r="239" spans="5:7" x14ac:dyDescent="0.25">
      <c r="E239" s="10">
        <f t="shared" ca="1" si="19"/>
        <v>2.4409286916425277</v>
      </c>
      <c r="F239" s="33">
        <v>212</v>
      </c>
      <c r="G239" s="10">
        <f t="shared" si="18"/>
        <v>0.77941176470588236</v>
      </c>
    </row>
    <row r="240" spans="5:7" x14ac:dyDescent="0.25">
      <c r="E240" s="10">
        <f t="shared" ca="1" si="19"/>
        <v>2.4524425062257471</v>
      </c>
      <c r="F240" s="33">
        <v>213</v>
      </c>
      <c r="G240" s="10">
        <f t="shared" si="18"/>
        <v>0.78021978021978022</v>
      </c>
    </row>
    <row r="241" spans="5:7" x14ac:dyDescent="0.25">
      <c r="E241" s="10">
        <f t="shared" ca="1" si="19"/>
        <v>2.463956320808967</v>
      </c>
      <c r="F241" s="33">
        <v>214</v>
      </c>
      <c r="G241" s="10">
        <f t="shared" si="18"/>
        <v>0.78102189781021902</v>
      </c>
    </row>
    <row r="242" spans="5:7" x14ac:dyDescent="0.25">
      <c r="E242" s="10">
        <f t="shared" ca="1" si="19"/>
        <v>2.475470135392186</v>
      </c>
      <c r="F242" s="33">
        <v>215</v>
      </c>
      <c r="G242" s="10">
        <f t="shared" si="18"/>
        <v>0.78181818181818186</v>
      </c>
    </row>
    <row r="243" spans="5:7" x14ac:dyDescent="0.25">
      <c r="E243" s="10">
        <f t="shared" ca="1" si="19"/>
        <v>2.4869839499754058</v>
      </c>
      <c r="F243" s="33">
        <v>216</v>
      </c>
      <c r="G243" s="10">
        <f t="shared" si="18"/>
        <v>0.78260869565217395</v>
      </c>
    </row>
    <row r="244" spans="5:7" x14ac:dyDescent="0.25">
      <c r="E244" s="10">
        <f t="shared" ca="1" si="19"/>
        <v>2.4984977645586248</v>
      </c>
      <c r="F244" s="33">
        <v>217</v>
      </c>
      <c r="G244" s="10">
        <f t="shared" si="18"/>
        <v>0.78339350180505418</v>
      </c>
    </row>
    <row r="245" spans="5:7" x14ac:dyDescent="0.25">
      <c r="E245" s="10">
        <f t="shared" ca="1" si="19"/>
        <v>2.5100115791418451</v>
      </c>
      <c r="F245" s="33">
        <v>218</v>
      </c>
      <c r="G245" s="10">
        <f t="shared" si="18"/>
        <v>0.78417266187050361</v>
      </c>
    </row>
    <row r="246" spans="5:7" x14ac:dyDescent="0.25">
      <c r="E246" s="10">
        <f t="shared" ca="1" si="19"/>
        <v>2.5215253937250641</v>
      </c>
      <c r="F246" s="33">
        <v>219</v>
      </c>
      <c r="G246" s="10">
        <f t="shared" si="18"/>
        <v>0.78494623655913975</v>
      </c>
    </row>
    <row r="247" spans="5:7" x14ac:dyDescent="0.25">
      <c r="E247" s="10">
        <f t="shared" ca="1" si="19"/>
        <v>2.533039208308284</v>
      </c>
      <c r="F247" s="33">
        <v>220</v>
      </c>
      <c r="G247" s="10">
        <f t="shared" si="18"/>
        <v>0.7857142857142857</v>
      </c>
    </row>
    <row r="248" spans="5:7" x14ac:dyDescent="0.25">
      <c r="E248" s="10">
        <f t="shared" ca="1" si="19"/>
        <v>2.544553022891503</v>
      </c>
      <c r="F248" s="33">
        <v>221</v>
      </c>
      <c r="G248" s="10">
        <f t="shared" si="18"/>
        <v>0.78647686832740216</v>
      </c>
    </row>
    <row r="249" spans="5:7" x14ac:dyDescent="0.25">
      <c r="E249" s="10">
        <f t="shared" ca="1" si="19"/>
        <v>2.5560668374747229</v>
      </c>
      <c r="F249" s="33">
        <v>222</v>
      </c>
      <c r="G249" s="10">
        <f t="shared" si="18"/>
        <v>0.78723404255319152</v>
      </c>
    </row>
    <row r="250" spans="5:7" x14ac:dyDescent="0.25">
      <c r="E250" s="10">
        <f t="shared" ca="1" si="19"/>
        <v>2.5675806520579423</v>
      </c>
      <c r="F250" s="33">
        <v>223</v>
      </c>
      <c r="G250" s="10">
        <f t="shared" si="18"/>
        <v>0.78798586572438167</v>
      </c>
    </row>
    <row r="251" spans="5:7" x14ac:dyDescent="0.25">
      <c r="E251" s="10">
        <f t="shared" ca="1" si="19"/>
        <v>2.5790944666411617</v>
      </c>
      <c r="F251" s="33">
        <v>224</v>
      </c>
      <c r="G251" s="10">
        <f t="shared" si="18"/>
        <v>0.78873239436619713</v>
      </c>
    </row>
    <row r="252" spans="5:7" x14ac:dyDescent="0.25">
      <c r="E252" s="10">
        <f t="shared" ca="1" si="19"/>
        <v>2.5906082812243811</v>
      </c>
      <c r="F252" s="33">
        <v>225</v>
      </c>
      <c r="G252" s="10">
        <f t="shared" si="18"/>
        <v>0.78947368421052633</v>
      </c>
    </row>
    <row r="253" spans="5:7" x14ac:dyDescent="0.25">
      <c r="E253" s="10">
        <f t="shared" ca="1" si="19"/>
        <v>2.6021220958076001</v>
      </c>
      <c r="F253" s="33">
        <v>226</v>
      </c>
      <c r="G253" s="10">
        <f t="shared" si="18"/>
        <v>0.79020979020979021</v>
      </c>
    </row>
    <row r="254" spans="5:7" x14ac:dyDescent="0.25">
      <c r="E254" s="10">
        <f t="shared" ca="1" si="19"/>
        <v>2.61363591039082</v>
      </c>
      <c r="F254" s="33">
        <v>227</v>
      </c>
      <c r="G254" s="10">
        <f t="shared" si="18"/>
        <v>0.7909407665505227</v>
      </c>
    </row>
    <row r="255" spans="5:7" x14ac:dyDescent="0.25">
      <c r="E255" s="10">
        <f t="shared" ca="1" si="19"/>
        <v>2.6251497249740394</v>
      </c>
      <c r="F255" s="33">
        <v>228</v>
      </c>
      <c r="G255" s="10">
        <f t="shared" si="18"/>
        <v>0.79166666666666663</v>
      </c>
    </row>
    <row r="256" spans="5:7" x14ac:dyDescent="0.25">
      <c r="E256" s="10">
        <f t="shared" ca="1" si="19"/>
        <v>2.6366635395572589</v>
      </c>
      <c r="F256" s="33">
        <v>229</v>
      </c>
      <c r="G256" s="10">
        <f t="shared" si="18"/>
        <v>0.79238754325259519</v>
      </c>
    </row>
    <row r="257" spans="5:7" x14ac:dyDescent="0.25">
      <c r="E257" s="10">
        <f t="shared" ca="1" si="19"/>
        <v>2.6481773541404783</v>
      </c>
      <c r="F257" s="33">
        <v>230</v>
      </c>
      <c r="G257" s="10">
        <f t="shared" si="18"/>
        <v>0.7931034482758621</v>
      </c>
    </row>
    <row r="258" spans="5:7" x14ac:dyDescent="0.25">
      <c r="E258" s="10">
        <f t="shared" ca="1" si="19"/>
        <v>2.6596911687236977</v>
      </c>
      <c r="F258" s="33">
        <v>231</v>
      </c>
      <c r="G258" s="10">
        <f t="shared" si="18"/>
        <v>0.79381443298969068</v>
      </c>
    </row>
    <row r="259" spans="5:7" x14ac:dyDescent="0.25">
      <c r="E259" s="10">
        <f t="shared" ca="1" si="19"/>
        <v>2.6712049833069171</v>
      </c>
      <c r="F259" s="33">
        <v>232</v>
      </c>
      <c r="G259" s="10">
        <f t="shared" si="18"/>
        <v>0.79452054794520544</v>
      </c>
    </row>
    <row r="260" spans="5:7" x14ac:dyDescent="0.25">
      <c r="E260" s="10">
        <f t="shared" ca="1" si="19"/>
        <v>2.6827187978901366</v>
      </c>
      <c r="F260" s="33">
        <v>233</v>
      </c>
      <c r="G260" s="10">
        <f t="shared" si="18"/>
        <v>0.79522184300341292</v>
      </c>
    </row>
    <row r="261" spans="5:7" x14ac:dyDescent="0.25">
      <c r="E261" s="10">
        <f t="shared" ca="1" si="19"/>
        <v>2.694232612473356</v>
      </c>
      <c r="F261" s="33">
        <v>234</v>
      </c>
      <c r="G261" s="10">
        <f t="shared" si="18"/>
        <v>0.79591836734693877</v>
      </c>
    </row>
    <row r="262" spans="5:7" x14ac:dyDescent="0.25">
      <c r="E262" s="10">
        <f t="shared" ca="1" si="19"/>
        <v>2.7057464270565759</v>
      </c>
      <c r="F262" s="33">
        <v>235</v>
      </c>
      <c r="G262" s="10">
        <f t="shared" si="18"/>
        <v>0.79661016949152541</v>
      </c>
    </row>
    <row r="263" spans="5:7" x14ac:dyDescent="0.25">
      <c r="E263" s="10">
        <f t="shared" ca="1" si="19"/>
        <v>2.7172602416397948</v>
      </c>
      <c r="F263" s="33">
        <v>236</v>
      </c>
      <c r="G263" s="10">
        <f t="shared" si="18"/>
        <v>0.79729729729729726</v>
      </c>
    </row>
    <row r="264" spans="5:7" x14ac:dyDescent="0.25">
      <c r="E264" s="10">
        <f t="shared" ca="1" si="19"/>
        <v>2.7287740562230147</v>
      </c>
      <c r="F264" s="33">
        <v>237</v>
      </c>
      <c r="G264" s="10">
        <f t="shared" si="18"/>
        <v>0.79797979797979801</v>
      </c>
    </row>
    <row r="265" spans="5:7" x14ac:dyDescent="0.25">
      <c r="E265" s="10">
        <f t="shared" ca="1" si="19"/>
        <v>2.7402878708062337</v>
      </c>
      <c r="F265" s="33">
        <v>238</v>
      </c>
      <c r="G265" s="10">
        <f t="shared" si="18"/>
        <v>0.79865771812080533</v>
      </c>
    </row>
    <row r="266" spans="5:7" x14ac:dyDescent="0.25">
      <c r="E266" s="10">
        <f t="shared" ca="1" si="19"/>
        <v>2.751801685389454</v>
      </c>
      <c r="F266" s="33">
        <v>239</v>
      </c>
      <c r="G266" s="10">
        <f t="shared" si="18"/>
        <v>0.79933110367892979</v>
      </c>
    </row>
    <row r="267" spans="5:7" x14ac:dyDescent="0.25">
      <c r="E267" s="10">
        <f t="shared" ca="1" si="19"/>
        <v>2.763315499972673</v>
      </c>
      <c r="F267" s="33">
        <v>240</v>
      </c>
      <c r="G267" s="10">
        <f t="shared" si="18"/>
        <v>0.8</v>
      </c>
    </row>
    <row r="268" spans="5:7" x14ac:dyDescent="0.25">
      <c r="E268" s="10">
        <f t="shared" ca="1" si="19"/>
        <v>2.7748293145558929</v>
      </c>
      <c r="F268" s="33">
        <v>241</v>
      </c>
      <c r="G268" s="10">
        <f t="shared" si="18"/>
        <v>0.80066445182724255</v>
      </c>
    </row>
    <row r="269" spans="5:7" x14ac:dyDescent="0.25">
      <c r="E269" s="10">
        <f t="shared" ca="1" si="19"/>
        <v>2.7863431291391119</v>
      </c>
      <c r="F269" s="33">
        <v>242</v>
      </c>
      <c r="G269" s="10">
        <f t="shared" si="18"/>
        <v>0.80132450331125826</v>
      </c>
    </row>
    <row r="270" spans="5:7" x14ac:dyDescent="0.25">
      <c r="E270" s="10">
        <f t="shared" ca="1" si="19"/>
        <v>2.7978569437223317</v>
      </c>
      <c r="F270" s="33">
        <v>243</v>
      </c>
      <c r="G270" s="10">
        <f t="shared" si="18"/>
        <v>0.80198019801980203</v>
      </c>
    </row>
    <row r="271" spans="5:7" x14ac:dyDescent="0.25">
      <c r="E271" s="10">
        <f t="shared" ca="1" si="19"/>
        <v>2.8093707583055512</v>
      </c>
      <c r="F271" s="33">
        <v>244</v>
      </c>
      <c r="G271" s="10">
        <f t="shared" si="18"/>
        <v>0.80263157894736847</v>
      </c>
    </row>
    <row r="272" spans="5:7" x14ac:dyDescent="0.25">
      <c r="E272" s="10">
        <f t="shared" ca="1" si="19"/>
        <v>2.8208845728887706</v>
      </c>
      <c r="F272" s="33">
        <v>245</v>
      </c>
      <c r="G272" s="10">
        <f t="shared" si="18"/>
        <v>0.80327868852459017</v>
      </c>
    </row>
    <row r="273" spans="5:7" x14ac:dyDescent="0.25">
      <c r="E273" s="10">
        <f t="shared" ca="1" si="19"/>
        <v>2.83239838747199</v>
      </c>
      <c r="F273" s="33">
        <v>246</v>
      </c>
      <c r="G273" s="10">
        <f t="shared" si="18"/>
        <v>0.80392156862745101</v>
      </c>
    </row>
    <row r="274" spans="5:7" x14ac:dyDescent="0.25">
      <c r="F274" s="33">
        <v>247</v>
      </c>
      <c r="G274" s="10">
        <f t="shared" si="18"/>
        <v>0.80456026058631924</v>
      </c>
    </row>
    <row r="275" spans="5:7" x14ac:dyDescent="0.25">
      <c r="F275" s="33"/>
      <c r="G275" s="10"/>
    </row>
    <row r="276" spans="5:7" x14ac:dyDescent="0.25">
      <c r="F276" s="33"/>
      <c r="G276" s="10"/>
    </row>
    <row r="277" spans="5:7" x14ac:dyDescent="0.25">
      <c r="F277" s="33"/>
      <c r="G277" s="10"/>
    </row>
    <row r="278" spans="5:7" x14ac:dyDescent="0.25">
      <c r="F278" s="33"/>
      <c r="G278" s="10"/>
    </row>
    <row r="279" spans="5:7" x14ac:dyDescent="0.25">
      <c r="F279" s="33"/>
      <c r="G279" s="10"/>
    </row>
    <row r="280" spans="5:7" x14ac:dyDescent="0.25">
      <c r="F280" s="33"/>
      <c r="G280" s="10"/>
    </row>
    <row r="281" spans="5:7" x14ac:dyDescent="0.25">
      <c r="F281" s="33"/>
      <c r="G281" s="10"/>
    </row>
    <row r="282" spans="5:7" x14ac:dyDescent="0.25">
      <c r="F282" s="33"/>
      <c r="G282" s="10"/>
    </row>
    <row r="283" spans="5:7" x14ac:dyDescent="0.25">
      <c r="F283" s="33"/>
      <c r="G283" s="10"/>
    </row>
    <row r="284" spans="5:7" x14ac:dyDescent="0.25">
      <c r="F284" s="33"/>
      <c r="G284" s="10"/>
    </row>
    <row r="285" spans="5:7" x14ac:dyDescent="0.25">
      <c r="F285" s="33"/>
      <c r="G285" s="10"/>
    </row>
    <row r="286" spans="5:7" x14ac:dyDescent="0.25">
      <c r="F286" s="33"/>
      <c r="G286" s="1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2" sqref="B12"/>
    </sheetView>
  </sheetViews>
  <sheetFormatPr defaultRowHeight="15" x14ac:dyDescent="0.25"/>
  <cols>
    <col min="6" max="6" width="21.7109375" customWidth="1"/>
  </cols>
  <sheetData>
    <row r="1" spans="1:10" x14ac:dyDescent="0.25">
      <c r="A1" t="s">
        <v>275</v>
      </c>
    </row>
    <row r="3" spans="1:10" x14ac:dyDescent="0.25">
      <c r="B3" t="s">
        <v>277</v>
      </c>
      <c r="C3" t="s">
        <v>276</v>
      </c>
    </row>
    <row r="4" spans="1:10" x14ac:dyDescent="0.25">
      <c r="B4">
        <v>300</v>
      </c>
      <c r="C4">
        <v>2400</v>
      </c>
      <c r="G4" t="s">
        <v>278</v>
      </c>
      <c r="H4" t="s">
        <v>279</v>
      </c>
      <c r="I4" t="s">
        <v>284</v>
      </c>
    </row>
    <row r="5" spans="1:10" x14ac:dyDescent="0.25">
      <c r="B5">
        <v>8</v>
      </c>
      <c r="C5">
        <v>1</v>
      </c>
      <c r="G5">
        <v>11.63</v>
      </c>
      <c r="H5">
        <v>11.29</v>
      </c>
      <c r="I5">
        <v>10.4</v>
      </c>
    </row>
    <row r="6" spans="1:10" x14ac:dyDescent="0.25">
      <c r="A6" t="s">
        <v>23</v>
      </c>
      <c r="B6">
        <v>0.75</v>
      </c>
      <c r="C6">
        <v>0.1</v>
      </c>
      <c r="F6" t="s">
        <v>282</v>
      </c>
      <c r="G6">
        <f>G5*(1-B7)</f>
        <v>8.9551000000000016</v>
      </c>
      <c r="H6">
        <f>H5*(1-B6)</f>
        <v>2.8224999999999998</v>
      </c>
      <c r="I6" s="30"/>
      <c r="J6">
        <f>G6/H6</f>
        <v>3.1727546501328616</v>
      </c>
    </row>
    <row r="7" spans="1:10" x14ac:dyDescent="0.25">
      <c r="A7" t="s">
        <v>280</v>
      </c>
      <c r="B7">
        <v>0.23</v>
      </c>
      <c r="C7">
        <v>0.61</v>
      </c>
      <c r="F7" t="s">
        <v>283</v>
      </c>
      <c r="G7">
        <f>G5*(1-C7)</f>
        <v>4.5357000000000003</v>
      </c>
      <c r="H7">
        <f>(H5*(1-C6))</f>
        <v>10.161</v>
      </c>
      <c r="I7" s="30"/>
      <c r="J7">
        <f>H7/G7</f>
        <v>2.2402275282756792</v>
      </c>
    </row>
    <row r="8" spans="1:10" x14ac:dyDescent="0.25">
      <c r="A8" t="s">
        <v>281</v>
      </c>
      <c r="B8">
        <v>250</v>
      </c>
      <c r="C8">
        <v>1875</v>
      </c>
      <c r="D8" s="31">
        <v>0.28000000000000003</v>
      </c>
      <c r="E8" t="s">
        <v>285</v>
      </c>
      <c r="F8" t="s">
        <v>286</v>
      </c>
      <c r="H8">
        <f>((300+B8)/(H5*(1-B6)))*8</f>
        <v>1558.9016829052259</v>
      </c>
      <c r="I8">
        <f>(8*300)/I5</f>
        <v>230.76923076923077</v>
      </c>
      <c r="J8" s="10">
        <f>1/(I8/H8)</f>
        <v>6.755240625922645</v>
      </c>
    </row>
    <row r="9" spans="1:10" x14ac:dyDescent="0.25">
      <c r="A9" t="s">
        <v>288</v>
      </c>
      <c r="B9" s="28">
        <f>(B4)*(1+B6)*(1+B7)*B5</f>
        <v>5166</v>
      </c>
      <c r="C9">
        <f>(C4)*(1+C6)*(1+C7)</f>
        <v>4250.3999999999996</v>
      </c>
      <c r="F9" t="s">
        <v>287</v>
      </c>
      <c r="H9">
        <f>(2400+$C$8)/(H5*(1-C6))</f>
        <v>420.72630646589903</v>
      </c>
      <c r="I9">
        <f>(2400+$C$8)/(I5*(1-C6)*(1-C7))</f>
        <v>1171.1045364891515</v>
      </c>
      <c r="J9" s="10">
        <f>1/(H9/I9)</f>
        <v>2.7835305719921095</v>
      </c>
    </row>
    <row r="10" spans="1:10" x14ac:dyDescent="0.25">
      <c r="B10">
        <f>B9/C9</f>
        <v>1.2154150197628459</v>
      </c>
      <c r="C10">
        <f>C9/B9</f>
        <v>0.8227642276422763</v>
      </c>
    </row>
    <row r="11" spans="1:10" x14ac:dyDescent="0.25">
      <c r="A11" t="s">
        <v>289</v>
      </c>
      <c r="B11">
        <f>(B4+B8)*(1+B6)*B5</f>
        <v>7700</v>
      </c>
      <c r="C11" s="30">
        <f>(C4+C8)*C6*C5</f>
        <v>427.5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opLeftCell="A143" workbookViewId="0">
      <selection activeCell="P157" sqref="P157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36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37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37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37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 ca="1">ROUND(_xlfn.IFNA(VLOOKUP(A8,'Weapon Formulas'!$E$10:$Q$300,11,0),weapon_components!D8),2)</f>
        <v>7.84</v>
      </c>
      <c r="E8" s="5">
        <f ca="1">ROUND(_xlfn.IFNA(VLOOKUP(A8,'Weapon Formulas'!$E$10:$Q$300,12,0),weapon_components!E8),2)</f>
        <v>13.07</v>
      </c>
      <c r="F8" s="5">
        <f>ROUND(_xlfn.IFNA(VLOOKUP(A8,'Weapon Formulas'!$E$10:$L$300,8,0),weapon_components!F8),2)</f>
        <v>0.01</v>
      </c>
      <c r="G8" s="5">
        <f>ROUND(_xlfn.IFNA(VLOOKUP(A8,'Weapon Formulas'!$E$10:$P$300,9,0),weapon_components!G8),2)</f>
        <v>0</v>
      </c>
      <c r="H8" s="5">
        <f ca="1">ROUND(_xlfn.IFNA(VLOOKUP(A8,'Weapon Formulas'!$E$10:$L$300,7,0),weapon_components!H8),2)</f>
        <v>-5.61</v>
      </c>
      <c r="I8" s="5">
        <v>2</v>
      </c>
      <c r="J8" s="5">
        <v>23</v>
      </c>
      <c r="K8" s="5">
        <v>25</v>
      </c>
      <c r="L8" s="5">
        <f>ROUND(_xlfn.IFNA(VLOOKUP(A8,'Weapon Formulas'!$E$10:$Z$300,15,0),weapon_components!L8),1)</f>
        <v>24</v>
      </c>
      <c r="M8" s="2">
        <f ca="1">ROUND(_xlfn.IFNA(VLOOKUP(A8,'Weapon Formulas'!$E$10:$Z$300,14,0),weapon_components!M8),2)</f>
        <v>1</v>
      </c>
      <c r="N8" s="5">
        <f>ROUND(_xlfn.IFNA(VLOOKUP(A8,'Weapon Formulas'!$E$10:$W$300,16,0),weapon_components!N8),2)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 ca="1">ROUND(_xlfn.IFNA(VLOOKUP(A9,'Weapon Formulas'!$E$10:$Q$300,11,0),weapon_components!D9),2)</f>
        <v>16.350000000000001</v>
      </c>
      <c r="E9" s="5">
        <f ca="1">ROUND(_xlfn.IFNA(VLOOKUP(A9,'Weapon Formulas'!$E$10:$Q$300,12,0),weapon_components!E9),2)</f>
        <v>27.25</v>
      </c>
      <c r="F9" s="5">
        <f>ROUND(_xlfn.IFNA(VLOOKUP(A9,'Weapon Formulas'!$E$10:$L$300,8,0),weapon_components!F9),2)</f>
        <v>0.01</v>
      </c>
      <c r="G9" s="5">
        <f>ROUND(_xlfn.IFNA(VLOOKUP(A9,'Weapon Formulas'!$E$10:$P$300,9,0),weapon_components!G9),2)</f>
        <v>0</v>
      </c>
      <c r="H9" s="5">
        <f ca="1">ROUND(_xlfn.IFNA(VLOOKUP(A9,'Weapon Formulas'!$E$10:$L$300,7,0),weapon_components!H9),2)</f>
        <v>-8.24</v>
      </c>
      <c r="I9" s="5">
        <v>2</v>
      </c>
      <c r="J9" s="5">
        <v>23</v>
      </c>
      <c r="K9" s="5">
        <v>25</v>
      </c>
      <c r="L9" s="5">
        <f>ROUND(_xlfn.IFNA(VLOOKUP(A9,'Weapon Formulas'!$E$10:$Z$300,15,0),weapon_components!L9),1)</f>
        <v>30</v>
      </c>
      <c r="M9" s="32">
        <f ca="1">ROUND(_xlfn.IFNA(VLOOKUP(A9,'Weapon Formulas'!$E$10:$Z$300,14,0),weapon_components!M9),2)</f>
        <v>1</v>
      </c>
      <c r="N9" s="5">
        <f>ROUND(_xlfn.IFNA(VLOOKUP(A9,'Weapon Formulas'!$E$10:$W$300,16,0),weapon_components!N9),2)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 ca="1">ROUND(_xlfn.IFNA(VLOOKUP(A10,'Weapon Formulas'!$E$10:$Q$300,11,0),weapon_components!D10),2)</f>
        <v>34.01</v>
      </c>
      <c r="E10" s="5">
        <f ca="1">ROUND(_xlfn.IFNA(VLOOKUP(A10,'Weapon Formulas'!$E$10:$Q$300,12,0),weapon_components!E10),2)</f>
        <v>56.69</v>
      </c>
      <c r="F10" s="5">
        <f>ROUND(_xlfn.IFNA(VLOOKUP(A10,'Weapon Formulas'!$E$10:$L$300,8,0),weapon_components!F10),2)</f>
        <v>0.01</v>
      </c>
      <c r="G10" s="5">
        <f>ROUND(_xlfn.IFNA(VLOOKUP(A10,'Weapon Formulas'!$E$10:$P$300,9,0),weapon_components!G10),2)</f>
        <v>0</v>
      </c>
      <c r="H10" s="5">
        <f ca="1">ROUND(_xlfn.IFNA(VLOOKUP(A10,'Weapon Formulas'!$E$10:$L$300,7,0),weapon_components!H10),2)</f>
        <v>-10.63</v>
      </c>
      <c r="I10" s="5">
        <v>2</v>
      </c>
      <c r="J10" s="5">
        <v>23</v>
      </c>
      <c r="K10" s="5">
        <v>25</v>
      </c>
      <c r="L10" s="5">
        <f>ROUND(_xlfn.IFNA(VLOOKUP(A10,'Weapon Formulas'!$E$10:$Z$300,15,0),weapon_components!L10),1)</f>
        <v>36</v>
      </c>
      <c r="M10" s="32">
        <f ca="1">ROUND(_xlfn.IFNA(VLOOKUP(A10,'Weapon Formulas'!$E$10:$Z$300,14,0),weapon_components!M10),2)</f>
        <v>1</v>
      </c>
      <c r="N10" s="5">
        <f>ROUND(_xlfn.IFNA(VLOOKUP(A10,'Weapon Formulas'!$E$10:$W$300,16,0),weapon_components!N10),2)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 ca="1">ROUND(_xlfn.IFNA(VLOOKUP(A11,'Weapon Formulas'!$E$10:$Q$300,11,0),weapon_components!D11),2)</f>
        <v>17.79</v>
      </c>
      <c r="E11" s="5">
        <f ca="1">ROUND(_xlfn.IFNA(VLOOKUP(A11,'Weapon Formulas'!$E$10:$Q$300,12,0),weapon_components!E11),2)</f>
        <v>29.66</v>
      </c>
      <c r="F11" s="5">
        <f>ROUND(_xlfn.IFNA(VLOOKUP(A11,'Weapon Formulas'!$E$10:$L$300,8,0),weapon_components!F11),2)</f>
        <v>0.04</v>
      </c>
      <c r="G11" s="5">
        <f>ROUND(_xlfn.IFNA(VLOOKUP(A11,'Weapon Formulas'!$E$10:$P$300,9,0),weapon_components!G11),2)</f>
        <v>0</v>
      </c>
      <c r="H11" s="5">
        <f ca="1">ROUND(_xlfn.IFNA(VLOOKUP(A11,'Weapon Formulas'!$E$10:$L$300,7,0),weapon_components!H11),2)</f>
        <v>-1.36</v>
      </c>
      <c r="I11" s="5">
        <v>2</v>
      </c>
      <c r="J11" s="5">
        <v>23</v>
      </c>
      <c r="K11" s="5">
        <v>25</v>
      </c>
      <c r="L11" s="5">
        <f>ROUND(_xlfn.IFNA(VLOOKUP(A11,'Weapon Formulas'!$E$10:$Z$300,15,0),weapon_components!L11),1)</f>
        <v>26.9</v>
      </c>
      <c r="M11" s="32">
        <f ca="1">ROUND(_xlfn.IFNA(VLOOKUP(A11,'Weapon Formulas'!$E$10:$Z$300,14,0),weapon_components!M11),2)</f>
        <v>1</v>
      </c>
      <c r="N11" s="5">
        <f>ROUND(_xlfn.IFNA(VLOOKUP(A11,'Weapon Formulas'!$E$10:$W$300,16,0),weapon_components!N11),2)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 ca="1">ROUND(_xlfn.IFNA(VLOOKUP(A12,'Weapon Formulas'!$E$10:$Q$300,11,0),weapon_components!D12),2)</f>
        <v>37.14</v>
      </c>
      <c r="E12" s="5">
        <f ca="1">ROUND(_xlfn.IFNA(VLOOKUP(A12,'Weapon Formulas'!$E$10:$Q$300,12,0),weapon_components!E12),2)</f>
        <v>61.89</v>
      </c>
      <c r="F12" s="5">
        <f>ROUND(_xlfn.IFNA(VLOOKUP(A12,'Weapon Formulas'!$E$10:$L$300,8,0),weapon_components!F12),2)</f>
        <v>0.04</v>
      </c>
      <c r="G12" s="5">
        <f>ROUND(_xlfn.IFNA(VLOOKUP(A12,'Weapon Formulas'!$E$10:$P$300,9,0),weapon_components!G12),2)</f>
        <v>0</v>
      </c>
      <c r="H12" s="5">
        <f ca="1">ROUND(_xlfn.IFNA(VLOOKUP(A12,'Weapon Formulas'!$E$10:$L$300,7,0),weapon_components!H12),2)</f>
        <v>-1.84</v>
      </c>
      <c r="I12" s="5">
        <v>2</v>
      </c>
      <c r="J12" s="5">
        <v>23</v>
      </c>
      <c r="K12" s="5">
        <v>25</v>
      </c>
      <c r="L12" s="5">
        <f>ROUND(_xlfn.IFNA(VLOOKUP(A12,'Weapon Formulas'!$E$10:$Z$300,15,0),weapon_components!L12),1)</f>
        <v>33.6</v>
      </c>
      <c r="M12" s="32">
        <f ca="1">ROUND(_xlfn.IFNA(VLOOKUP(A12,'Weapon Formulas'!$E$10:$Z$300,14,0),weapon_components!M12),2)</f>
        <v>1</v>
      </c>
      <c r="N12" s="5">
        <f>ROUND(_xlfn.IFNA(VLOOKUP(A12,'Weapon Formulas'!$E$10:$W$300,16,0),weapon_components!N12),2)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 ca="1">ROUND(_xlfn.IFNA(VLOOKUP(A13,'Weapon Formulas'!$E$10:$Q$300,11,0),weapon_components!D13),2)</f>
        <v>77.34</v>
      </c>
      <c r="E13" s="5">
        <f ca="1">ROUND(_xlfn.IFNA(VLOOKUP(A13,'Weapon Formulas'!$E$10:$Q$300,12,0),weapon_components!E13),2)</f>
        <v>128.88999999999999</v>
      </c>
      <c r="F13" s="5">
        <f>ROUND(_xlfn.IFNA(VLOOKUP(A13,'Weapon Formulas'!$E$10:$L$300,8,0),weapon_components!F13),2)</f>
        <v>0.04</v>
      </c>
      <c r="G13" s="5">
        <f>ROUND(_xlfn.IFNA(VLOOKUP(A13,'Weapon Formulas'!$E$10:$P$300,9,0),weapon_components!G13),2)</f>
        <v>0</v>
      </c>
      <c r="H13" s="5">
        <f ca="1">ROUND(_xlfn.IFNA(VLOOKUP(A13,'Weapon Formulas'!$E$10:$L$300,7,0),weapon_components!H13),2)</f>
        <v>-2.29</v>
      </c>
      <c r="I13" s="5">
        <v>2</v>
      </c>
      <c r="J13" s="5">
        <v>23</v>
      </c>
      <c r="K13" s="5">
        <v>25</v>
      </c>
      <c r="L13" s="5">
        <f>ROUND(_xlfn.IFNA(VLOOKUP(A13,'Weapon Formulas'!$E$10:$Z$300,15,0),weapon_components!L13),1)</f>
        <v>40.299999999999997</v>
      </c>
      <c r="M13" s="32">
        <f ca="1">ROUND(_xlfn.IFNA(VLOOKUP(A13,'Weapon Formulas'!$E$10:$Z$300,14,0),weapon_components!M13),2)</f>
        <v>1</v>
      </c>
      <c r="N13" s="5">
        <f>ROUND(_xlfn.IFNA(VLOOKUP(A13,'Weapon Formulas'!$E$10:$W$300,16,0),weapon_components!N13),2)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 ca="1">ROUND(_xlfn.IFNA(VLOOKUP(A14,'Weapon Formulas'!$E$10:$Q$300,11,0),weapon_components!D14),2)</f>
        <v>30.79</v>
      </c>
      <c r="E14" s="5">
        <f ca="1">ROUND(_xlfn.IFNA(VLOOKUP(A14,'Weapon Formulas'!$E$10:$Q$300,12,0),weapon_components!E14),2)</f>
        <v>51.32</v>
      </c>
      <c r="F14" s="5">
        <f>ROUND(_xlfn.IFNA(VLOOKUP(A14,'Weapon Formulas'!$E$10:$L$300,8,0),weapon_components!F14),2)</f>
        <v>7.0000000000000007E-2</v>
      </c>
      <c r="G14" s="5">
        <f>ROUND(_xlfn.IFNA(VLOOKUP(A14,'Weapon Formulas'!$E$10:$P$300,9,0),weapon_components!G14),2)</f>
        <v>0</v>
      </c>
      <c r="H14" s="5">
        <f ca="1">ROUND(_xlfn.IFNA(VLOOKUP(A14,'Weapon Formulas'!$E$10:$L$300,7,0),weapon_components!H14),2)</f>
        <v>-0.86</v>
      </c>
      <c r="I14" s="5">
        <v>2</v>
      </c>
      <c r="J14" s="5">
        <v>23</v>
      </c>
      <c r="K14" s="5">
        <v>25</v>
      </c>
      <c r="L14" s="5">
        <f>ROUND(_xlfn.IFNA(VLOOKUP(A14,'Weapon Formulas'!$E$10:$Z$300,15,0),weapon_components!L14),1)</f>
        <v>29.8</v>
      </c>
      <c r="M14" s="32">
        <f ca="1">ROUND(_xlfn.IFNA(VLOOKUP(A14,'Weapon Formulas'!$E$10:$Z$300,14,0),weapon_components!M14),2)</f>
        <v>1</v>
      </c>
      <c r="N14" s="5">
        <f>ROUND(_xlfn.IFNA(VLOOKUP(A14,'Weapon Formulas'!$E$10:$W$300,16,0),weapon_components!N14),2)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 ca="1">ROUND(_xlfn.IFNA(VLOOKUP(A15,'Weapon Formulas'!$E$10:$Q$300,11,0),weapon_components!D15),2)</f>
        <v>64.19</v>
      </c>
      <c r="E15" s="5">
        <f ca="1">ROUND(_xlfn.IFNA(VLOOKUP(A15,'Weapon Formulas'!$E$10:$Q$300,12,0),weapon_components!E15),2)</f>
        <v>106.98</v>
      </c>
      <c r="F15" s="5">
        <f>ROUND(_xlfn.IFNA(VLOOKUP(A15,'Weapon Formulas'!$E$10:$L$300,8,0),weapon_components!F15),2)</f>
        <v>7.0000000000000007E-2</v>
      </c>
      <c r="G15" s="5">
        <f>ROUND(_xlfn.IFNA(VLOOKUP(A15,'Weapon Formulas'!$E$10:$P$300,9,0),weapon_components!G15),2)</f>
        <v>0</v>
      </c>
      <c r="H15" s="5">
        <f ca="1">ROUND(_xlfn.IFNA(VLOOKUP(A15,'Weapon Formulas'!$E$10:$L$300,7,0),weapon_components!H15),2)</f>
        <v>-1.1000000000000001</v>
      </c>
      <c r="I15" s="5">
        <v>2</v>
      </c>
      <c r="J15" s="5">
        <v>23</v>
      </c>
      <c r="K15" s="5">
        <v>25</v>
      </c>
      <c r="L15" s="5">
        <f>ROUND(_xlfn.IFNA(VLOOKUP(A15,'Weapon Formulas'!$E$10:$Z$300,15,0),weapon_components!L15),1)</f>
        <v>37.200000000000003</v>
      </c>
      <c r="M15" s="32">
        <f ca="1">ROUND(_xlfn.IFNA(VLOOKUP(A15,'Weapon Formulas'!$E$10:$Z$300,14,0),weapon_components!M15),2)</f>
        <v>1</v>
      </c>
      <c r="N15" s="5">
        <f>ROUND(_xlfn.IFNA(VLOOKUP(A15,'Weapon Formulas'!$E$10:$W$300,16,0),weapon_components!N15),2)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 ca="1">ROUND(_xlfn.IFNA(VLOOKUP(A16,'Weapon Formulas'!$E$10:$Q$300,11,0),weapon_components!D16),2)</f>
        <v>133.56</v>
      </c>
      <c r="E16" s="5">
        <f ca="1">ROUND(_xlfn.IFNA(VLOOKUP(A16,'Weapon Formulas'!$E$10:$Q$300,12,0),weapon_components!E16),2)</f>
        <v>222.6</v>
      </c>
      <c r="F16" s="5">
        <f>ROUND(_xlfn.IFNA(VLOOKUP(A16,'Weapon Formulas'!$E$10:$L$300,8,0),weapon_components!F16),2)</f>
        <v>7.0000000000000007E-2</v>
      </c>
      <c r="G16" s="5">
        <f>ROUND(_xlfn.IFNA(VLOOKUP(A16,'Weapon Formulas'!$E$10:$P$300,9,0),weapon_components!G16),2)</f>
        <v>0</v>
      </c>
      <c r="H16" s="5">
        <f ca="1">ROUND(_xlfn.IFNA(VLOOKUP(A16,'Weapon Formulas'!$E$10:$L$300,7,0),weapon_components!H16),2)</f>
        <v>-1.32</v>
      </c>
      <c r="I16" s="5">
        <v>2</v>
      </c>
      <c r="J16" s="5">
        <v>23</v>
      </c>
      <c r="K16" s="5">
        <v>25</v>
      </c>
      <c r="L16" s="5">
        <f>ROUND(_xlfn.IFNA(VLOOKUP(A16,'Weapon Formulas'!$E$10:$Z$300,15,0),weapon_components!L16),1)</f>
        <v>44.6</v>
      </c>
      <c r="M16" s="32">
        <f ca="1">ROUND(_xlfn.IFNA(VLOOKUP(A16,'Weapon Formulas'!$E$10:$Z$300,14,0),weapon_components!M16),2)</f>
        <v>1</v>
      </c>
      <c r="N16" s="5">
        <f>ROUND(_xlfn.IFNA(VLOOKUP(A16,'Weapon Formulas'!$E$10:$W$300,16,0),weapon_components!N16),2)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 ca="1">ROUND(_xlfn.IFNA(VLOOKUP(A17,'Weapon Formulas'!$E$10:$Q$300,11,0),weapon_components!D17),2)</f>
        <v>47.91</v>
      </c>
      <c r="E17" s="5">
        <f ca="1">ROUND(_xlfn.IFNA(VLOOKUP(A17,'Weapon Formulas'!$E$10:$Q$300,12,0),weapon_components!E17),2)</f>
        <v>79.849999999999994</v>
      </c>
      <c r="F17" s="5">
        <f>ROUND(_xlfn.IFNA(VLOOKUP(A17,'Weapon Formulas'!$E$10:$L$300,8,0),weapon_components!F17),2)</f>
        <v>7.0000000000000007E-2</v>
      </c>
      <c r="G17" s="5">
        <f>ROUND(_xlfn.IFNA(VLOOKUP(A17,'Weapon Formulas'!$E$10:$P$300,9,0),weapon_components!G17),2)</f>
        <v>0</v>
      </c>
      <c r="H17" s="5">
        <f ca="1">ROUND(_xlfn.IFNA(VLOOKUP(A17,'Weapon Formulas'!$E$10:$L$300,7,0),weapon_components!H17),2)</f>
        <v>-1.06</v>
      </c>
      <c r="I17" s="5">
        <v>2</v>
      </c>
      <c r="J17" s="5">
        <v>23</v>
      </c>
      <c r="K17" s="5">
        <v>25</v>
      </c>
      <c r="L17" s="5">
        <f>ROUND(_xlfn.IFNA(VLOOKUP(A17,'Weapon Formulas'!$E$10:$Z$300,15,0),weapon_components!L17),1)</f>
        <v>32.6</v>
      </c>
      <c r="M17" s="32">
        <f ca="1">ROUND(_xlfn.IFNA(VLOOKUP(A17,'Weapon Formulas'!$E$10:$Z$300,14,0),weapon_components!M17),2)</f>
        <v>1</v>
      </c>
      <c r="N17" s="5">
        <f>ROUND(_xlfn.IFNA(VLOOKUP(A17,'Weapon Formulas'!$E$10:$W$300,16,0),weapon_components!N17),2)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 ca="1">ROUND(_xlfn.IFNA(VLOOKUP(A18,'Weapon Formulas'!$E$10:$Q$300,11,0),weapon_components!D18),2)</f>
        <v>99.74</v>
      </c>
      <c r="E18" s="5">
        <f ca="1">ROUND(_xlfn.IFNA(VLOOKUP(A18,'Weapon Formulas'!$E$10:$Q$300,12,0),weapon_components!E18),2)</f>
        <v>166.23</v>
      </c>
      <c r="F18" s="5">
        <f>ROUND(_xlfn.IFNA(VLOOKUP(A18,'Weapon Formulas'!$E$10:$L$300,8,0),weapon_components!F18),2)</f>
        <v>7.0000000000000007E-2</v>
      </c>
      <c r="G18" s="5">
        <f>ROUND(_xlfn.IFNA(VLOOKUP(A18,'Weapon Formulas'!$E$10:$P$300,9,0),weapon_components!G18),2)</f>
        <v>0</v>
      </c>
      <c r="H18" s="5">
        <f ca="1">ROUND(_xlfn.IFNA(VLOOKUP(A18,'Weapon Formulas'!$E$10:$L$300,7,0),weapon_components!H18),2)</f>
        <v>-1.24</v>
      </c>
      <c r="I18" s="5">
        <v>2</v>
      </c>
      <c r="J18" s="5">
        <v>23</v>
      </c>
      <c r="K18" s="5">
        <v>25</v>
      </c>
      <c r="L18" s="5">
        <f>ROUND(_xlfn.IFNA(VLOOKUP(A18,'Weapon Formulas'!$E$10:$Z$300,15,0),weapon_components!L18),1)</f>
        <v>40.799999999999997</v>
      </c>
      <c r="M18" s="32">
        <f ca="1">ROUND(_xlfn.IFNA(VLOOKUP(A18,'Weapon Formulas'!$E$10:$Z$300,14,0),weapon_components!M18),2)</f>
        <v>1</v>
      </c>
      <c r="N18" s="5">
        <f>ROUND(_xlfn.IFNA(VLOOKUP(A18,'Weapon Formulas'!$E$10:$W$300,16,0),weapon_components!N18),2)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 ca="1">ROUND(_xlfn.IFNA(VLOOKUP(A19,'Weapon Formulas'!$E$10:$Q$300,11,0),weapon_components!D19),2)</f>
        <v>207.28</v>
      </c>
      <c r="E19" s="5">
        <f ca="1">ROUND(_xlfn.IFNA(VLOOKUP(A19,'Weapon Formulas'!$E$10:$Q$300,12,0),weapon_components!E19),2)</f>
        <v>345.47</v>
      </c>
      <c r="F19" s="5">
        <f>ROUND(_xlfn.IFNA(VLOOKUP(A19,'Weapon Formulas'!$E$10:$L$300,8,0),weapon_components!F19),2)</f>
        <v>7.0000000000000007E-2</v>
      </c>
      <c r="G19" s="5">
        <f>ROUND(_xlfn.IFNA(VLOOKUP(A19,'Weapon Formulas'!$E$10:$P$300,9,0),weapon_components!G19),2)</f>
        <v>0</v>
      </c>
      <c r="H19" s="5">
        <f ca="1">ROUND(_xlfn.IFNA(VLOOKUP(A19,'Weapon Formulas'!$E$10:$L$300,7,0),weapon_components!H19),2)</f>
        <v>-1.41</v>
      </c>
      <c r="I19" s="5">
        <v>2</v>
      </c>
      <c r="J19" s="5">
        <v>23</v>
      </c>
      <c r="K19" s="5">
        <v>25</v>
      </c>
      <c r="L19" s="5">
        <f>ROUND(_xlfn.IFNA(VLOOKUP(A19,'Weapon Formulas'!$E$10:$Z$300,15,0),weapon_components!L19),1)</f>
        <v>49</v>
      </c>
      <c r="M19" s="32">
        <f ca="1">ROUND(_xlfn.IFNA(VLOOKUP(A19,'Weapon Formulas'!$E$10:$Z$300,14,0),weapon_components!M19),2)</f>
        <v>1</v>
      </c>
      <c r="N19" s="5">
        <f>ROUND(_xlfn.IFNA(VLOOKUP(A19,'Weapon Formulas'!$E$10:$W$300,16,0),weapon_components!N19),2)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 ca="1">ROUND(_xlfn.IFNA(VLOOKUP(A20,'Weapon Formulas'!$E$10:$Q$300,11,0),weapon_components!D20),2)</f>
        <v>70.819999999999993</v>
      </c>
      <c r="E20" s="5">
        <f ca="1">ROUND(_xlfn.IFNA(VLOOKUP(A20,'Weapon Formulas'!$E$10:$Q$300,12,0),weapon_components!E20),2)</f>
        <v>118.04</v>
      </c>
      <c r="F20" s="5">
        <f>ROUND(_xlfn.IFNA(VLOOKUP(A20,'Weapon Formulas'!$E$10:$L$300,8,0),weapon_components!F20),2)</f>
        <v>0.08</v>
      </c>
      <c r="G20" s="5">
        <f>ROUND(_xlfn.IFNA(VLOOKUP(A20,'Weapon Formulas'!$E$10:$P$300,9,0),weapon_components!G20),2)</f>
        <v>0</v>
      </c>
      <c r="H20" s="5">
        <f ca="1">ROUND(_xlfn.IFNA(VLOOKUP(A20,'Weapon Formulas'!$E$10:$L$300,7,0),weapon_components!H20),2)</f>
        <v>-1.03</v>
      </c>
      <c r="I20" s="5">
        <v>2</v>
      </c>
      <c r="J20" s="5">
        <v>23</v>
      </c>
      <c r="K20" s="5">
        <v>25</v>
      </c>
      <c r="L20" s="5">
        <f>ROUND(_xlfn.IFNA(VLOOKUP(A20,'Weapon Formulas'!$E$10:$Z$300,15,0),weapon_components!L20),1)</f>
        <v>35.5</v>
      </c>
      <c r="M20" s="32">
        <f ca="1">ROUND(_xlfn.IFNA(VLOOKUP(A20,'Weapon Formulas'!$E$10:$Z$300,14,0),weapon_components!M20),2)</f>
        <v>1</v>
      </c>
      <c r="N20" s="5">
        <f>ROUND(_xlfn.IFNA(VLOOKUP(A20,'Weapon Formulas'!$E$10:$W$300,16,0),weapon_components!N20),2)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 ca="1">ROUND(_xlfn.IFNA(VLOOKUP(A21,'Weapon Formulas'!$E$10:$Q$300,11,0),weapon_components!D21),2)</f>
        <v>147.24</v>
      </c>
      <c r="E21" s="5">
        <f ca="1">ROUND(_xlfn.IFNA(VLOOKUP(A21,'Weapon Formulas'!$E$10:$Q$300,12,0),weapon_components!E21),2)</f>
        <v>245.4</v>
      </c>
      <c r="F21" s="5">
        <f>ROUND(_xlfn.IFNA(VLOOKUP(A21,'Weapon Formulas'!$E$10:$L$300,8,0),weapon_components!F21),2)</f>
        <v>0.08</v>
      </c>
      <c r="G21" s="5">
        <f>ROUND(_xlfn.IFNA(VLOOKUP(A21,'Weapon Formulas'!$E$10:$P$300,9,0),weapon_components!G21),2)</f>
        <v>0</v>
      </c>
      <c r="H21" s="5">
        <f ca="1">ROUND(_xlfn.IFNA(VLOOKUP(A21,'Weapon Formulas'!$E$10:$L$300,7,0),weapon_components!H21),2)</f>
        <v>-1.1599999999999999</v>
      </c>
      <c r="I21" s="5">
        <v>2</v>
      </c>
      <c r="J21" s="5">
        <v>23</v>
      </c>
      <c r="K21" s="5">
        <v>25</v>
      </c>
      <c r="L21" s="5">
        <f>ROUND(_xlfn.IFNA(VLOOKUP(A21,'Weapon Formulas'!$E$10:$Z$300,15,0),weapon_components!L21),1)</f>
        <v>44.4</v>
      </c>
      <c r="M21" s="32">
        <f ca="1">ROUND(_xlfn.IFNA(VLOOKUP(A21,'Weapon Formulas'!$E$10:$Z$300,14,0),weapon_components!M21),2)</f>
        <v>1</v>
      </c>
      <c r="N21" s="5">
        <f>ROUND(_xlfn.IFNA(VLOOKUP(A21,'Weapon Formulas'!$E$10:$W$300,16,0),weapon_components!N21),2)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 ca="1">ROUND(_xlfn.IFNA(VLOOKUP(A22,'Weapon Formulas'!$E$10:$Q$300,11,0),weapon_components!D22),2)</f>
        <v>305.60000000000002</v>
      </c>
      <c r="E22" s="5">
        <f ca="1">ROUND(_xlfn.IFNA(VLOOKUP(A22,'Weapon Formulas'!$E$10:$Q$300,12,0),weapon_components!E22),2)</f>
        <v>509.34</v>
      </c>
      <c r="F22" s="5">
        <f>ROUND(_xlfn.IFNA(VLOOKUP(A22,'Weapon Formulas'!$E$10:$L$300,8,0),weapon_components!F22),2)</f>
        <v>0.08</v>
      </c>
      <c r="G22" s="5">
        <f>ROUND(_xlfn.IFNA(VLOOKUP(A22,'Weapon Formulas'!$E$10:$P$300,9,0),weapon_components!G22),2)</f>
        <v>0</v>
      </c>
      <c r="H22" s="5">
        <f ca="1">ROUND(_xlfn.IFNA(VLOOKUP(A22,'Weapon Formulas'!$E$10:$L$300,7,0),weapon_components!H22),2)</f>
        <v>-1.27</v>
      </c>
      <c r="I22" s="5">
        <v>2</v>
      </c>
      <c r="J22" s="5">
        <v>23</v>
      </c>
      <c r="K22" s="5">
        <v>25</v>
      </c>
      <c r="L22" s="5">
        <f>ROUND(_xlfn.IFNA(VLOOKUP(A22,'Weapon Formulas'!$E$10:$Z$300,15,0),weapon_components!L22),1)</f>
        <v>53.3</v>
      </c>
      <c r="M22" s="32">
        <f ca="1">ROUND(_xlfn.IFNA(VLOOKUP(A22,'Weapon Formulas'!$E$10:$Z$300,14,0),weapon_components!M22),2)</f>
        <v>1</v>
      </c>
      <c r="N22" s="5">
        <f>ROUND(_xlfn.IFNA(VLOOKUP(A22,'Weapon Formulas'!$E$10:$W$300,16,0),weapon_components!N22),2)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32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Formulas'!$E$10:$Q$300,11,0),weapon_components!D24),2)</f>
        <v>5</v>
      </c>
      <c r="E24" s="5">
        <f>ROUND(_xlfn.IFNA(VLOOKUP(A24,'Weapon Formulas'!$E$10:$Q$300,12,0),weapon_components!E24),2)</f>
        <v>10</v>
      </c>
      <c r="F24" s="5">
        <f>ROUND(_xlfn.IFNA(VLOOKUP(A24,'Weapon Formulas'!$E$10:$L$300,8,0),weapon_components!F24),2)</f>
        <v>1</v>
      </c>
      <c r="G24" s="5">
        <f>ROUND(_xlfn.IFNA(VLOOKUP(A24,'Weapon Formulas'!$E$10:$P$300,9,0),weapon_components!G24),2)</f>
        <v>0</v>
      </c>
      <c r="H24" s="5">
        <f>ROUND(_xlfn.IFNA(VLOOKUP(A24,'Weapon Formulas'!$E$10:$L$300,7,0),weapon_components!H24),2)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Formulas'!$E$10:$Z$300,15,0),weapon_components!L24),1)</f>
        <v>15</v>
      </c>
      <c r="M24" s="32">
        <f>ROUND(_xlfn.IFNA(VLOOKUP(A24,'Weapon Formulas'!$E$10:$Z$300,14,0),weapon_components!M24),2)</f>
        <v>0.85</v>
      </c>
      <c r="N24" s="5">
        <f>ROUND(_xlfn.IFNA(VLOOKUP(A24,'Weapon Formulas'!$E$10:$W$300,16,0),weapon_components!N24),2)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Formulas'!$E$10:$Q$300,11,0),weapon_components!D25),2)</f>
        <v>13</v>
      </c>
      <c r="E25" s="5">
        <f>ROUND(_xlfn.IFNA(VLOOKUP(A25,'Weapon Formulas'!$E$10:$Q$300,12,0),weapon_components!E25),2)</f>
        <v>18</v>
      </c>
      <c r="F25" s="5">
        <f>ROUND(_xlfn.IFNA(VLOOKUP(A25,'Weapon Formulas'!$E$10:$L$300,8,0),weapon_components!F25),2)</f>
        <v>1</v>
      </c>
      <c r="G25" s="5">
        <f>ROUND(_xlfn.IFNA(VLOOKUP(A25,'Weapon Formulas'!$E$10:$P$300,9,0),weapon_components!G25),2)</f>
        <v>0</v>
      </c>
      <c r="H25" s="5">
        <f>ROUND(_xlfn.IFNA(VLOOKUP(A25,'Weapon Formulas'!$E$10:$L$300,7,0),weapon_components!H25),2)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Formulas'!$E$10:$Z$300,15,0),weapon_components!L25),1)</f>
        <v>25</v>
      </c>
      <c r="M25" s="32">
        <f>ROUND(_xlfn.IFNA(VLOOKUP(A25,'Weapon Formulas'!$E$10:$Z$300,14,0),weapon_components!M25),2)</f>
        <v>0.82</v>
      </c>
      <c r="N25" s="5">
        <f>ROUND(_xlfn.IFNA(VLOOKUP(A25,'Weapon Formulas'!$E$10:$W$300,16,0),weapon_components!N25),2)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Formulas'!$E$10:$Q$300,11,0),weapon_components!D26),2)</f>
        <v>25</v>
      </c>
      <c r="E26" s="5">
        <f>ROUND(_xlfn.IFNA(VLOOKUP(A26,'Weapon Formulas'!$E$10:$Q$300,12,0),weapon_components!E26),2)</f>
        <v>41</v>
      </c>
      <c r="F26" s="5">
        <f>ROUND(_xlfn.IFNA(VLOOKUP(A26,'Weapon Formulas'!$E$10:$L$300,8,0),weapon_components!F26),2)</f>
        <v>1</v>
      </c>
      <c r="G26" s="5">
        <f>ROUND(_xlfn.IFNA(VLOOKUP(A26,'Weapon Formulas'!$E$10:$P$300,9,0),weapon_components!G26),2)</f>
        <v>0</v>
      </c>
      <c r="H26" s="5">
        <f>ROUND(_xlfn.IFNA(VLOOKUP(A26,'Weapon Formulas'!$E$10:$L$300,7,0),weapon_components!H26),2)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Formulas'!$E$10:$Z$300,15,0),weapon_components!L26),1)</f>
        <v>35</v>
      </c>
      <c r="M26" s="32">
        <f>ROUND(_xlfn.IFNA(VLOOKUP(A26,'Weapon Formulas'!$E$10:$Z$300,14,0),weapon_components!M26),2)</f>
        <v>0.79</v>
      </c>
      <c r="N26" s="5">
        <f>ROUND(_xlfn.IFNA(VLOOKUP(A26,'Weapon Formulas'!$E$10:$W$300,16,0),weapon_components!N26),2)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 ca="1">ROUND(_xlfn.IFNA(VLOOKUP(A28,'Weapon Formulas'!$E$10:$Q$300,11,0),weapon_components!D28),2)</f>
        <v>734.63</v>
      </c>
      <c r="E28" s="5">
        <f ca="1">ROUND(_xlfn.IFNA(VLOOKUP(A28,'Weapon Formulas'!$E$10:$Q$300,12,0),weapon_components!E28),2)</f>
        <v>1224.3800000000001</v>
      </c>
      <c r="F28" s="5">
        <f>ROUND(_xlfn.IFNA(VLOOKUP(A28,'Weapon Formulas'!$E$10:$L$300,8,0),weapon_components!F28),2)</f>
        <v>7.0000000000000007E-2</v>
      </c>
      <c r="G28" s="5">
        <f>ROUND(_xlfn.IFNA(VLOOKUP(A28,'Weapon Formulas'!$E$10:$P$300,9,0),weapon_components!G28),2)</f>
        <v>0</v>
      </c>
      <c r="H28" s="5">
        <f ca="1">ROUND(_xlfn.IFNA(VLOOKUP(A28,'Weapon Formulas'!$E$10:$L$300,7,0),weapon_components!H28),2)</f>
        <v>3.25</v>
      </c>
      <c r="I28" s="5">
        <v>22</v>
      </c>
      <c r="J28" s="5">
        <v>35</v>
      </c>
      <c r="K28" s="5">
        <v>60</v>
      </c>
      <c r="L28" s="5">
        <f>ROUND(_xlfn.IFNA(VLOOKUP(A28,'Weapon Formulas'!$E$10:$Z$300,15,0),weapon_components!L28),1)</f>
        <v>49</v>
      </c>
      <c r="M28" s="32">
        <f ca="1">ROUND(_xlfn.IFNA(VLOOKUP(A28,'Weapon Formulas'!$E$10:$Z$300,14,0),weapon_components!M28),2)</f>
        <v>0.72</v>
      </c>
      <c r="N28" s="5">
        <f>ROUND(_xlfn.IFNA(VLOOKUP(A28,'Weapon Formulas'!$E$10:$W$300,16,0),weapon_components!N28),2)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 ca="1">ROUND(_xlfn.IFNA(VLOOKUP(A29,'Weapon Formulas'!$E$10:$Q$300,11,0),weapon_components!D29),2)</f>
        <v>917.16</v>
      </c>
      <c r="E29" s="5">
        <f ca="1">ROUND(_xlfn.IFNA(VLOOKUP(A29,'Weapon Formulas'!$E$10:$Q$300,12,0),weapon_components!E29),2)</f>
        <v>1528.6</v>
      </c>
      <c r="F29" s="5">
        <f>ROUND(_xlfn.IFNA(VLOOKUP(A29,'Weapon Formulas'!$E$10:$L$300,8,0),weapon_components!F29),2)</f>
        <v>0.08</v>
      </c>
      <c r="G29" s="5">
        <f>ROUND(_xlfn.IFNA(VLOOKUP(A29,'Weapon Formulas'!$E$10:$P$300,9,0),weapon_components!G29),2)</f>
        <v>0</v>
      </c>
      <c r="H29" s="5">
        <f ca="1">ROUND(_xlfn.IFNA(VLOOKUP(A29,'Weapon Formulas'!$E$10:$L$300,7,0),weapon_components!H29),2)</f>
        <v>3.13</v>
      </c>
      <c r="I29" s="5">
        <v>22</v>
      </c>
      <c r="J29" s="5">
        <v>35</v>
      </c>
      <c r="K29" s="5">
        <v>60</v>
      </c>
      <c r="L29" s="5">
        <f>ROUND(_xlfn.IFNA(VLOOKUP(A29,'Weapon Formulas'!$E$10:$Z$300,15,0),weapon_components!L29),1)</f>
        <v>53.3</v>
      </c>
      <c r="M29" s="32">
        <f ca="1">ROUND(_xlfn.IFNA(VLOOKUP(A29,'Weapon Formulas'!$E$10:$Z$300,14,0),weapon_components!M29),2)</f>
        <v>0.72</v>
      </c>
      <c r="N29" s="5">
        <f>ROUND(_xlfn.IFNA(VLOOKUP(A29,'Weapon Formulas'!$E$10:$W$300,16,0),weapon_components!N29),2)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3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 ca="1">ROUND(_xlfn.IFNA(VLOOKUP(A31,'Weapon Formulas'!$E$10:$Q$300,11,0),weapon_components!D31),2)</f>
        <v>27.92</v>
      </c>
      <c r="E31" s="5">
        <f ca="1">ROUND(_xlfn.IFNA(VLOOKUP(A31,'Weapon Formulas'!$E$10:$Q$300,12,0),weapon_components!E31),2)</f>
        <v>46.53</v>
      </c>
      <c r="F31" s="5">
        <f>ROUND(_xlfn.IFNA(VLOOKUP(A31,'Weapon Formulas'!$E$10:$L$300,8,0),weapon_components!F31),2)</f>
        <v>7.0000000000000007E-2</v>
      </c>
      <c r="G31" s="5">
        <f>ROUND(_xlfn.IFNA(VLOOKUP(A31,'Weapon Formulas'!$E$10:$P$300,9,0),weapon_components!G31),2)</f>
        <v>0</v>
      </c>
      <c r="H31" s="5">
        <f ca="1">ROUND(_xlfn.IFNA(VLOOKUP(A31,'Weapon Formulas'!$E$10:$L$300,7,0),weapon_components!H31),2)</f>
        <v>1.82</v>
      </c>
      <c r="I31" s="5">
        <v>2</v>
      </c>
      <c r="J31" s="5">
        <v>25</v>
      </c>
      <c r="K31" s="5">
        <v>30</v>
      </c>
      <c r="L31" s="5">
        <f>ROUND(_xlfn.IFNA(VLOOKUP(A31,'Weapon Formulas'!$E$10:$Z$300,15,0),weapon_components!L31),1)</f>
        <v>29.8</v>
      </c>
      <c r="M31" s="32">
        <f ca="1">ROUND(_xlfn.IFNA(VLOOKUP(A31,'Weapon Formulas'!$E$10:$Z$300,14,0),weapon_components!M31),2)</f>
        <v>0.88</v>
      </c>
      <c r="N31" s="5">
        <f>ROUND(_xlfn.IFNA(VLOOKUP(A31,'Weapon Formulas'!$E$10:$W$300,16,0),weapon_components!N31),2)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 ca="1">ROUND(_xlfn.IFNA(VLOOKUP(A32,'Weapon Formulas'!$E$10:$Q$300,11,0),weapon_components!D32),2)</f>
        <v>61.23</v>
      </c>
      <c r="E32" s="5">
        <f ca="1">ROUND(_xlfn.IFNA(VLOOKUP(A32,'Weapon Formulas'!$E$10:$Q$300,12,0),weapon_components!E32),2)</f>
        <v>102.04</v>
      </c>
      <c r="F32" s="5">
        <f>ROUND(_xlfn.IFNA(VLOOKUP(A32,'Weapon Formulas'!$E$10:$L$300,8,0),weapon_components!F32),2)</f>
        <v>7.0000000000000007E-2</v>
      </c>
      <c r="G32" s="5">
        <f>ROUND(_xlfn.IFNA(VLOOKUP(A32,'Weapon Formulas'!$E$10:$P$300,9,0),weapon_components!G32),2)</f>
        <v>0</v>
      </c>
      <c r="H32" s="5">
        <f ca="1">ROUND(_xlfn.IFNA(VLOOKUP(A32,'Weapon Formulas'!$E$10:$L$300,7,0),weapon_components!H32),2)</f>
        <v>2.4500000000000002</v>
      </c>
      <c r="I32" s="5">
        <v>2</v>
      </c>
      <c r="J32" s="5">
        <v>25</v>
      </c>
      <c r="K32" s="5">
        <v>30</v>
      </c>
      <c r="L32" s="5">
        <f>ROUND(_xlfn.IFNA(VLOOKUP(A32,'Weapon Formulas'!$E$10:$Z$300,15,0),weapon_components!L32),1)</f>
        <v>37.200000000000003</v>
      </c>
      <c r="M32" s="32">
        <f ca="1">ROUND(_xlfn.IFNA(VLOOKUP(A32,'Weapon Formulas'!$E$10:$Z$300,14,0),weapon_components!M32),2)</f>
        <v>0.8</v>
      </c>
      <c r="N32" s="5">
        <f>ROUND(_xlfn.IFNA(VLOOKUP(A32,'Weapon Formulas'!$E$10:$W$300,16,0),weapon_components!N32),2)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 ca="1">ROUND(_xlfn.IFNA(VLOOKUP(A33,'Weapon Formulas'!$E$10:$Q$300,11,0),weapon_components!D33),2)</f>
        <v>135.62</v>
      </c>
      <c r="E33" s="5">
        <f ca="1">ROUND(_xlfn.IFNA(VLOOKUP(A33,'Weapon Formulas'!$E$10:$Q$300,12,0),weapon_components!E33),2)</f>
        <v>226.03</v>
      </c>
      <c r="F33" s="5">
        <f>ROUND(_xlfn.IFNA(VLOOKUP(A33,'Weapon Formulas'!$E$10:$L$300,8,0),weapon_components!F33),2)</f>
        <v>7.0000000000000007E-2</v>
      </c>
      <c r="G33" s="5">
        <f>ROUND(_xlfn.IFNA(VLOOKUP(A33,'Weapon Formulas'!$E$10:$P$300,9,0),weapon_components!G33),2)</f>
        <v>0</v>
      </c>
      <c r="H33" s="5">
        <f ca="1">ROUND(_xlfn.IFNA(VLOOKUP(A33,'Weapon Formulas'!$E$10:$L$300,7,0),weapon_components!H33),2)</f>
        <v>3.21</v>
      </c>
      <c r="I33" s="5">
        <v>2</v>
      </c>
      <c r="J33" s="5">
        <v>25</v>
      </c>
      <c r="K33" s="5">
        <v>30</v>
      </c>
      <c r="L33" s="5">
        <f>ROUND(_xlfn.IFNA(VLOOKUP(A33,'Weapon Formulas'!$E$10:$Z$300,15,0),weapon_components!L33),1)</f>
        <v>44.6</v>
      </c>
      <c r="M33" s="32">
        <f ca="1">ROUND(_xlfn.IFNA(VLOOKUP(A33,'Weapon Formulas'!$E$10:$Z$300,14,0),weapon_components!M33),2)</f>
        <v>0.72</v>
      </c>
      <c r="N33" s="5">
        <f>ROUND(_xlfn.IFNA(VLOOKUP(A33,'Weapon Formulas'!$E$10:$W$300,16,0),weapon_components!N33),2)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 ca="1">ROUND(_xlfn.IFNA(VLOOKUP(A34,'Weapon Formulas'!$E$10:$Q$300,11,0),weapon_components!D34),2)</f>
        <v>37.11</v>
      </c>
      <c r="E34" s="5">
        <f ca="1">ROUND(_xlfn.IFNA(VLOOKUP(A34,'Weapon Formulas'!$E$10:$Q$300,12,0),weapon_components!E34),2)</f>
        <v>61.85</v>
      </c>
      <c r="F34" s="5">
        <f>ROUND(_xlfn.IFNA(VLOOKUP(A34,'Weapon Formulas'!$E$10:$L$300,8,0),weapon_components!F34),2)</f>
        <v>7.0000000000000007E-2</v>
      </c>
      <c r="G34" s="5">
        <f>ROUND(_xlfn.IFNA(VLOOKUP(A34,'Weapon Formulas'!$E$10:$P$300,9,0),weapon_components!G34),2)</f>
        <v>0</v>
      </c>
      <c r="H34" s="5">
        <f ca="1">ROUND(_xlfn.IFNA(VLOOKUP(A34,'Weapon Formulas'!$E$10:$L$300,7,0),weapon_components!H34),2)</f>
        <v>1.93</v>
      </c>
      <c r="I34" s="5">
        <v>2</v>
      </c>
      <c r="J34" s="5">
        <v>25</v>
      </c>
      <c r="K34" s="5">
        <v>30</v>
      </c>
      <c r="L34" s="5">
        <f>ROUND(_xlfn.IFNA(VLOOKUP(A34,'Weapon Formulas'!$E$10:$Z$300,15,0),weapon_components!L34),1)</f>
        <v>32.6</v>
      </c>
      <c r="M34" s="32">
        <f ca="1">ROUND(_xlfn.IFNA(VLOOKUP(A34,'Weapon Formulas'!$E$10:$Z$300,14,0),weapon_components!M34),2)</f>
        <v>0.88</v>
      </c>
      <c r="N34" s="5">
        <f>ROUND(_xlfn.IFNA(VLOOKUP(A34,'Weapon Formulas'!$E$10:$W$300,16,0),weapon_components!N34),2)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 ca="1">ROUND(_xlfn.IFNA(VLOOKUP(A35,'Weapon Formulas'!$E$10:$Q$300,11,0),weapon_components!D35),2)</f>
        <v>81.42</v>
      </c>
      <c r="E35" s="5">
        <f ca="1">ROUND(_xlfn.IFNA(VLOOKUP(A35,'Weapon Formulas'!$E$10:$Q$300,12,0),weapon_components!E35),2)</f>
        <v>135.69999999999999</v>
      </c>
      <c r="F35" s="5">
        <f>ROUND(_xlfn.IFNA(VLOOKUP(A35,'Weapon Formulas'!$E$10:$L$300,8,0),weapon_components!F35),2)</f>
        <v>7.0000000000000007E-2</v>
      </c>
      <c r="G35" s="5">
        <f>ROUND(_xlfn.IFNA(VLOOKUP(A35,'Weapon Formulas'!$E$10:$P$300,9,0),weapon_components!G35),2)</f>
        <v>0</v>
      </c>
      <c r="H35" s="5">
        <f ca="1">ROUND(_xlfn.IFNA(VLOOKUP(A35,'Weapon Formulas'!$E$10:$L$300,7,0),weapon_components!H35),2)</f>
        <v>2.52</v>
      </c>
      <c r="I35" s="5">
        <v>2</v>
      </c>
      <c r="J35" s="5">
        <v>25</v>
      </c>
      <c r="K35" s="5">
        <v>30</v>
      </c>
      <c r="L35" s="5">
        <f>ROUND(_xlfn.IFNA(VLOOKUP(A35,'Weapon Formulas'!$E$10:$Z$300,15,0),weapon_components!L35),1)</f>
        <v>40.799999999999997</v>
      </c>
      <c r="M35" s="32">
        <f ca="1">ROUND(_xlfn.IFNA(VLOOKUP(A35,'Weapon Formulas'!$E$10:$Z$300,14,0),weapon_components!M35),2)</f>
        <v>0.8</v>
      </c>
      <c r="N35" s="5">
        <f>ROUND(_xlfn.IFNA(VLOOKUP(A35,'Weapon Formulas'!$E$10:$W$300,16,0),weapon_components!N35),2)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 ca="1">ROUND(_xlfn.IFNA(VLOOKUP(A36,'Weapon Formulas'!$E$10:$Q$300,11,0),weapon_components!D36),2)</f>
        <v>180.44</v>
      </c>
      <c r="E36" s="5">
        <f ca="1">ROUND(_xlfn.IFNA(VLOOKUP(A36,'Weapon Formulas'!$E$10:$Q$300,12,0),weapon_components!E36),2)</f>
        <v>300.73</v>
      </c>
      <c r="F36" s="5">
        <f>ROUND(_xlfn.IFNA(VLOOKUP(A36,'Weapon Formulas'!$E$10:$L$300,8,0),weapon_components!F36),2)</f>
        <v>7.0000000000000007E-2</v>
      </c>
      <c r="G36" s="5">
        <f>ROUND(_xlfn.IFNA(VLOOKUP(A36,'Weapon Formulas'!$E$10:$P$300,9,0),weapon_components!G36),2)</f>
        <v>0</v>
      </c>
      <c r="H36" s="5">
        <f ca="1">ROUND(_xlfn.IFNA(VLOOKUP(A36,'Weapon Formulas'!$E$10:$L$300,7,0),weapon_components!H36),2)</f>
        <v>3.25</v>
      </c>
      <c r="I36" s="5">
        <v>2</v>
      </c>
      <c r="J36" s="5">
        <v>25</v>
      </c>
      <c r="K36" s="2">
        <v>30</v>
      </c>
      <c r="L36" s="5">
        <f>ROUND(_xlfn.IFNA(VLOOKUP(A36,'Weapon Formulas'!$E$10:$Z$300,15,0),weapon_components!L36),1)</f>
        <v>49</v>
      </c>
      <c r="M36" s="32">
        <f ca="1">ROUND(_xlfn.IFNA(VLOOKUP(A36,'Weapon Formulas'!$E$10:$Z$300,14,0),weapon_components!M36),2)</f>
        <v>0.72</v>
      </c>
      <c r="N36" s="5">
        <f>ROUND(_xlfn.IFNA(VLOOKUP(A36,'Weapon Formulas'!$E$10:$W$300,16,0),weapon_components!N36),2)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 ca="1">ROUND(_xlfn.IFNA(VLOOKUP(A37,'Weapon Formulas'!$E$10:$Q$300,11,0),weapon_components!D37),2)</f>
        <v>46.29</v>
      </c>
      <c r="E37" s="5">
        <f ca="1">ROUND(_xlfn.IFNA(VLOOKUP(A37,'Weapon Formulas'!$E$10:$Q$300,12,0),weapon_components!E37),2)</f>
        <v>77.150000000000006</v>
      </c>
      <c r="F37" s="5">
        <f>ROUND(_xlfn.IFNA(VLOOKUP(A37,'Weapon Formulas'!$E$10:$L$300,8,0),weapon_components!F37),2)</f>
        <v>0.08</v>
      </c>
      <c r="G37" s="5">
        <f>ROUND(_xlfn.IFNA(VLOOKUP(A37,'Weapon Formulas'!$E$10:$P$300,9,0),weapon_components!G37),2)</f>
        <v>0</v>
      </c>
      <c r="H37" s="5">
        <f ca="1">ROUND(_xlfn.IFNA(VLOOKUP(A37,'Weapon Formulas'!$E$10:$L$300,7,0),weapon_components!H37),2)</f>
        <v>1.96</v>
      </c>
      <c r="I37" s="5">
        <v>2</v>
      </c>
      <c r="J37" s="5">
        <v>25</v>
      </c>
      <c r="K37" s="5">
        <v>30</v>
      </c>
      <c r="L37" s="5">
        <f>ROUND(_xlfn.IFNA(VLOOKUP(A37,'Weapon Formulas'!$E$10:$Z$300,15,0),weapon_components!L37),1)</f>
        <v>35.5</v>
      </c>
      <c r="M37" s="32">
        <f ca="1">ROUND(_xlfn.IFNA(VLOOKUP(A37,'Weapon Formulas'!$E$10:$Z$300,14,0),weapon_components!M37),2)</f>
        <v>0.88</v>
      </c>
      <c r="N37" s="5">
        <f>ROUND(_xlfn.IFNA(VLOOKUP(A37,'Weapon Formulas'!$E$10:$W$300,16,0),weapon_components!N37),2)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 ca="1">ROUND(_xlfn.IFNA(VLOOKUP(A38,'Weapon Formulas'!$E$10:$Q$300,11,0),weapon_components!D38),2)</f>
        <v>101.59</v>
      </c>
      <c r="E38" s="5">
        <f ca="1">ROUND(_xlfn.IFNA(VLOOKUP(A38,'Weapon Formulas'!$E$10:$Q$300,12,0),weapon_components!E38),2)</f>
        <v>169.31</v>
      </c>
      <c r="F38" s="5">
        <f>ROUND(_xlfn.IFNA(VLOOKUP(A38,'Weapon Formulas'!$E$10:$L$300,8,0),weapon_components!F38),2)</f>
        <v>0.08</v>
      </c>
      <c r="G38" s="5">
        <f>ROUND(_xlfn.IFNA(VLOOKUP(A38,'Weapon Formulas'!$E$10:$P$300,9,0),weapon_components!G38),2)</f>
        <v>0</v>
      </c>
      <c r="H38" s="5">
        <f ca="1">ROUND(_xlfn.IFNA(VLOOKUP(A38,'Weapon Formulas'!$E$10:$L$300,7,0),weapon_components!H38),2)</f>
        <v>2.48</v>
      </c>
      <c r="I38" s="5">
        <v>2</v>
      </c>
      <c r="J38" s="5">
        <v>25</v>
      </c>
      <c r="K38" s="5">
        <v>30</v>
      </c>
      <c r="L38" s="5">
        <f>ROUND(_xlfn.IFNA(VLOOKUP(A38,'Weapon Formulas'!$E$10:$Z$300,15,0),weapon_components!L38),1)</f>
        <v>44.4</v>
      </c>
      <c r="M38" s="32">
        <f ca="1">ROUND(_xlfn.IFNA(VLOOKUP(A38,'Weapon Formulas'!$E$10:$Z$300,14,0),weapon_components!M38),2)</f>
        <v>0.8</v>
      </c>
      <c r="N38" s="5">
        <f>ROUND(_xlfn.IFNA(VLOOKUP(A38,'Weapon Formulas'!$E$10:$W$300,16,0),weapon_components!N38),2)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 ca="1">ROUND(_xlfn.IFNA(VLOOKUP(A39,'Weapon Formulas'!$E$10:$Q$300,11,0),weapon_components!D39),2)</f>
        <v>225.18</v>
      </c>
      <c r="E39" s="5">
        <f ca="1">ROUND(_xlfn.IFNA(VLOOKUP(A39,'Weapon Formulas'!$E$10:$Q$300,12,0),weapon_components!E39),2)</f>
        <v>375.3</v>
      </c>
      <c r="F39" s="5">
        <f>ROUND(_xlfn.IFNA(VLOOKUP(A39,'Weapon Formulas'!$E$10:$L$300,8,0),weapon_components!F39),2)</f>
        <v>0.08</v>
      </c>
      <c r="G39" s="5">
        <f>ROUND(_xlfn.IFNA(VLOOKUP(A39,'Weapon Formulas'!$E$10:$P$300,9,0),weapon_components!G39),2)</f>
        <v>0</v>
      </c>
      <c r="H39" s="5">
        <f ca="1">ROUND(_xlfn.IFNA(VLOOKUP(A39,'Weapon Formulas'!$E$10:$L$300,7,0),weapon_components!H39),2)</f>
        <v>3.13</v>
      </c>
      <c r="I39" s="5">
        <v>2</v>
      </c>
      <c r="J39" s="5">
        <v>25</v>
      </c>
      <c r="K39" s="2">
        <v>30</v>
      </c>
      <c r="L39" s="5">
        <f>ROUND(_xlfn.IFNA(VLOOKUP(A39,'Weapon Formulas'!$E$10:$Z$300,15,0),weapon_components!L39),1)</f>
        <v>53.3</v>
      </c>
      <c r="M39" s="32">
        <f ca="1">ROUND(_xlfn.IFNA(VLOOKUP(A39,'Weapon Formulas'!$E$10:$Z$300,14,0),weapon_components!M39),2)</f>
        <v>0.72</v>
      </c>
      <c r="N39" s="5">
        <f>ROUND(_xlfn.IFNA(VLOOKUP(A39,'Weapon Formulas'!$E$10:$W$300,16,0),weapon_components!N39),2)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 ca="1">ROUND(_xlfn.IFNA(VLOOKUP(A41,'Weapon Formulas'!$E$10:$Q$300,11,0),weapon_components!D41),2)</f>
        <v>730.07</v>
      </c>
      <c r="E41" s="5">
        <f ca="1">ROUND(_xlfn.IFNA(VLOOKUP(A41,'Weapon Formulas'!$E$10:$Q$300,12,0),weapon_components!E41),2)</f>
        <v>1216.79</v>
      </c>
      <c r="F41" s="5">
        <f>ROUND(_xlfn.IFNA(VLOOKUP(A41,'Weapon Formulas'!$E$10:$L$300,8,0),weapon_components!F41),2)</f>
        <v>7.0000000000000007E-2</v>
      </c>
      <c r="G41" s="5">
        <f>ROUND(_xlfn.IFNA(VLOOKUP(A41,'Weapon Formulas'!$E$10:$P$300,9,0),weapon_components!G41),2)</f>
        <v>0</v>
      </c>
      <c r="H41" s="5">
        <f ca="1">ROUND(_xlfn.IFNA(VLOOKUP(A41,'Weapon Formulas'!$E$10:$L$300,7,0),weapon_components!H41),2)</f>
        <v>-1.41</v>
      </c>
      <c r="I41" s="5">
        <v>22</v>
      </c>
      <c r="J41" s="5">
        <v>30</v>
      </c>
      <c r="K41" s="5">
        <v>40</v>
      </c>
      <c r="L41" s="5">
        <f>ROUND(_xlfn.IFNA(VLOOKUP(A41,'Weapon Formulas'!$E$10:$Z$300,15,0),weapon_components!L41),1)</f>
        <v>49</v>
      </c>
      <c r="M41" s="32">
        <f ca="1">ROUND(_xlfn.IFNA(VLOOKUP(A41,'Weapon Formulas'!$E$10:$Z$300,14,0),weapon_components!M41),2)</f>
        <v>1</v>
      </c>
      <c r="N41" s="5">
        <f>ROUND(_xlfn.IFNA(VLOOKUP(A41,'Weapon Formulas'!$E$10:$W$300,16,0),weapon_components!N41),2)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 ca="1">ROUND(_xlfn.IFNA(VLOOKUP(A42,'Weapon Formulas'!$E$10:$Q$300,11,0),weapon_components!D42),2)</f>
        <v>1076.79</v>
      </c>
      <c r="E42" s="5">
        <f ca="1">ROUND(_xlfn.IFNA(VLOOKUP(A42,'Weapon Formulas'!$E$10:$Q$300,12,0),weapon_components!E42),2)</f>
        <v>1794.65</v>
      </c>
      <c r="F42" s="5">
        <f>ROUND(_xlfn.IFNA(VLOOKUP(A42,'Weapon Formulas'!$E$10:$L$300,8,0),weapon_components!F42),2)</f>
        <v>0.08</v>
      </c>
      <c r="G42" s="5">
        <f>ROUND(_xlfn.IFNA(VLOOKUP(A42,'Weapon Formulas'!$E$10:$P$300,9,0),weapon_components!G42),2)</f>
        <v>0</v>
      </c>
      <c r="H42" s="5">
        <f ca="1">ROUND(_xlfn.IFNA(VLOOKUP(A42,'Weapon Formulas'!$E$10:$L$300,7,0),weapon_components!H42),2)</f>
        <v>-1.27</v>
      </c>
      <c r="I42" s="5">
        <v>22</v>
      </c>
      <c r="J42" s="5">
        <v>30</v>
      </c>
      <c r="K42" s="5">
        <v>40</v>
      </c>
      <c r="L42" s="5">
        <f>ROUND(_xlfn.IFNA(VLOOKUP(A42,'Weapon Formulas'!$E$10:$Z$300,15,0),weapon_components!L42),1)</f>
        <v>53.3</v>
      </c>
      <c r="M42" s="32">
        <f ca="1">ROUND(_xlfn.IFNA(VLOOKUP(A42,'Weapon Formulas'!$E$10:$Z$300,14,0),weapon_components!M42),2)</f>
        <v>1</v>
      </c>
      <c r="N42" s="5">
        <f>ROUND(_xlfn.IFNA(VLOOKUP(A42,'Weapon Formulas'!$E$10:$W$300,16,0),weapon_components!N42),2)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3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 ca="1">ROUND(_xlfn.IFNA(VLOOKUP(A44,'Weapon Formulas'!$E$10:$Q$300,11,0),weapon_components!D44),2)</f>
        <v>113.24</v>
      </c>
      <c r="E44" s="5">
        <f ca="1">ROUND(_xlfn.IFNA(VLOOKUP(A44,'Weapon Formulas'!$E$10:$Q$300,12,0),weapon_components!E44),2)</f>
        <v>188.73</v>
      </c>
      <c r="F44" s="5">
        <f>ROUND(_xlfn.IFNA(VLOOKUP(A44,'Weapon Formulas'!$E$10:$L$300,8,0),weapon_components!F44),2)</f>
        <v>2.4</v>
      </c>
      <c r="G44" s="5">
        <f>ROUND(_xlfn.IFNA(VLOOKUP(A44,'Weapon Formulas'!$E$10:$P$300,9,0),weapon_components!G44),2)</f>
        <v>0</v>
      </c>
      <c r="H44" s="5">
        <f ca="1">ROUND(_xlfn.IFNA(VLOOKUP(A44,'Weapon Formulas'!$E$10:$L$300,7,0),weapon_components!H44),2)</f>
        <v>-1.78</v>
      </c>
      <c r="I44" s="5">
        <v>2</v>
      </c>
      <c r="J44" s="5">
        <v>20</v>
      </c>
      <c r="K44" s="5">
        <v>25</v>
      </c>
      <c r="L44" s="5">
        <f>ROUND(_xlfn.IFNA(VLOOKUP(A44,'Weapon Formulas'!$E$10:$Z$300,15,0),weapon_components!L44),1)</f>
        <v>22.3</v>
      </c>
      <c r="M44" s="32">
        <f ca="1">ROUND(_xlfn.IFNA(VLOOKUP(A44,'Weapon Formulas'!$E$10:$Z$300,14,0),weapon_components!M44),2)</f>
        <v>0.72</v>
      </c>
      <c r="N44" s="5">
        <f>ROUND(_xlfn.IFNA(VLOOKUP(A44,'Weapon Formulas'!$E$10:$W$300,16,0),weapon_components!N44),2)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 ca="1">ROUND(_xlfn.IFNA(VLOOKUP(A45,'Weapon Formulas'!$E$10:$Q$300,11,0),weapon_components!D45),2)</f>
        <v>63.58</v>
      </c>
      <c r="E45" s="5">
        <f ca="1">ROUND(_xlfn.IFNA(VLOOKUP(A45,'Weapon Formulas'!$E$10:$Q$300,12,0),weapon_components!E45),2)</f>
        <v>105.97</v>
      </c>
      <c r="F45" s="5">
        <f>ROUND(_xlfn.IFNA(VLOOKUP(A45,'Weapon Formulas'!$E$10:$L$300,8,0),weapon_components!F45),2)</f>
        <v>2.4</v>
      </c>
      <c r="G45" s="5">
        <f>ROUND(_xlfn.IFNA(VLOOKUP(A45,'Weapon Formulas'!$E$10:$P$300,9,0),weapon_components!G45),2)</f>
        <v>0</v>
      </c>
      <c r="H45" s="5">
        <f ca="1">ROUND(_xlfn.IFNA(VLOOKUP(A45,'Weapon Formulas'!$E$10:$L$300,7,0),weapon_components!H45),2)</f>
        <v>-1.81</v>
      </c>
      <c r="I45" s="5">
        <v>2</v>
      </c>
      <c r="J45" s="5">
        <v>20</v>
      </c>
      <c r="K45" s="5">
        <v>25</v>
      </c>
      <c r="L45" s="5">
        <f>ROUND(_xlfn.IFNA(VLOOKUP(A45,'Weapon Formulas'!$E$10:$Z$300,15,0),weapon_components!L45),1)</f>
        <v>26</v>
      </c>
      <c r="M45" s="32">
        <f ca="1">ROUND(_xlfn.IFNA(VLOOKUP(A45,'Weapon Formulas'!$E$10:$Z$300,14,0),weapon_components!M45),2)</f>
        <v>0.64</v>
      </c>
      <c r="N45" s="5">
        <f>ROUND(_xlfn.IFNA(VLOOKUP(A45,'Weapon Formulas'!$E$10:$W$300,16,0),weapon_components!N45),2)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 ca="1">ROUND(_xlfn.IFNA(VLOOKUP(A46,'Weapon Formulas'!$E$10:$Q$300,11,0),weapon_components!D46),2)</f>
        <v>145.06</v>
      </c>
      <c r="E46" s="5">
        <f ca="1">ROUND(_xlfn.IFNA(VLOOKUP(A46,'Weapon Formulas'!$E$10:$Q$300,12,0),weapon_components!E46),2)</f>
        <v>241.77</v>
      </c>
      <c r="F46" s="5">
        <f>ROUND(_xlfn.IFNA(VLOOKUP(A46,'Weapon Formulas'!$E$10:$L$300,8,0),weapon_components!F46),2)</f>
        <v>2.4</v>
      </c>
      <c r="G46" s="5">
        <f>ROUND(_xlfn.IFNA(VLOOKUP(A46,'Weapon Formulas'!$E$10:$P$300,9,0),weapon_components!G46),2)</f>
        <v>0</v>
      </c>
      <c r="H46" s="5">
        <f ca="1">ROUND(_xlfn.IFNA(VLOOKUP(A46,'Weapon Formulas'!$E$10:$L$300,7,0),weapon_components!H46),2)</f>
        <v>-1.86</v>
      </c>
      <c r="I46" s="5">
        <v>2</v>
      </c>
      <c r="J46" s="5">
        <v>20</v>
      </c>
      <c r="K46" s="5">
        <v>25</v>
      </c>
      <c r="L46" s="5">
        <f>ROUND(_xlfn.IFNA(VLOOKUP(A46,'Weapon Formulas'!$E$10:$Z$300,15,0),weapon_components!L46),1)</f>
        <v>29.8</v>
      </c>
      <c r="M46" s="32">
        <f ca="1">ROUND(_xlfn.IFNA(VLOOKUP(A46,'Weapon Formulas'!$E$10:$Z$300,14,0),weapon_components!M46),2)</f>
        <v>0.56000000000000005</v>
      </c>
      <c r="N46" s="5">
        <f>ROUND(_xlfn.IFNA(VLOOKUP(A46,'Weapon Formulas'!$E$10:$W$300,16,0),weapon_components!N46),2)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 ca="1">ROUND(_xlfn.IFNA(VLOOKUP(A47,'Weapon Formulas'!$E$10:$Q$300,11,0),weapon_components!D47),2)</f>
        <v>37.61</v>
      </c>
      <c r="E47" s="5">
        <f ca="1">ROUND(_xlfn.IFNA(VLOOKUP(A47,'Weapon Formulas'!$E$10:$Q$300,12,0),weapon_components!E47),2)</f>
        <v>62.68</v>
      </c>
      <c r="F47" s="5">
        <f>ROUND(_xlfn.IFNA(VLOOKUP(A47,'Weapon Formulas'!$E$10:$L$300,8,0),weapon_components!F47),2)</f>
        <v>2.6</v>
      </c>
      <c r="G47" s="5">
        <f>ROUND(_xlfn.IFNA(VLOOKUP(A47,'Weapon Formulas'!$E$10:$P$300,9,0),weapon_components!G47),2)</f>
        <v>0</v>
      </c>
      <c r="H47" s="5">
        <f ca="1">ROUND(_xlfn.IFNA(VLOOKUP(A47,'Weapon Formulas'!$E$10:$L$300,7,0),weapon_components!H47),2)</f>
        <v>-1.65</v>
      </c>
      <c r="I47" s="5">
        <v>2</v>
      </c>
      <c r="J47" s="5">
        <v>20</v>
      </c>
      <c r="K47" s="5">
        <v>25</v>
      </c>
      <c r="L47" s="5">
        <f>ROUND(_xlfn.IFNA(VLOOKUP(A47,'Weapon Formulas'!$E$10:$Z$300,15,0),weapon_components!L47),1)</f>
        <v>24.5</v>
      </c>
      <c r="M47" s="32">
        <f ca="1">ROUND(_xlfn.IFNA(VLOOKUP(A47,'Weapon Formulas'!$E$10:$Z$300,14,0),weapon_components!M47),2)</f>
        <v>0.72</v>
      </c>
      <c r="N47" s="5">
        <f>ROUND(_xlfn.IFNA(VLOOKUP(A47,'Weapon Formulas'!$E$10:$W$300,16,0),weapon_components!N47),2)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 ca="1">ROUND(_xlfn.IFNA(VLOOKUP(A48,'Weapon Formulas'!$E$10:$Q$300,11,0),weapon_components!D48),2)</f>
        <v>84.48</v>
      </c>
      <c r="E48" s="5">
        <f ca="1">ROUND(_xlfn.IFNA(VLOOKUP(A48,'Weapon Formulas'!$E$10:$Q$300,12,0),weapon_components!E48),2)</f>
        <v>140.79</v>
      </c>
      <c r="F48" s="5">
        <f>ROUND(_xlfn.IFNA(VLOOKUP(A48,'Weapon Formulas'!$E$10:$L$300,8,0),weapon_components!F48),2)</f>
        <v>2.6</v>
      </c>
      <c r="G48" s="5">
        <f>ROUND(_xlfn.IFNA(VLOOKUP(A48,'Weapon Formulas'!$E$10:$P$300,9,0),weapon_components!G48),2)</f>
        <v>0</v>
      </c>
      <c r="H48" s="5">
        <f ca="1">ROUND(_xlfn.IFNA(VLOOKUP(A48,'Weapon Formulas'!$E$10:$L$300,7,0),weapon_components!H48),2)</f>
        <v>-1.69</v>
      </c>
      <c r="I48" s="5">
        <v>2</v>
      </c>
      <c r="J48" s="5">
        <v>20</v>
      </c>
      <c r="K48" s="5">
        <v>25</v>
      </c>
      <c r="L48" s="5">
        <f>ROUND(_xlfn.IFNA(VLOOKUP(A48,'Weapon Formulas'!$E$10:$Z$300,15,0),weapon_components!L48),1)</f>
        <v>28.6</v>
      </c>
      <c r="M48" s="32">
        <f ca="1">ROUND(_xlfn.IFNA(VLOOKUP(A48,'Weapon Formulas'!$E$10:$Z$300,14,0),weapon_components!M48),2)</f>
        <v>0.64</v>
      </c>
      <c r="N48" s="5">
        <f>ROUND(_xlfn.IFNA(VLOOKUP(A48,'Weapon Formulas'!$E$10:$W$300,16,0),weapon_components!N48),2)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 ca="1">ROUND(_xlfn.IFNA(VLOOKUP(A49,'Weapon Formulas'!$E$10:$Q$300,11,0),weapon_components!D49),2)</f>
        <v>192.75</v>
      </c>
      <c r="E49" s="5">
        <f ca="1">ROUND(_xlfn.IFNA(VLOOKUP(A49,'Weapon Formulas'!$E$10:$Q$300,12,0),weapon_components!E49),2)</f>
        <v>321.25</v>
      </c>
      <c r="F49" s="5">
        <f>ROUND(_xlfn.IFNA(VLOOKUP(A49,'Weapon Formulas'!$E$10:$L$300,8,0),weapon_components!F49),2)</f>
        <v>2.6</v>
      </c>
      <c r="G49" s="5">
        <f>ROUND(_xlfn.IFNA(VLOOKUP(A49,'Weapon Formulas'!$E$10:$P$300,9,0),weapon_components!G49),2)</f>
        <v>0</v>
      </c>
      <c r="H49" s="5">
        <f ca="1">ROUND(_xlfn.IFNA(VLOOKUP(A49,'Weapon Formulas'!$E$10:$L$300,7,0),weapon_components!H49),2)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Formulas'!$E$10:$Z$300,15,0),weapon_components!L49),1)</f>
        <v>32.6</v>
      </c>
      <c r="M49" s="32">
        <f ca="1">ROUND(_xlfn.IFNA(VLOOKUP(A49,'Weapon Formulas'!$E$10:$Z$300,14,0),weapon_components!M49),2)</f>
        <v>0.56000000000000005</v>
      </c>
      <c r="N49" s="5">
        <f>ROUND(_xlfn.IFNA(VLOOKUP(A49,'Weapon Formulas'!$E$10:$W$300,16,0),weapon_components!N49),2)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 ca="1">ROUND(_xlfn.IFNA(VLOOKUP(A50,'Weapon Formulas'!$E$10:$Q$300,11,0),weapon_components!D50),2)</f>
        <v>46.89</v>
      </c>
      <c r="E50" s="5">
        <f ca="1">ROUND(_xlfn.IFNA(VLOOKUP(A50,'Weapon Formulas'!$E$10:$Q$300,12,0),weapon_components!E50),2)</f>
        <v>78.150000000000006</v>
      </c>
      <c r="F50" s="5">
        <f>ROUND(_xlfn.IFNA(VLOOKUP(A50,'Weapon Formulas'!$E$10:$L$300,8,0),weapon_components!F50),2)</f>
        <v>3</v>
      </c>
      <c r="G50" s="5">
        <f>ROUND(_xlfn.IFNA(VLOOKUP(A50,'Weapon Formulas'!$E$10:$P$300,9,0),weapon_components!G50),2)</f>
        <v>0</v>
      </c>
      <c r="H50" s="5">
        <f ca="1">ROUND(_xlfn.IFNA(VLOOKUP(A50,'Weapon Formulas'!$E$10:$L$300,7,0),weapon_components!H50),2)</f>
        <v>-1.37</v>
      </c>
      <c r="I50" s="5">
        <v>2</v>
      </c>
      <c r="J50" s="5">
        <v>20</v>
      </c>
      <c r="K50" s="5">
        <v>25</v>
      </c>
      <c r="L50" s="5">
        <f>ROUND(_xlfn.IFNA(VLOOKUP(A50,'Weapon Formulas'!$E$10:$Z$300,15,0),weapon_components!L50),1)</f>
        <v>26.6</v>
      </c>
      <c r="M50" s="32">
        <f ca="1">ROUND(_xlfn.IFNA(VLOOKUP(A50,'Weapon Formulas'!$E$10:$Z$300,14,0),weapon_components!M50),2)</f>
        <v>0.72</v>
      </c>
      <c r="N50" s="5">
        <f>ROUND(_xlfn.IFNA(VLOOKUP(A50,'Weapon Formulas'!$E$10:$W$300,16,0),weapon_components!N50),2)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 ca="1">ROUND(_xlfn.IFNA(VLOOKUP(A51,'Weapon Formulas'!$E$10:$Q$300,11,0),weapon_components!D51),2)</f>
        <v>105.33</v>
      </c>
      <c r="E51" s="5">
        <f ca="1">ROUND(_xlfn.IFNA(VLOOKUP(A51,'Weapon Formulas'!$E$10:$Q$300,12,0),weapon_components!E51),2)</f>
        <v>175.55</v>
      </c>
      <c r="F51" s="5">
        <f>ROUND(_xlfn.IFNA(VLOOKUP(A51,'Weapon Formulas'!$E$10:$L$300,8,0),weapon_components!F51),2)</f>
        <v>3</v>
      </c>
      <c r="G51" s="5">
        <f>ROUND(_xlfn.IFNA(VLOOKUP(A51,'Weapon Formulas'!$E$10:$P$300,9,0),weapon_components!G51),2)</f>
        <v>0</v>
      </c>
      <c r="H51" s="5">
        <f ca="1">ROUND(_xlfn.IFNA(VLOOKUP(A51,'Weapon Formulas'!$E$10:$L$300,7,0),weapon_components!H51),2)</f>
        <v>-1.42</v>
      </c>
      <c r="I51" s="5">
        <v>2</v>
      </c>
      <c r="J51" s="5">
        <v>20</v>
      </c>
      <c r="K51" s="5">
        <v>25</v>
      </c>
      <c r="L51" s="5">
        <f>ROUND(_xlfn.IFNA(VLOOKUP(A51,'Weapon Formulas'!$E$10:$Z$300,15,0),weapon_components!L51),1)</f>
        <v>31.1</v>
      </c>
      <c r="M51" s="32">
        <f ca="1">ROUND(_xlfn.IFNA(VLOOKUP(A51,'Weapon Formulas'!$E$10:$Z$300,14,0),weapon_components!M51),2)</f>
        <v>0.64</v>
      </c>
      <c r="N51" s="5">
        <f>ROUND(_xlfn.IFNA(VLOOKUP(A51,'Weapon Formulas'!$E$10:$W$300,16,0),weapon_components!N51),2)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 ca="1">ROUND(_xlfn.IFNA(VLOOKUP(A52,'Weapon Formulas'!$E$10:$Q$300,11,0),weapon_components!D52),2)</f>
        <v>240.34</v>
      </c>
      <c r="E52" s="5">
        <f ca="1">ROUND(_xlfn.IFNA(VLOOKUP(A52,'Weapon Formulas'!$E$10:$Q$300,12,0),weapon_components!E52),2)</f>
        <v>400.57</v>
      </c>
      <c r="F52" s="5">
        <f>ROUND(_xlfn.IFNA(VLOOKUP(A52,'Weapon Formulas'!$E$10:$L$300,8,0),weapon_components!F52),2)</f>
        <v>3</v>
      </c>
      <c r="G52" s="5">
        <f>ROUND(_xlfn.IFNA(VLOOKUP(A52,'Weapon Formulas'!$E$10:$P$300,9,0),weapon_components!G52),2)</f>
        <v>0</v>
      </c>
      <c r="H52" s="5">
        <f ca="1">ROUND(_xlfn.IFNA(VLOOKUP(A52,'Weapon Formulas'!$E$10:$L$300,7,0),weapon_components!H52),2)</f>
        <v>-1.48</v>
      </c>
      <c r="I52" s="5">
        <v>2</v>
      </c>
      <c r="J52" s="5">
        <v>20</v>
      </c>
      <c r="K52" s="2">
        <v>25</v>
      </c>
      <c r="L52" s="5">
        <f>ROUND(_xlfn.IFNA(VLOOKUP(A52,'Weapon Formulas'!$E$10:$Z$300,15,0),weapon_components!L52),1)</f>
        <v>35.5</v>
      </c>
      <c r="M52" s="32">
        <f ca="1">ROUND(_xlfn.IFNA(VLOOKUP(A52,'Weapon Formulas'!$E$10:$Z$300,14,0),weapon_components!M52),2)</f>
        <v>0.56000000000000005</v>
      </c>
      <c r="N52" s="5">
        <f>ROUND(_xlfn.IFNA(VLOOKUP(A52,'Weapon Formulas'!$E$10:$W$300,16,0),weapon_components!N52),2)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 ca="1">ROUND(_xlfn.IFNA(VLOOKUP(A54,'Weapon Formulas'!$E$10:$Q$300,11,0),weapon_components!D54),2)</f>
        <v>502.23</v>
      </c>
      <c r="E54" s="5">
        <f ca="1">ROUND(_xlfn.IFNA(VLOOKUP(A54,'Weapon Formulas'!$E$10:$Q$300,12,0),weapon_components!E54),2)</f>
        <v>837.05</v>
      </c>
      <c r="F54" s="5">
        <f>ROUND(_xlfn.IFNA(VLOOKUP(A54,'Weapon Formulas'!$E$10:$L$300,8,0),weapon_components!F54),2)</f>
        <v>7.0000000000000007E-2</v>
      </c>
      <c r="G54" s="5">
        <f>ROUND(_xlfn.IFNA(VLOOKUP(A54,'Weapon Formulas'!$E$10:$P$300,9,0),weapon_components!G54),2)</f>
        <v>0</v>
      </c>
      <c r="H54" s="5">
        <f ca="1">ROUND(_xlfn.IFNA(VLOOKUP(A54,'Weapon Formulas'!$E$10:$L$300,7,0),weapon_components!H54),2)</f>
        <v>-1.0900000000000001</v>
      </c>
      <c r="I54" s="5">
        <v>2</v>
      </c>
      <c r="J54" s="5">
        <v>23</v>
      </c>
      <c r="K54" s="5">
        <v>55</v>
      </c>
      <c r="L54" s="5">
        <f>ROUND(_xlfn.IFNA(VLOOKUP(A54,'Weapon Formulas'!$E$10:$Z$300,15,0),weapon_components!L54),1)</f>
        <v>97.9</v>
      </c>
      <c r="M54" s="32">
        <f ca="1">ROUND(_xlfn.IFNA(VLOOKUP(A54,'Weapon Formulas'!$E$10:$Z$300,14,0),weapon_components!M54),2)</f>
        <v>1</v>
      </c>
      <c r="N54" s="5">
        <f>ROUND(_xlfn.IFNA(VLOOKUP(A54,'Weapon Formulas'!$E$10:$W$300,16,0),weapon_components!N54),2)</f>
        <v>11.25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 ca="1">ROUND(_xlfn.IFNA(VLOOKUP(A55,'Weapon Formulas'!$E$10:$Q$300,11,0),weapon_components!D55),2)</f>
        <v>653.26</v>
      </c>
      <c r="E55" s="5">
        <f ca="1">ROUND(_xlfn.IFNA(VLOOKUP(A55,'Weapon Formulas'!$E$10:$Q$300,12,0),weapon_components!E55),2)</f>
        <v>1088.77</v>
      </c>
      <c r="F55" s="5">
        <f>ROUND(_xlfn.IFNA(VLOOKUP(A55,'Weapon Formulas'!$E$10:$L$300,8,0),weapon_components!F55),2)</f>
        <v>0.08</v>
      </c>
      <c r="G55" s="5">
        <f>ROUND(_xlfn.IFNA(VLOOKUP(A55,'Weapon Formulas'!$E$10:$P$300,9,0),weapon_components!G55),2)</f>
        <v>0</v>
      </c>
      <c r="H55" s="5">
        <f ca="1">ROUND(_xlfn.IFNA(VLOOKUP(A55,'Weapon Formulas'!$E$10:$L$300,7,0),weapon_components!H55),2)</f>
        <v>-1.01</v>
      </c>
      <c r="I55" s="5">
        <v>2</v>
      </c>
      <c r="J55" s="5">
        <v>23</v>
      </c>
      <c r="K55" s="5">
        <v>55</v>
      </c>
      <c r="L55" s="5">
        <f>ROUND(_xlfn.IFNA(VLOOKUP(A55,'Weapon Formulas'!$E$10:$Z$300,15,0),weapon_components!L55),1)</f>
        <v>106.6</v>
      </c>
      <c r="M55" s="32">
        <f ca="1">ROUND(_xlfn.IFNA(VLOOKUP(A55,'Weapon Formulas'!$E$10:$Z$300,14,0),weapon_components!M55),2)</f>
        <v>1</v>
      </c>
      <c r="N55" s="5">
        <f>ROUND(_xlfn.IFNA(VLOOKUP(A55,'Weapon Formulas'!$E$10:$W$300,16,0),weapon_components!N55),2)</f>
        <v>15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 ca="1">ROUND(_xlfn.IFNA(VLOOKUP(A57,'Weapon Formulas'!$E$10:$Q$300,11,0),weapon_components!D57),2)</f>
        <v>8.07</v>
      </c>
      <c r="E57" s="5">
        <f ca="1">ROUND(_xlfn.IFNA(VLOOKUP(A57,'Weapon Formulas'!$E$10:$Q$300,12,0),weapon_components!E57),2)</f>
        <v>13.45</v>
      </c>
      <c r="F57" s="5">
        <f>ROUND(_xlfn.IFNA(VLOOKUP(A57,'Weapon Formulas'!$E$10:$L$300,8,0),weapon_components!F57),2)</f>
        <v>0</v>
      </c>
      <c r="G57" s="5">
        <f>ROUND(_xlfn.IFNA(VLOOKUP(A57,'Weapon Formulas'!$E$10:$P$300,9,0),weapon_components!G57),2)</f>
        <v>1</v>
      </c>
      <c r="H57" s="5">
        <f ca="1">ROUND(_xlfn.IFNA(VLOOKUP(A57,'Weapon Formulas'!$E$10:$L$300,7,0),weapon_components!H57),2)</f>
        <v>-18.32</v>
      </c>
      <c r="I57" s="5">
        <v>2</v>
      </c>
      <c r="J57" s="5">
        <v>23</v>
      </c>
      <c r="K57" s="5">
        <v>25</v>
      </c>
      <c r="L57" s="5">
        <f>ROUND(_xlfn.IFNA(VLOOKUP(A57,'Weapon Formulas'!$E$10:$Z$300,15,0),weapon_components!L57),1)</f>
        <v>36</v>
      </c>
      <c r="M57" s="32">
        <f ca="1">ROUND(_xlfn.IFNA(VLOOKUP(A57,'Weapon Formulas'!$E$10:$Z$300,14,0),weapon_components!M57),2)</f>
        <v>0.88</v>
      </c>
      <c r="N57" s="5">
        <f>ROUND(_xlfn.IFNA(VLOOKUP(A57,'Weapon Formulas'!$E$10:$W$300,16,0),weapon_components!N57),2)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 ca="1">ROUND(_xlfn.IFNA(VLOOKUP(A58,'Weapon Formulas'!$E$10:$Q$300,11,0),weapon_components!D58),2)</f>
        <v>18.489999999999998</v>
      </c>
      <c r="E58" s="5">
        <f ca="1">ROUND(_xlfn.IFNA(VLOOKUP(A58,'Weapon Formulas'!$E$10:$Q$300,12,0),weapon_components!E58),2)</f>
        <v>30.81</v>
      </c>
      <c r="F58" s="5">
        <f>ROUND(_xlfn.IFNA(VLOOKUP(A58,'Weapon Formulas'!$E$10:$L$300,8,0),weapon_components!F58),2)</f>
        <v>0</v>
      </c>
      <c r="G58" s="5">
        <f>ROUND(_xlfn.IFNA(VLOOKUP(A58,'Weapon Formulas'!$E$10:$P$300,9,0),weapon_components!G58),2)</f>
        <v>1</v>
      </c>
      <c r="H58" s="5">
        <f ca="1">ROUND(_xlfn.IFNA(VLOOKUP(A58,'Weapon Formulas'!$E$10:$L$300,7,0),weapon_components!H58),2)</f>
        <v>-13.48</v>
      </c>
      <c r="I58" s="5">
        <v>2</v>
      </c>
      <c r="J58" s="5">
        <v>23</v>
      </c>
      <c r="K58" s="5">
        <v>25</v>
      </c>
      <c r="L58" s="5">
        <f>ROUND(_xlfn.IFNA(VLOOKUP(A58,'Weapon Formulas'!$E$10:$Z$300,15,0),weapon_components!L58),1)</f>
        <v>45</v>
      </c>
      <c r="M58" s="32">
        <f ca="1">ROUND(_xlfn.IFNA(VLOOKUP(A58,'Weapon Formulas'!$E$10:$Z$300,14,0),weapon_components!M58),2)</f>
        <v>0.76</v>
      </c>
      <c r="N58" s="5">
        <f>ROUND(_xlfn.IFNA(VLOOKUP(A58,'Weapon Formulas'!$E$10:$W$300,16,0),weapon_components!N58),2)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 ca="1">ROUND(_xlfn.IFNA(VLOOKUP(A59,'Weapon Formulas'!$E$10:$Q$300,11,0),weapon_components!D59),2)</f>
        <v>43.43</v>
      </c>
      <c r="E59" s="5">
        <f ca="1">ROUND(_xlfn.IFNA(VLOOKUP(A59,'Weapon Formulas'!$E$10:$Q$300,12,0),weapon_components!E59),2)</f>
        <v>72.38</v>
      </c>
      <c r="F59" s="5">
        <f>ROUND(_xlfn.IFNA(VLOOKUP(A59,'Weapon Formulas'!$E$10:$L$300,8,0),weapon_components!F59),2)</f>
        <v>0</v>
      </c>
      <c r="G59" s="5">
        <f>ROUND(_xlfn.IFNA(VLOOKUP(A59,'Weapon Formulas'!$E$10:$P$300,9,0),weapon_components!G59),2)</f>
        <v>1</v>
      </c>
      <c r="H59" s="5">
        <f ca="1">ROUND(_xlfn.IFNA(VLOOKUP(A59,'Weapon Formulas'!$E$10:$L$300,7,0),weapon_components!H59),2)</f>
        <v>-6.83</v>
      </c>
      <c r="I59" s="5">
        <v>2</v>
      </c>
      <c r="J59" s="5">
        <v>23</v>
      </c>
      <c r="K59" s="5">
        <v>25</v>
      </c>
      <c r="L59" s="5">
        <f>ROUND(_xlfn.IFNA(VLOOKUP(A59,'Weapon Formulas'!$E$10:$Z$300,15,0),weapon_components!L59),1)</f>
        <v>54</v>
      </c>
      <c r="M59" s="32">
        <f ca="1">ROUND(_xlfn.IFNA(VLOOKUP(A59,'Weapon Formulas'!$E$10:$Z$300,14,0),weapon_components!M59),2)</f>
        <v>0.64</v>
      </c>
      <c r="N59" s="5">
        <f>ROUND(_xlfn.IFNA(VLOOKUP(A59,'Weapon Formulas'!$E$10:$W$300,16,0),weapon_components!N59),2)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 ca="1">ROUND(_xlfn.IFNA(VLOOKUP(A60,'Weapon Formulas'!$E$10:$Q$300,11,0),weapon_components!D60),2)</f>
        <v>14.67</v>
      </c>
      <c r="E60" s="5">
        <f ca="1">ROUND(_xlfn.IFNA(VLOOKUP(A60,'Weapon Formulas'!$E$10:$Q$300,12,0),weapon_components!E60),2)</f>
        <v>24.45</v>
      </c>
      <c r="F60" s="5">
        <f>ROUND(_xlfn.IFNA(VLOOKUP(A60,'Weapon Formulas'!$E$10:$L$300,8,0),weapon_components!F60),2)</f>
        <v>0</v>
      </c>
      <c r="G60" s="5">
        <f>ROUND(_xlfn.IFNA(VLOOKUP(A60,'Weapon Formulas'!$E$10:$P$300,9,0),weapon_components!G60),2)</f>
        <v>1</v>
      </c>
      <c r="H60" s="5">
        <f ca="1">ROUND(_xlfn.IFNA(VLOOKUP(A60,'Weapon Formulas'!$E$10:$L$300,7,0),weapon_components!H60),2)</f>
        <v>-3.4</v>
      </c>
      <c r="I60" s="5">
        <v>2</v>
      </c>
      <c r="J60" s="5">
        <v>23</v>
      </c>
      <c r="K60" s="5">
        <v>25</v>
      </c>
      <c r="L60" s="5">
        <f>ROUND(_xlfn.IFNA(VLOOKUP(A60,'Weapon Formulas'!$E$10:$Z$300,15,0),weapon_components!L60),1)</f>
        <v>40.299999999999997</v>
      </c>
      <c r="M60" s="32">
        <f ca="1">ROUND(_xlfn.IFNA(VLOOKUP(A60,'Weapon Formulas'!$E$10:$Z$300,14,0),weapon_components!M60),2)</f>
        <v>0.96</v>
      </c>
      <c r="N60" s="5">
        <f>ROUND(_xlfn.IFNA(VLOOKUP(A60,'Weapon Formulas'!$E$10:$W$300,16,0),weapon_components!N60),2)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 ca="1">ROUND(_xlfn.IFNA(VLOOKUP(A61,'Weapon Formulas'!$E$10:$Q$300,11,0),weapon_components!D61),2)</f>
        <v>33.33</v>
      </c>
      <c r="E61" s="5">
        <f ca="1">ROUND(_xlfn.IFNA(VLOOKUP(A61,'Weapon Formulas'!$E$10:$Q$300,12,0),weapon_components!E61),2)</f>
        <v>55.54</v>
      </c>
      <c r="F61" s="5">
        <f>ROUND(_xlfn.IFNA(VLOOKUP(A61,'Weapon Formulas'!$E$10:$L$300,8,0),weapon_components!F61),2)</f>
        <v>0</v>
      </c>
      <c r="G61" s="5">
        <f>ROUND(_xlfn.IFNA(VLOOKUP(A61,'Weapon Formulas'!$E$10:$P$300,9,0),weapon_components!G61),2)</f>
        <v>1</v>
      </c>
      <c r="H61" s="5">
        <f ca="1">ROUND(_xlfn.IFNA(VLOOKUP(A61,'Weapon Formulas'!$E$10:$L$300,7,0),weapon_components!H61),2)</f>
        <v>-2.44</v>
      </c>
      <c r="I61" s="5">
        <v>2</v>
      </c>
      <c r="J61" s="5">
        <v>23</v>
      </c>
      <c r="K61" s="5">
        <v>25</v>
      </c>
      <c r="L61" s="5">
        <f>ROUND(_xlfn.IFNA(VLOOKUP(A61,'Weapon Formulas'!$E$10:$Z$300,15,0),weapon_components!L61),1)</f>
        <v>50.4</v>
      </c>
      <c r="M61" s="32">
        <f ca="1">ROUND(_xlfn.IFNA(VLOOKUP(A61,'Weapon Formulas'!$E$10:$Z$300,14,0),weapon_components!M61),2)</f>
        <v>0.84</v>
      </c>
      <c r="N61" s="5">
        <f>ROUND(_xlfn.IFNA(VLOOKUP(A61,'Weapon Formulas'!$E$10:$W$300,16,0),weapon_components!N61),2)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 ca="1">ROUND(_xlfn.IFNA(VLOOKUP(A62,'Weapon Formulas'!$E$10:$Q$300,11,0),weapon_components!D62),2)</f>
        <v>77.27</v>
      </c>
      <c r="E62" s="5">
        <f ca="1">ROUND(_xlfn.IFNA(VLOOKUP(A62,'Weapon Formulas'!$E$10:$Q$300,12,0),weapon_components!E62),2)</f>
        <v>128.79</v>
      </c>
      <c r="F62" s="5">
        <f>ROUND(_xlfn.IFNA(VLOOKUP(A62,'Weapon Formulas'!$E$10:$L$300,8,0),weapon_components!F62),2)</f>
        <v>0</v>
      </c>
      <c r="G62" s="5">
        <f>ROUND(_xlfn.IFNA(VLOOKUP(A62,'Weapon Formulas'!$E$10:$P$300,9,0),weapon_components!G62),2)</f>
        <v>1</v>
      </c>
      <c r="H62" s="5">
        <f ca="1">ROUND(_xlfn.IFNA(VLOOKUP(A62,'Weapon Formulas'!$E$10:$L$300,7,0),weapon_components!H62),2)</f>
        <v>-1.17</v>
      </c>
      <c r="I62" s="5">
        <v>2</v>
      </c>
      <c r="J62" s="5">
        <v>23</v>
      </c>
      <c r="K62" s="5">
        <v>25</v>
      </c>
      <c r="L62" s="5">
        <f>ROUND(_xlfn.IFNA(VLOOKUP(A62,'Weapon Formulas'!$E$10:$Z$300,15,0),weapon_components!L62),1)</f>
        <v>60.5</v>
      </c>
      <c r="M62" s="32">
        <f ca="1">ROUND(_xlfn.IFNA(VLOOKUP(A62,'Weapon Formulas'!$E$10:$Z$300,14,0),weapon_components!M62),2)</f>
        <v>0.72</v>
      </c>
      <c r="N62" s="5">
        <f>ROUND(_xlfn.IFNA(VLOOKUP(A62,'Weapon Formulas'!$E$10:$W$300,16,0),weapon_components!N62),2)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 ca="1">ROUND(_xlfn.IFNA(VLOOKUP(A63,'Weapon Formulas'!$E$10:$Q$300,11,0),weapon_components!D63),2)</f>
        <v>22.26</v>
      </c>
      <c r="E63" s="5">
        <f ca="1">ROUND(_xlfn.IFNA(VLOOKUP(A63,'Weapon Formulas'!$E$10:$Q$300,12,0),weapon_components!E63),2)</f>
        <v>37.1</v>
      </c>
      <c r="F63" s="5">
        <f>ROUND(_xlfn.IFNA(VLOOKUP(A63,'Weapon Formulas'!$E$10:$L$300,8,0),weapon_components!F63),2)</f>
        <v>0</v>
      </c>
      <c r="G63" s="5">
        <f>ROUND(_xlfn.IFNA(VLOOKUP(A63,'Weapon Formulas'!$E$10:$P$300,9,0),weapon_components!G63),2)</f>
        <v>1</v>
      </c>
      <c r="H63" s="5">
        <f ca="1">ROUND(_xlfn.IFNA(VLOOKUP(A63,'Weapon Formulas'!$E$10:$L$300,7,0),weapon_components!H63),2)</f>
        <v>-1.7</v>
      </c>
      <c r="I63" s="5">
        <v>2</v>
      </c>
      <c r="J63" s="5">
        <v>23</v>
      </c>
      <c r="K63" s="5">
        <v>25</v>
      </c>
      <c r="L63" s="5">
        <f>ROUND(_xlfn.IFNA(VLOOKUP(A63,'Weapon Formulas'!$E$10:$Z$300,15,0),weapon_components!L63),1)</f>
        <v>44.6</v>
      </c>
      <c r="M63" s="32">
        <f ca="1">ROUND(_xlfn.IFNA(VLOOKUP(A63,'Weapon Formulas'!$E$10:$Z$300,14,0),weapon_components!M63),2)</f>
        <v>1</v>
      </c>
      <c r="N63" s="5">
        <f>ROUND(_xlfn.IFNA(VLOOKUP(A63,'Weapon Formulas'!$E$10:$W$300,16,0),weapon_components!N63),2)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 ca="1">ROUND(_xlfn.IFNA(VLOOKUP(A64,'Weapon Formulas'!$E$10:$Q$300,11,0),weapon_components!D64),2)</f>
        <v>45.57</v>
      </c>
      <c r="E64" s="5">
        <f ca="1">ROUND(_xlfn.IFNA(VLOOKUP(A64,'Weapon Formulas'!$E$10:$Q$300,12,0),weapon_components!E64),2)</f>
        <v>75.95</v>
      </c>
      <c r="F64" s="5">
        <f>ROUND(_xlfn.IFNA(VLOOKUP(A64,'Weapon Formulas'!$E$10:$L$300,8,0),weapon_components!F64),2)</f>
        <v>0</v>
      </c>
      <c r="G64" s="5">
        <f>ROUND(_xlfn.IFNA(VLOOKUP(A64,'Weapon Formulas'!$E$10:$P$300,9,0),weapon_components!G64),2)</f>
        <v>1</v>
      </c>
      <c r="H64" s="5">
        <f ca="1">ROUND(_xlfn.IFNA(VLOOKUP(A64,'Weapon Formulas'!$E$10:$L$300,7,0),weapon_components!H64),2)</f>
        <v>-1.18</v>
      </c>
      <c r="I64" s="5">
        <v>2</v>
      </c>
      <c r="J64" s="5">
        <v>23</v>
      </c>
      <c r="K64" s="5">
        <v>25</v>
      </c>
      <c r="L64" s="5">
        <f>ROUND(_xlfn.IFNA(VLOOKUP(A64,'Weapon Formulas'!$E$10:$Z$300,15,0),weapon_components!L64),1)</f>
        <v>55.8</v>
      </c>
      <c r="M64" s="32">
        <f ca="1">ROUND(_xlfn.IFNA(VLOOKUP(A64,'Weapon Formulas'!$E$10:$Z$300,14,0),weapon_components!M64),2)</f>
        <v>0.92</v>
      </c>
      <c r="N64" s="5">
        <f>ROUND(_xlfn.IFNA(VLOOKUP(A64,'Weapon Formulas'!$E$10:$W$300,16,0),weapon_components!N64),2)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 ca="1">ROUND(_xlfn.IFNA(VLOOKUP(A65,'Weapon Formulas'!$E$10:$Q$300,11,0),weapon_components!D65),2)</f>
        <v>104.31</v>
      </c>
      <c r="E65" s="5">
        <f ca="1">ROUND(_xlfn.IFNA(VLOOKUP(A65,'Weapon Formulas'!$E$10:$Q$300,12,0),weapon_components!E65),2)</f>
        <v>173.85</v>
      </c>
      <c r="F65" s="5">
        <f>ROUND(_xlfn.IFNA(VLOOKUP(A65,'Weapon Formulas'!$E$10:$L$300,8,0),weapon_components!F65),2)</f>
        <v>0</v>
      </c>
      <c r="G65" s="5">
        <f>ROUND(_xlfn.IFNA(VLOOKUP(A65,'Weapon Formulas'!$E$10:$P$300,9,0),weapon_components!G65),2)</f>
        <v>1</v>
      </c>
      <c r="H65" s="5">
        <f ca="1">ROUND(_xlfn.IFNA(VLOOKUP(A65,'Weapon Formulas'!$E$10:$L$300,7,0),weapon_components!H65),2)</f>
        <v>-0.5</v>
      </c>
      <c r="I65" s="5">
        <v>2</v>
      </c>
      <c r="J65" s="5">
        <v>23</v>
      </c>
      <c r="K65" s="5">
        <v>25</v>
      </c>
      <c r="L65" s="5">
        <f>ROUND(_xlfn.IFNA(VLOOKUP(A65,'Weapon Formulas'!$E$10:$Z$300,15,0),weapon_components!L65),1)</f>
        <v>67</v>
      </c>
      <c r="M65" s="32">
        <f ca="1">ROUND(_xlfn.IFNA(VLOOKUP(A65,'Weapon Formulas'!$E$10:$Z$300,14,0),weapon_components!M65),2)</f>
        <v>0.8</v>
      </c>
      <c r="N65" s="5">
        <f>ROUND(_xlfn.IFNA(VLOOKUP(A65,'Weapon Formulas'!$E$10:$W$300,16,0),weapon_components!N65),2)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 ca="1">ROUND(_xlfn.IFNA(VLOOKUP(A66,'Weapon Formulas'!$E$10:$Q$300,11,0),weapon_components!D66),2)</f>
        <v>33.17</v>
      </c>
      <c r="E66" s="5">
        <f ca="1">ROUND(_xlfn.IFNA(VLOOKUP(A66,'Weapon Formulas'!$E$10:$Q$300,12,0),weapon_components!E66),2)</f>
        <v>55.28</v>
      </c>
      <c r="F66" s="5">
        <f>ROUND(_xlfn.IFNA(VLOOKUP(A66,'Weapon Formulas'!$E$10:$L$300,8,0),weapon_components!F66),2)</f>
        <v>0</v>
      </c>
      <c r="G66" s="5">
        <f>ROUND(_xlfn.IFNA(VLOOKUP(A66,'Weapon Formulas'!$E$10:$P$300,9,0),weapon_components!G66),2)</f>
        <v>1</v>
      </c>
      <c r="H66" s="5">
        <f ca="1">ROUND(_xlfn.IFNA(VLOOKUP(A66,'Weapon Formulas'!$E$10:$L$300,7,0),weapon_components!H66),2)</f>
        <v>-1.56</v>
      </c>
      <c r="I66" s="5">
        <v>2</v>
      </c>
      <c r="J66" s="5">
        <v>23</v>
      </c>
      <c r="K66" s="5">
        <v>25</v>
      </c>
      <c r="L66" s="5">
        <f>ROUND(_xlfn.IFNA(VLOOKUP(A66,'Weapon Formulas'!$E$10:$Z$300,15,0),weapon_components!L66),1)</f>
        <v>49</v>
      </c>
      <c r="M66" s="32">
        <f ca="1">ROUND(_xlfn.IFNA(VLOOKUP(A66,'Weapon Formulas'!$E$10:$Z$300,14,0),weapon_components!M66),2)</f>
        <v>1</v>
      </c>
      <c r="N66" s="5">
        <f>ROUND(_xlfn.IFNA(VLOOKUP(A66,'Weapon Formulas'!$E$10:$W$300,16,0),weapon_components!N66),2)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 ca="1">ROUND(_xlfn.IFNA(VLOOKUP(A67,'Weapon Formulas'!$E$10:$Q$300,11,0),weapon_components!D67),2)</f>
        <v>56.17</v>
      </c>
      <c r="E67" s="5">
        <f ca="1">ROUND(_xlfn.IFNA(VLOOKUP(A67,'Weapon Formulas'!$E$10:$Q$300,12,0),weapon_components!E67),2)</f>
        <v>93.62</v>
      </c>
      <c r="F67" s="5">
        <f>ROUND(_xlfn.IFNA(VLOOKUP(A67,'Weapon Formulas'!$E$10:$L$300,8,0),weapon_components!F67),2)</f>
        <v>0</v>
      </c>
      <c r="G67" s="5">
        <f>ROUND(_xlfn.IFNA(VLOOKUP(A67,'Weapon Formulas'!$E$10:$P$300,9,0),weapon_components!G67),2)</f>
        <v>1</v>
      </c>
      <c r="H67" s="5">
        <f ca="1">ROUND(_xlfn.IFNA(VLOOKUP(A67,'Weapon Formulas'!$E$10:$L$300,7,0),weapon_components!H67),2)</f>
        <v>-1.1000000000000001</v>
      </c>
      <c r="I67" s="5">
        <v>2</v>
      </c>
      <c r="J67" s="5">
        <v>23</v>
      </c>
      <c r="K67" s="5">
        <v>25</v>
      </c>
      <c r="L67" s="5">
        <f>ROUND(_xlfn.IFNA(VLOOKUP(A67,'Weapon Formulas'!$E$10:$Z$300,15,0),weapon_components!L67),1)</f>
        <v>61.2</v>
      </c>
      <c r="M67" s="32">
        <f ca="1">ROUND(_xlfn.IFNA(VLOOKUP(A67,'Weapon Formulas'!$E$10:$Z$300,14,0),weapon_components!M67),2)</f>
        <v>1</v>
      </c>
      <c r="N67" s="5">
        <f>ROUND(_xlfn.IFNA(VLOOKUP(A67,'Weapon Formulas'!$E$10:$W$300,16,0),weapon_components!N67),2)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 ca="1">ROUND(_xlfn.IFNA(VLOOKUP(A68,'Weapon Formulas'!$E$10:$Q$300,11,0),weapon_components!D68),2)</f>
        <v>126.41</v>
      </c>
      <c r="E68" s="5">
        <f ca="1">ROUND(_xlfn.IFNA(VLOOKUP(A68,'Weapon Formulas'!$E$10:$Q$300,12,0),weapon_components!E68),2)</f>
        <v>210.68</v>
      </c>
      <c r="F68" s="5">
        <f>ROUND(_xlfn.IFNA(VLOOKUP(A68,'Weapon Formulas'!$E$10:$L$300,8,0),weapon_components!F68),2)</f>
        <v>0</v>
      </c>
      <c r="G68" s="5">
        <f>ROUND(_xlfn.IFNA(VLOOKUP(A68,'Weapon Formulas'!$E$10:$P$300,9,0),weapon_components!G68),2)</f>
        <v>1</v>
      </c>
      <c r="H68" s="5">
        <f ca="1">ROUND(_xlfn.IFNA(VLOOKUP(A68,'Weapon Formulas'!$E$10:$L$300,7,0),weapon_components!H68),2)</f>
        <v>-0.54</v>
      </c>
      <c r="I68" s="5">
        <v>2</v>
      </c>
      <c r="J68" s="5">
        <v>23</v>
      </c>
      <c r="K68" s="2">
        <v>25</v>
      </c>
      <c r="L68" s="5">
        <f>ROUND(_xlfn.IFNA(VLOOKUP(A68,'Weapon Formulas'!$E$10:$Z$300,15,0),weapon_components!L68),1)</f>
        <v>73.400000000000006</v>
      </c>
      <c r="M68" s="32">
        <f ca="1">ROUND(_xlfn.IFNA(VLOOKUP(A68,'Weapon Formulas'!$E$10:$Z$300,14,0),weapon_components!M68),2)</f>
        <v>0.88</v>
      </c>
      <c r="N68" s="5">
        <f>ROUND(_xlfn.IFNA(VLOOKUP(A68,'Weapon Formulas'!$E$10:$W$300,16,0),weapon_components!N68),2)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 ca="1">ROUND(_xlfn.IFNA(VLOOKUP(A69,'Weapon Formulas'!$E$10:$Q$300,11,0),weapon_components!D69),2)</f>
        <v>47.02</v>
      </c>
      <c r="E69" s="5">
        <f ca="1">ROUND(_xlfn.IFNA(VLOOKUP(A69,'Weapon Formulas'!$E$10:$Q$300,12,0),weapon_components!E69),2)</f>
        <v>78.36</v>
      </c>
      <c r="F69" s="5">
        <f>ROUND(_xlfn.IFNA(VLOOKUP(A69,'Weapon Formulas'!$E$10:$L$300,8,0),weapon_components!F69),2)</f>
        <v>0</v>
      </c>
      <c r="G69" s="5">
        <f>ROUND(_xlfn.IFNA(VLOOKUP(A69,'Weapon Formulas'!$E$10:$P$300,9,0),weapon_components!G69),2)</f>
        <v>1</v>
      </c>
      <c r="H69" s="5">
        <f ca="1">ROUND(_xlfn.IFNA(VLOOKUP(A69,'Weapon Formulas'!$E$10:$L$300,7,0),weapon_components!H69),2)</f>
        <v>-1.27</v>
      </c>
      <c r="I69" s="5">
        <v>2</v>
      </c>
      <c r="J69" s="5">
        <v>23</v>
      </c>
      <c r="K69" s="5">
        <v>25</v>
      </c>
      <c r="L69" s="5">
        <f>ROUND(_xlfn.IFNA(VLOOKUP(A69,'Weapon Formulas'!$E$10:$Z$300,15,0),weapon_components!L69),1)</f>
        <v>53.3</v>
      </c>
      <c r="M69" s="32">
        <f ca="1">ROUND(_xlfn.IFNA(VLOOKUP(A69,'Weapon Formulas'!$E$10:$Z$300,14,0),weapon_components!M69),2)</f>
        <v>1</v>
      </c>
      <c r="N69" s="5">
        <f>ROUND(_xlfn.IFNA(VLOOKUP(A69,'Weapon Formulas'!$E$10:$W$300,16,0),weapon_components!N69),2)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 ca="1">ROUND(_xlfn.IFNA(VLOOKUP(A70,'Weapon Formulas'!$E$10:$Q$300,11,0),weapon_components!D70),2)</f>
        <v>79.67</v>
      </c>
      <c r="E70" s="5">
        <f ca="1">ROUND(_xlfn.IFNA(VLOOKUP(A70,'Weapon Formulas'!$E$10:$Q$300,12,0),weapon_components!E70),2)</f>
        <v>132.78</v>
      </c>
      <c r="F70" s="5">
        <f>ROUND(_xlfn.IFNA(VLOOKUP(A70,'Weapon Formulas'!$E$10:$L$300,8,0),weapon_components!F70),2)</f>
        <v>0</v>
      </c>
      <c r="G70" s="5">
        <f>ROUND(_xlfn.IFNA(VLOOKUP(A70,'Weapon Formulas'!$E$10:$P$300,9,0),weapon_components!G70),2)</f>
        <v>1</v>
      </c>
      <c r="H70" s="5">
        <f ca="1">ROUND(_xlfn.IFNA(VLOOKUP(A70,'Weapon Formulas'!$E$10:$L$300,7,0),weapon_components!H70),2)</f>
        <v>-0.92</v>
      </c>
      <c r="I70" s="5">
        <v>2</v>
      </c>
      <c r="J70" s="5">
        <v>23</v>
      </c>
      <c r="K70" s="5">
        <v>25</v>
      </c>
      <c r="L70" s="5">
        <f>ROUND(_xlfn.IFNA(VLOOKUP(A70,'Weapon Formulas'!$E$10:$Z$300,15,0),weapon_components!L70),1)</f>
        <v>66.599999999999994</v>
      </c>
      <c r="M70" s="32">
        <f ca="1">ROUND(_xlfn.IFNA(VLOOKUP(A70,'Weapon Formulas'!$E$10:$Z$300,14,0),weapon_components!M70),2)</f>
        <v>1</v>
      </c>
      <c r="N70" s="5">
        <f>ROUND(_xlfn.IFNA(VLOOKUP(A70,'Weapon Formulas'!$E$10:$W$300,16,0),weapon_components!N70),2)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 ca="1">ROUND(_xlfn.IFNA(VLOOKUP(A71,'Weapon Formulas'!$E$10:$Q$300,11,0),weapon_components!D71),2)</f>
        <v>144.81</v>
      </c>
      <c r="E71" s="5">
        <f ca="1">ROUND(_xlfn.IFNA(VLOOKUP(A71,'Weapon Formulas'!$E$10:$Q$300,12,0),weapon_components!E71),2)</f>
        <v>241.34</v>
      </c>
      <c r="F71" s="5">
        <f>ROUND(_xlfn.IFNA(VLOOKUP(A71,'Weapon Formulas'!$E$10:$L$300,8,0),weapon_components!F71),2)</f>
        <v>0</v>
      </c>
      <c r="G71" s="5">
        <f>ROUND(_xlfn.IFNA(VLOOKUP(A71,'Weapon Formulas'!$E$10:$P$300,9,0),weapon_components!G71),2)</f>
        <v>1</v>
      </c>
      <c r="H71" s="5">
        <f ca="1">ROUND(_xlfn.IFNA(VLOOKUP(A71,'Weapon Formulas'!$E$10:$L$300,7,0),weapon_components!H71),2)</f>
        <v>-0.45</v>
      </c>
      <c r="I71" s="5">
        <v>2</v>
      </c>
      <c r="J71" s="5">
        <v>23</v>
      </c>
      <c r="K71" s="2">
        <v>25</v>
      </c>
      <c r="L71" s="5">
        <f>ROUND(_xlfn.IFNA(VLOOKUP(A71,'Weapon Formulas'!$E$10:$Z$300,15,0),weapon_components!L71),1)</f>
        <v>79.900000000000006</v>
      </c>
      <c r="M71" s="32">
        <f ca="1">ROUND(_xlfn.IFNA(VLOOKUP(A71,'Weapon Formulas'!$E$10:$Z$300,14,0),weapon_components!M71),2)</f>
        <v>0.96</v>
      </c>
      <c r="N71" s="5">
        <f>ROUND(_xlfn.IFNA(VLOOKUP(A71,'Weapon Formulas'!$E$10:$W$300,16,0),weapon_components!N71),2)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Formulas'!$E$10:$Q$300,11,0),weapon_components!D73),2)</f>
        <v>3</v>
      </c>
      <c r="E73" s="5">
        <f>ROUND(_xlfn.IFNA(VLOOKUP(A73,'Weapon Formulas'!$E$10:$Q$300,12,0),weapon_components!E73),2)</f>
        <v>15</v>
      </c>
      <c r="F73" s="5">
        <f>ROUND(_xlfn.IFNA(VLOOKUP(A73,'Weapon Formulas'!$E$10:$L$300,8,0),weapon_components!F73),2)</f>
        <v>1</v>
      </c>
      <c r="G73" s="5">
        <f>ROUND(_xlfn.IFNA(VLOOKUP(A73,'Weapon Formulas'!$E$10:$P$300,9,0),weapon_components!G73),2)</f>
        <v>0</v>
      </c>
      <c r="H73" s="5">
        <f>ROUND(_xlfn.IFNA(VLOOKUP(A73,'Weapon Formulas'!$E$10:$L$300,7,0),weapon_components!H73),2)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Formulas'!$E$10:$Z$300,15,0),weapon_components!L73),1)</f>
        <v>20</v>
      </c>
      <c r="M73" s="32">
        <f>ROUND(_xlfn.IFNA(VLOOKUP(A73,'Weapon Formulas'!$E$10:$Z$300,14,0),weapon_components!M73),2)</f>
        <v>0.82</v>
      </c>
      <c r="N73" s="5">
        <f>ROUND(_xlfn.IFNA(VLOOKUP(A73,'Weapon Formulas'!$E$10:$W$300,16,0),weapon_components!N73),2)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Formulas'!$E$10:$Q$300,11,0),weapon_components!D74),2)</f>
        <v>6</v>
      </c>
      <c r="E74" s="5">
        <f>ROUND(_xlfn.IFNA(VLOOKUP(A74,'Weapon Formulas'!$E$10:$Q$300,12,0),weapon_components!E74),2)</f>
        <v>31</v>
      </c>
      <c r="F74" s="5">
        <f>ROUND(_xlfn.IFNA(VLOOKUP(A74,'Weapon Formulas'!$E$10:$L$300,8,0),weapon_components!F74),2)</f>
        <v>1</v>
      </c>
      <c r="G74" s="5">
        <f>ROUND(_xlfn.IFNA(VLOOKUP(A74,'Weapon Formulas'!$E$10:$P$300,9,0),weapon_components!G74),2)</f>
        <v>0</v>
      </c>
      <c r="H74" s="5">
        <f>ROUND(_xlfn.IFNA(VLOOKUP(A74,'Weapon Formulas'!$E$10:$L$300,7,0),weapon_components!H74),2)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Formulas'!$E$10:$Z$300,15,0),weapon_components!L74),1)</f>
        <v>30</v>
      </c>
      <c r="M74" s="32">
        <f>ROUND(_xlfn.IFNA(VLOOKUP(A74,'Weapon Formulas'!$E$10:$Z$300,14,0),weapon_components!M74),2)</f>
        <v>0.8</v>
      </c>
      <c r="N74" s="5">
        <f>ROUND(_xlfn.IFNA(VLOOKUP(A74,'Weapon Formulas'!$E$10:$W$300,16,0),weapon_components!N74),2)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Formulas'!$E$10:$Q$300,11,0),weapon_components!D75),2)</f>
        <v>16</v>
      </c>
      <c r="E75" s="5">
        <f>ROUND(_xlfn.IFNA(VLOOKUP(A75,'Weapon Formulas'!$E$10:$Q$300,12,0),weapon_components!E75),2)</f>
        <v>66</v>
      </c>
      <c r="F75" s="5">
        <f>ROUND(_xlfn.IFNA(VLOOKUP(A75,'Weapon Formulas'!$E$10:$L$300,8,0),weapon_components!F75),2)</f>
        <v>1</v>
      </c>
      <c r="G75" s="5">
        <f>ROUND(_xlfn.IFNA(VLOOKUP(A75,'Weapon Formulas'!$E$10:$P$300,9,0),weapon_components!G75),2)</f>
        <v>0</v>
      </c>
      <c r="H75" s="5">
        <f>ROUND(_xlfn.IFNA(VLOOKUP(A75,'Weapon Formulas'!$E$10:$L$300,7,0),weapon_components!H75),2)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Formulas'!$E$10:$Z$300,15,0),weapon_components!L75),1)</f>
        <v>40</v>
      </c>
      <c r="M75" s="32">
        <f>ROUND(_xlfn.IFNA(VLOOKUP(A75,'Weapon Formulas'!$E$10:$Z$300,14,0),weapon_components!M75),2)</f>
        <v>0.75</v>
      </c>
      <c r="N75" s="5">
        <f>ROUND(_xlfn.IFNA(VLOOKUP(A75,'Weapon Formulas'!$E$10:$W$300,16,0),weapon_components!N75),2)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3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 ca="1">ROUND(_xlfn.IFNA(VLOOKUP(A77,'Weapon Formulas'!$E$10:$Q$300,11,0),weapon_components!D77),2)</f>
        <v>1106.83</v>
      </c>
      <c r="E77" s="5">
        <f ca="1">ROUND(_xlfn.IFNA(VLOOKUP(A77,'Weapon Formulas'!$E$10:$Q$300,12,0),weapon_components!E77),2)</f>
        <v>1844.71</v>
      </c>
      <c r="F77" s="5">
        <f>ROUND(_xlfn.IFNA(VLOOKUP(A77,'Weapon Formulas'!$E$10:$L$300,8,0),weapon_components!F77),2)</f>
        <v>7.0000000000000007E-2</v>
      </c>
      <c r="G77" s="5">
        <f>ROUND(_xlfn.IFNA(VLOOKUP(A77,'Weapon Formulas'!$E$10:$P$300,9,0),weapon_components!G77),2)</f>
        <v>0</v>
      </c>
      <c r="H77" s="5">
        <f ca="1">ROUND(_xlfn.IFNA(VLOOKUP(A77,'Weapon Formulas'!$E$10:$L$300,7,0),weapon_components!H77),2)</f>
        <v>-1.91</v>
      </c>
      <c r="I77" s="5">
        <v>35</v>
      </c>
      <c r="J77" s="5">
        <v>45</v>
      </c>
      <c r="K77" s="5">
        <v>30</v>
      </c>
      <c r="L77" s="5">
        <f>ROUND(_xlfn.IFNA(VLOOKUP(A77,'Weapon Formulas'!$E$10:$Z$300,15,0),weapon_components!L77),1)</f>
        <v>114.2</v>
      </c>
      <c r="M77" s="32">
        <f ca="1">ROUND(_xlfn.IFNA(VLOOKUP(A77,'Weapon Formulas'!$E$10:$Z$300,14,0),weapon_components!M77),2)</f>
        <v>1</v>
      </c>
      <c r="N77" s="5">
        <f>ROUND(_xlfn.IFNA(VLOOKUP(A77,'Weapon Formulas'!$E$10:$W$300,16,0),weapon_components!N77),2)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 ca="1">ROUND(_xlfn.IFNA(VLOOKUP(A78,'Weapon Formulas'!$E$10:$Q$300,11,0),weapon_components!D78),2)</f>
        <v>1633.12</v>
      </c>
      <c r="E78" s="5">
        <f ca="1">ROUND(_xlfn.IFNA(VLOOKUP(A78,'Weapon Formulas'!$E$10:$Q$300,12,0),weapon_components!E78),2)</f>
        <v>2721.87</v>
      </c>
      <c r="F78" s="5">
        <f>ROUND(_xlfn.IFNA(VLOOKUP(A78,'Weapon Formulas'!$E$10:$L$300,8,0),weapon_components!F78),2)</f>
        <v>0.08</v>
      </c>
      <c r="G78" s="5">
        <f>ROUND(_xlfn.IFNA(VLOOKUP(A78,'Weapon Formulas'!$E$10:$P$300,9,0),weapon_components!G78),2)</f>
        <v>0</v>
      </c>
      <c r="H78" s="5">
        <f ca="1">ROUND(_xlfn.IFNA(VLOOKUP(A78,'Weapon Formulas'!$E$10:$L$300,7,0),weapon_components!H78),2)</f>
        <v>-1.57</v>
      </c>
      <c r="I78" s="5">
        <v>35</v>
      </c>
      <c r="J78" s="5">
        <v>45</v>
      </c>
      <c r="K78" s="5">
        <v>30</v>
      </c>
      <c r="L78" s="5">
        <f>ROUND(_xlfn.IFNA(VLOOKUP(A78,'Weapon Formulas'!$E$10:$Z$300,15,0),weapon_components!L78),1)</f>
        <v>124.3</v>
      </c>
      <c r="M78" s="32">
        <f ca="1">ROUND(_xlfn.IFNA(VLOOKUP(A78,'Weapon Formulas'!$E$10:$Z$300,14,0),weapon_components!M78),2)</f>
        <v>1</v>
      </c>
      <c r="N78" s="5">
        <f>ROUND(_xlfn.IFNA(VLOOKUP(A78,'Weapon Formulas'!$E$10:$W$300,16,0),weapon_components!N78),2)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3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 ca="1">ROUND(_xlfn.IFNA(VLOOKUP(A80,'Weapon Formulas'!$E$10:$Q$300,11,0),weapon_components!D80),2)</f>
        <v>25.99</v>
      </c>
      <c r="E80" s="5">
        <f ca="1">ROUND(_xlfn.IFNA(VLOOKUP(A80,'Weapon Formulas'!$E$10:$Q$300,12,0),weapon_components!E80),2)</f>
        <v>43.31</v>
      </c>
      <c r="F80" s="5">
        <f>ROUND(_xlfn.IFNA(VLOOKUP(A80,'Weapon Formulas'!$E$10:$L$300,8,0),weapon_components!F80),2)</f>
        <v>0</v>
      </c>
      <c r="G80" s="5">
        <f>ROUND(_xlfn.IFNA(VLOOKUP(A80,'Weapon Formulas'!$E$10:$P$300,9,0),weapon_components!G80),2)</f>
        <v>1</v>
      </c>
      <c r="H80" s="5">
        <f ca="1">ROUND(_xlfn.IFNA(VLOOKUP(A80,'Weapon Formulas'!$E$10:$L$300,7,0),weapon_components!H80),2)</f>
        <v>0.4</v>
      </c>
      <c r="I80" s="5">
        <v>2</v>
      </c>
      <c r="J80" s="5">
        <v>25</v>
      </c>
      <c r="K80" s="5">
        <v>18</v>
      </c>
      <c r="L80" s="5">
        <f>ROUND(_xlfn.IFNA(VLOOKUP(A80,'Weapon Formulas'!$E$10:$Z$300,15,0),weapon_components!L80),1)</f>
        <v>44.6</v>
      </c>
      <c r="M80" s="32">
        <f ca="1">ROUND(_xlfn.IFNA(VLOOKUP(A80,'Weapon Formulas'!$E$10:$Z$300,14,0),weapon_components!M80),2)</f>
        <v>0.68</v>
      </c>
      <c r="N80" s="5">
        <f>ROUND(_xlfn.IFNA(VLOOKUP(A80,'Weapon Formulas'!$E$10:$W$300,16,0),weapon_components!N80),2)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 ca="1">ROUND(_xlfn.IFNA(VLOOKUP(A81,'Weapon Formulas'!$E$10:$Q$300,11,0),weapon_components!D81),2)</f>
        <v>63.08</v>
      </c>
      <c r="E81" s="5">
        <f ca="1">ROUND(_xlfn.IFNA(VLOOKUP(A81,'Weapon Formulas'!$E$10:$Q$300,12,0),weapon_components!E81),2)</f>
        <v>105.13</v>
      </c>
      <c r="F81" s="5">
        <f>ROUND(_xlfn.IFNA(VLOOKUP(A81,'Weapon Formulas'!$E$10:$L$300,8,0),weapon_components!F81),2)</f>
        <v>0</v>
      </c>
      <c r="G81" s="5">
        <f>ROUND(_xlfn.IFNA(VLOOKUP(A81,'Weapon Formulas'!$E$10:$P$300,9,0),weapon_components!G81),2)</f>
        <v>1</v>
      </c>
      <c r="H81" s="5">
        <f ca="1">ROUND(_xlfn.IFNA(VLOOKUP(A81,'Weapon Formulas'!$E$10:$L$300,7,0),weapon_components!H81),2)</f>
        <v>1.7</v>
      </c>
      <c r="I81" s="5">
        <v>2</v>
      </c>
      <c r="J81" s="5">
        <v>25</v>
      </c>
      <c r="K81" s="2">
        <v>18</v>
      </c>
      <c r="L81" s="5">
        <f>ROUND(_xlfn.IFNA(VLOOKUP(A81,'Weapon Formulas'!$E$10:$Z$300,15,0),weapon_components!L81),1)</f>
        <v>55.8</v>
      </c>
      <c r="M81" s="32">
        <f ca="1">ROUND(_xlfn.IFNA(VLOOKUP(A81,'Weapon Formulas'!$E$10:$Z$300,14,0),weapon_components!M81),2)</f>
        <v>0.56000000000000005</v>
      </c>
      <c r="N81" s="5">
        <f>ROUND(_xlfn.IFNA(VLOOKUP(A81,'Weapon Formulas'!$E$10:$W$300,16,0),weapon_components!N81),2)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 ca="1">ROUND(_xlfn.IFNA(VLOOKUP(A82,'Weapon Formulas'!$E$10:$Q$300,11,0),weapon_components!D82),2)</f>
        <v>160.43</v>
      </c>
      <c r="E82" s="5">
        <f ca="1">ROUND(_xlfn.IFNA(VLOOKUP(A82,'Weapon Formulas'!$E$10:$Q$300,12,0),weapon_components!E82),2)</f>
        <v>267.38</v>
      </c>
      <c r="F82" s="5">
        <f>ROUND(_xlfn.IFNA(VLOOKUP(A82,'Weapon Formulas'!$E$10:$L$300,8,0),weapon_components!F82),2)</f>
        <v>0</v>
      </c>
      <c r="G82" s="5">
        <f>ROUND(_xlfn.IFNA(VLOOKUP(A82,'Weapon Formulas'!$E$10:$P$300,9,0),weapon_components!G82),2)</f>
        <v>1</v>
      </c>
      <c r="H82" s="5">
        <f ca="1">ROUND(_xlfn.IFNA(VLOOKUP(A82,'Weapon Formulas'!$E$10:$L$300,7,0),weapon_components!H82),2)</f>
        <v>3.7</v>
      </c>
      <c r="I82" s="5">
        <v>2</v>
      </c>
      <c r="J82" s="5">
        <v>25</v>
      </c>
      <c r="K82" s="5">
        <v>18</v>
      </c>
      <c r="L82" s="5">
        <f>ROUND(_xlfn.IFNA(VLOOKUP(A82,'Weapon Formulas'!$E$10:$Z$300,15,0),weapon_components!L82),1)</f>
        <v>67</v>
      </c>
      <c r="M82" s="32">
        <f ca="1">ROUND(_xlfn.IFNA(VLOOKUP(A82,'Weapon Formulas'!$E$10:$Z$300,14,0),weapon_components!M82),2)</f>
        <v>0.44</v>
      </c>
      <c r="N82" s="5">
        <f>ROUND(_xlfn.IFNA(VLOOKUP(A82,'Weapon Formulas'!$E$10:$W$300,16,0),weapon_components!N82),2)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 ca="1">ROUND(_xlfn.IFNA(VLOOKUP(A83,'Weapon Formulas'!$E$10:$Q$300,11,0),weapon_components!D83),2)</f>
        <v>30.99</v>
      </c>
      <c r="E83" s="5">
        <f ca="1">ROUND(_xlfn.IFNA(VLOOKUP(A83,'Weapon Formulas'!$E$10:$Q$300,12,0),weapon_components!E83),2)</f>
        <v>51.65</v>
      </c>
      <c r="F83" s="5">
        <f>ROUND(_xlfn.IFNA(VLOOKUP(A83,'Weapon Formulas'!$E$10:$L$300,8,0),weapon_components!F83),2)</f>
        <v>0</v>
      </c>
      <c r="G83" s="5">
        <f>ROUND(_xlfn.IFNA(VLOOKUP(A83,'Weapon Formulas'!$E$10:$P$300,9,0),weapon_components!G83),2)</f>
        <v>1</v>
      </c>
      <c r="H83" s="5">
        <f ca="1">ROUND(_xlfn.IFNA(VLOOKUP(A83,'Weapon Formulas'!$E$10:$L$300,7,0),weapon_components!H83),2)</f>
        <v>0.18</v>
      </c>
      <c r="I83" s="5">
        <v>2</v>
      </c>
      <c r="J83" s="5">
        <v>25</v>
      </c>
      <c r="K83" s="5">
        <v>18</v>
      </c>
      <c r="L83" s="5">
        <f>ROUND(_xlfn.IFNA(VLOOKUP(A83,'Weapon Formulas'!$E$10:$Z$300,15,0),weapon_components!L83),1)</f>
        <v>49</v>
      </c>
      <c r="M83" s="32">
        <f ca="1">ROUND(_xlfn.IFNA(VLOOKUP(A83,'Weapon Formulas'!$E$10:$Z$300,14,0),weapon_components!M83),2)</f>
        <v>0.76</v>
      </c>
      <c r="N83" s="5">
        <f>ROUND(_xlfn.IFNA(VLOOKUP(A83,'Weapon Formulas'!$E$10:$W$300,16,0),weapon_components!N83),2)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 ca="1">ROUND(_xlfn.IFNA(VLOOKUP(A84,'Weapon Formulas'!$E$10:$Q$300,11,0),weapon_components!D84),2)</f>
        <v>73.55</v>
      </c>
      <c r="E84" s="5">
        <f ca="1">ROUND(_xlfn.IFNA(VLOOKUP(A84,'Weapon Formulas'!$E$10:$Q$300,12,0),weapon_components!E84),2)</f>
        <v>122.59</v>
      </c>
      <c r="F84" s="5">
        <f>ROUND(_xlfn.IFNA(VLOOKUP(A84,'Weapon Formulas'!$E$10:$L$300,8,0),weapon_components!F84),2)</f>
        <v>0</v>
      </c>
      <c r="G84" s="5">
        <f>ROUND(_xlfn.IFNA(VLOOKUP(A84,'Weapon Formulas'!$E$10:$P$300,9,0),weapon_components!G84),2)</f>
        <v>1</v>
      </c>
      <c r="H84" s="5">
        <f ca="1">ROUND(_xlfn.IFNA(VLOOKUP(A84,'Weapon Formulas'!$E$10:$L$300,7,0),weapon_components!H84),2)</f>
        <v>1.18</v>
      </c>
      <c r="I84" s="5">
        <v>2</v>
      </c>
      <c r="J84" s="5">
        <v>25</v>
      </c>
      <c r="K84" s="2">
        <v>18</v>
      </c>
      <c r="L84" s="5">
        <f>ROUND(_xlfn.IFNA(VLOOKUP(A84,'Weapon Formulas'!$E$10:$Z$300,15,0),weapon_components!L84),1)</f>
        <v>61.2</v>
      </c>
      <c r="M84" s="32">
        <f ca="1">ROUND(_xlfn.IFNA(VLOOKUP(A84,'Weapon Formulas'!$E$10:$Z$300,14,0),weapon_components!M84),2)</f>
        <v>0.64</v>
      </c>
      <c r="N84" s="5">
        <f>ROUND(_xlfn.IFNA(VLOOKUP(A84,'Weapon Formulas'!$E$10:$W$300,16,0),weapon_components!N84),2)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 ca="1">ROUND(_xlfn.IFNA(VLOOKUP(A85,'Weapon Formulas'!$E$10:$Q$300,11,0),weapon_components!D85),2)</f>
        <v>180.9</v>
      </c>
      <c r="E85" s="5">
        <f ca="1">ROUND(_xlfn.IFNA(VLOOKUP(A85,'Weapon Formulas'!$E$10:$Q$300,12,0),weapon_components!E85),2)</f>
        <v>301.5</v>
      </c>
      <c r="F85" s="5">
        <f>ROUND(_xlfn.IFNA(VLOOKUP(A85,'Weapon Formulas'!$E$10:$L$300,8,0),weapon_components!F85),2)</f>
        <v>0</v>
      </c>
      <c r="G85" s="5">
        <f>ROUND(_xlfn.IFNA(VLOOKUP(A85,'Weapon Formulas'!$E$10:$P$300,9,0),weapon_components!G85),2)</f>
        <v>1</v>
      </c>
      <c r="H85" s="5">
        <f ca="1">ROUND(_xlfn.IFNA(VLOOKUP(A85,'Weapon Formulas'!$E$10:$L$300,7,0),weapon_components!H85),2)</f>
        <v>2.64</v>
      </c>
      <c r="I85" s="5">
        <v>2</v>
      </c>
      <c r="J85" s="5">
        <v>25</v>
      </c>
      <c r="K85" s="5">
        <v>18</v>
      </c>
      <c r="L85" s="5">
        <f>ROUND(_xlfn.IFNA(VLOOKUP(A85,'Weapon Formulas'!$E$10:$Z$300,15,0),weapon_components!L85),1)</f>
        <v>73.400000000000006</v>
      </c>
      <c r="M85" s="32">
        <f ca="1">ROUND(_xlfn.IFNA(VLOOKUP(A85,'Weapon Formulas'!$E$10:$Z$300,14,0),weapon_components!M85),2)</f>
        <v>0.52</v>
      </c>
      <c r="N85" s="5">
        <f>ROUND(_xlfn.IFNA(VLOOKUP(A85,'Weapon Formulas'!$E$10:$W$300,16,0),weapon_components!N85),2)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 ca="1">ROUND(_xlfn.IFNA(VLOOKUP(A86,'Weapon Formulas'!$E$10:$Q$300,11,0),weapon_components!D86),2)</f>
        <v>35.03</v>
      </c>
      <c r="E86" s="5">
        <f ca="1">ROUND(_xlfn.IFNA(VLOOKUP(A86,'Weapon Formulas'!$E$10:$Q$300,12,0),weapon_components!E86),2)</f>
        <v>58.39</v>
      </c>
      <c r="F86" s="5">
        <f>ROUND(_xlfn.IFNA(VLOOKUP(A86,'Weapon Formulas'!$E$10:$L$300,8,0),weapon_components!F86),2)</f>
        <v>0</v>
      </c>
      <c r="G86" s="5">
        <f>ROUND(_xlfn.IFNA(VLOOKUP(A86,'Weapon Formulas'!$E$10:$P$300,9,0),weapon_components!G86),2)</f>
        <v>1</v>
      </c>
      <c r="H86" s="5">
        <f ca="1">ROUND(_xlfn.IFNA(VLOOKUP(A86,'Weapon Formulas'!$E$10:$L$300,7,0),weapon_components!H86),2)</f>
        <v>0.1</v>
      </c>
      <c r="I86" s="5">
        <v>2</v>
      </c>
      <c r="J86" s="5">
        <v>25</v>
      </c>
      <c r="K86" s="5">
        <v>18</v>
      </c>
      <c r="L86" s="5">
        <f>ROUND(_xlfn.IFNA(VLOOKUP(A86,'Weapon Formulas'!$E$10:$Z$300,15,0),weapon_components!L86),1)</f>
        <v>53.3</v>
      </c>
      <c r="M86" s="32">
        <f ca="1">ROUND(_xlfn.IFNA(VLOOKUP(A86,'Weapon Formulas'!$E$10:$Z$300,14,0),weapon_components!M86),2)</f>
        <v>0.84</v>
      </c>
      <c r="N86" s="5">
        <f>ROUND(_xlfn.IFNA(VLOOKUP(A86,'Weapon Formulas'!$E$10:$W$300,16,0),weapon_components!N86),2)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 ca="1">ROUND(_xlfn.IFNA(VLOOKUP(A87,'Weapon Formulas'!$E$10:$Q$300,11,0),weapon_components!D87),2)</f>
        <v>81.69</v>
      </c>
      <c r="E87" s="5">
        <f ca="1">ROUND(_xlfn.IFNA(VLOOKUP(A87,'Weapon Formulas'!$E$10:$Q$300,12,0),weapon_components!E87),2)</f>
        <v>136.15</v>
      </c>
      <c r="F87" s="5">
        <f>ROUND(_xlfn.IFNA(VLOOKUP(A87,'Weapon Formulas'!$E$10:$L$300,8,0),weapon_components!F87),2)</f>
        <v>0</v>
      </c>
      <c r="G87" s="5">
        <f>ROUND(_xlfn.IFNA(VLOOKUP(A87,'Weapon Formulas'!$E$10:$P$300,9,0),weapon_components!G87),2)</f>
        <v>1</v>
      </c>
      <c r="H87" s="5">
        <f ca="1">ROUND(_xlfn.IFNA(VLOOKUP(A87,'Weapon Formulas'!$E$10:$L$300,7,0),weapon_components!H87),2)</f>
        <v>0.84</v>
      </c>
      <c r="I87" s="5">
        <v>2</v>
      </c>
      <c r="J87" s="5">
        <v>25</v>
      </c>
      <c r="K87" s="5">
        <v>18</v>
      </c>
      <c r="L87" s="5">
        <f>ROUND(_xlfn.IFNA(VLOOKUP(A87,'Weapon Formulas'!$E$10:$Z$300,15,0),weapon_components!L87),1)</f>
        <v>66.599999999999994</v>
      </c>
      <c r="M87" s="32">
        <f ca="1">ROUND(_xlfn.IFNA(VLOOKUP(A87,'Weapon Formulas'!$E$10:$Z$300,14,0),weapon_components!M87),2)</f>
        <v>0.72</v>
      </c>
      <c r="N87" s="5">
        <f>ROUND(_xlfn.IFNA(VLOOKUP(A87,'Weapon Formulas'!$E$10:$W$300,16,0),weapon_components!N87),2)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 ca="1">ROUND(_xlfn.IFNA(VLOOKUP(A88,'Weapon Formulas'!$E$10:$Q$300,11,0),weapon_components!D88),2)</f>
        <v>195.9</v>
      </c>
      <c r="E88" s="5">
        <f ca="1">ROUND(_xlfn.IFNA(VLOOKUP(A88,'Weapon Formulas'!$E$10:$Q$300,12,0),weapon_components!E88),2)</f>
        <v>326.5</v>
      </c>
      <c r="F88" s="5">
        <f>ROUND(_xlfn.IFNA(VLOOKUP(A88,'Weapon Formulas'!$E$10:$L$300,8,0),weapon_components!F88),2)</f>
        <v>0</v>
      </c>
      <c r="G88" s="5">
        <f>ROUND(_xlfn.IFNA(VLOOKUP(A88,'Weapon Formulas'!$E$10:$P$300,9,0),weapon_components!G88),2)</f>
        <v>1</v>
      </c>
      <c r="H88" s="5">
        <f ca="1">ROUND(_xlfn.IFNA(VLOOKUP(A88,'Weapon Formulas'!$E$10:$L$300,7,0),weapon_components!H88),2)</f>
        <v>1.87</v>
      </c>
      <c r="I88" s="5">
        <v>2</v>
      </c>
      <c r="J88" s="5">
        <v>25</v>
      </c>
      <c r="K88" s="5">
        <v>18</v>
      </c>
      <c r="L88" s="5">
        <f>ROUND(_xlfn.IFNA(VLOOKUP(A88,'Weapon Formulas'!$E$10:$Z$300,15,0),weapon_components!L88),1)</f>
        <v>79.900000000000006</v>
      </c>
      <c r="M88" s="32">
        <f ca="1">ROUND(_xlfn.IFNA(VLOOKUP(A88,'Weapon Formulas'!$E$10:$Z$300,14,0),weapon_components!M88),2)</f>
        <v>0.6</v>
      </c>
      <c r="N88" s="5">
        <f>ROUND(_xlfn.IFNA(VLOOKUP(A88,'Weapon Formulas'!$E$10:$W$300,16,0),weapon_components!N88),2)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3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Formulas'!$E$10:$L$300,8,0),weapon_components!F90),2)</f>
        <v>0.1</v>
      </c>
      <c r="G90" s="5">
        <f>ROUND(_xlfn.IFNA(VLOOKUP(A90,'Weapon Formulas'!$E$10:$P$300,9,0),weapon_components!G90),2)</f>
        <v>0</v>
      </c>
      <c r="H90" s="5">
        <f ca="1">ROUND(_xlfn.IFNA(VLOOKUP(A90,'Weapon Formulas'!$E$10:$L$300,7,0),weapon_components!H90),2)</f>
        <v>-1.41</v>
      </c>
      <c r="I90" s="5">
        <v>2</v>
      </c>
      <c r="J90" s="5">
        <v>3</v>
      </c>
      <c r="K90" s="5">
        <v>10</v>
      </c>
      <c r="L90" s="5">
        <f>ROUND(_xlfn.IFNA(VLOOKUP(A90,'Weapon Formulas'!$E$10:$Z$300,15,0),weapon_components!L90),1)</f>
        <v>15</v>
      </c>
      <c r="M90" s="32">
        <f ca="1">ROUND(_xlfn.IFNA(VLOOKUP(A90,'Weapon Formulas'!$E$10:$Z$300,14,0),weapon_components!M90),2)</f>
        <v>1</v>
      </c>
      <c r="N90" s="5">
        <f>ROUND(_xlfn.IFNA(VLOOKUP(A90,'Weapon Formulas'!$E$10:$W$300,16,0),weapon_components!N90),2)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Formulas'!$E$10:$L$300,8,0),weapon_components!F91),2)</f>
        <v>0.1</v>
      </c>
      <c r="G91" s="5">
        <f>ROUND(_xlfn.IFNA(VLOOKUP(A91,'Weapon Formulas'!$E$10:$P$300,9,0),weapon_components!G91),2)</f>
        <v>0</v>
      </c>
      <c r="H91" s="5">
        <f ca="1">ROUND(_xlfn.IFNA(VLOOKUP(A91,'Weapon Formulas'!$E$10:$L$300,7,0),weapon_components!H91),2)</f>
        <v>-1.27</v>
      </c>
      <c r="I91" s="5">
        <v>2</v>
      </c>
      <c r="J91" s="5">
        <v>8</v>
      </c>
      <c r="K91" s="5">
        <v>10</v>
      </c>
      <c r="L91" s="5">
        <f>ROUND(_xlfn.IFNA(VLOOKUP(A91,'Weapon Formulas'!$E$10:$Z$300,15,0),weapon_components!L91),1)</f>
        <v>20</v>
      </c>
      <c r="M91" s="32">
        <f ca="1">ROUND(_xlfn.IFNA(VLOOKUP(A91,'Weapon Formulas'!$E$10:$Z$300,14,0),weapon_components!M91),2)</f>
        <v>1</v>
      </c>
      <c r="N91" s="5">
        <f>ROUND(_xlfn.IFNA(VLOOKUP(A91,'Weapon Formulas'!$E$10:$W$300,16,0),weapon_components!N91),2)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 ca="1">ROUND(_xlfn.IFNA(VLOOKUP(A93,'Weapon Formulas'!$E$10:$Q$300,11,0),weapon_components!D93),2)</f>
        <v>10.31</v>
      </c>
      <c r="E93" s="5">
        <f ca="1">ROUND(_xlfn.IFNA(VLOOKUP(A93,'Weapon Formulas'!$E$10:$Q$300,12,0),weapon_components!E93),2)</f>
        <v>17.190000000000001</v>
      </c>
      <c r="F93" s="5">
        <f>ROUND(_xlfn.IFNA(VLOOKUP(A93,'Weapon Formulas'!$E$10:$L$300,8,0),weapon_components!F93),2)</f>
        <v>0</v>
      </c>
      <c r="G93" s="5">
        <f>ROUND(_xlfn.IFNA(VLOOKUP(A93,'Weapon Formulas'!$E$10:$P$300,9,0),weapon_components!G93),2)</f>
        <v>1</v>
      </c>
      <c r="H93" s="5">
        <f ca="1">ROUND(_xlfn.IFNA(VLOOKUP(A93,'Weapon Formulas'!$E$10:$L$300,7,0),weapon_components!H93),2)</f>
        <v>-4</v>
      </c>
      <c r="I93" s="5">
        <v>20</v>
      </c>
      <c r="J93" s="5">
        <v>30</v>
      </c>
      <c r="K93" s="5">
        <v>30</v>
      </c>
      <c r="L93" s="5">
        <f>ROUND(_xlfn.IFNA(VLOOKUP(A93,'Weapon Formulas'!$E$10:$Z$300,15,0),weapon_components!L93),1)</f>
        <v>48</v>
      </c>
      <c r="M93" s="32">
        <f ca="1">ROUND(_xlfn.IFNA(VLOOKUP(A93,'Weapon Formulas'!$E$10:$Z$300,14,0),weapon_components!M93),2)</f>
        <v>1</v>
      </c>
      <c r="N93" s="5">
        <f>ROUND(_xlfn.IFNA(VLOOKUP(A93,'Weapon Formulas'!$E$10:$W$300,16,0),weapon_components!N93),2)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 ca="1">ROUND(_xlfn.IFNA(VLOOKUP(A94,'Weapon Formulas'!$E$10:$Q$300,11,0),weapon_components!D94),2)</f>
        <v>21.66</v>
      </c>
      <c r="E94" s="5">
        <f ca="1">ROUND(_xlfn.IFNA(VLOOKUP(A94,'Weapon Formulas'!$E$10:$Q$300,12,0),weapon_components!E94),2)</f>
        <v>36.090000000000003</v>
      </c>
      <c r="F94" s="5">
        <f>ROUND(_xlfn.IFNA(VLOOKUP(A94,'Weapon Formulas'!$E$10:$L$300,8,0),weapon_components!F94),2)</f>
        <v>0</v>
      </c>
      <c r="G94" s="5">
        <f>ROUND(_xlfn.IFNA(VLOOKUP(A94,'Weapon Formulas'!$E$10:$P$300,9,0),weapon_components!G94),2)</f>
        <v>1</v>
      </c>
      <c r="H94" s="5">
        <f ca="1">ROUND(_xlfn.IFNA(VLOOKUP(A94,'Weapon Formulas'!$E$10:$L$300,7,0),weapon_components!H94),2)</f>
        <v>-6.86</v>
      </c>
      <c r="I94" s="5">
        <v>20</v>
      </c>
      <c r="J94" s="5">
        <v>30</v>
      </c>
      <c r="K94" s="5">
        <v>30</v>
      </c>
      <c r="L94" s="5">
        <f>ROUND(_xlfn.IFNA(VLOOKUP(A94,'Weapon Formulas'!$E$10:$Z$300,15,0),weapon_components!L94),1)</f>
        <v>60</v>
      </c>
      <c r="M94" s="32">
        <f ca="1">ROUND(_xlfn.IFNA(VLOOKUP(A94,'Weapon Formulas'!$E$10:$Z$300,14,0),weapon_components!M94),2)</f>
        <v>1</v>
      </c>
      <c r="N94" s="5">
        <f>ROUND(_xlfn.IFNA(VLOOKUP(A94,'Weapon Formulas'!$E$10:$W$300,16,0),weapon_components!N94),2)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 ca="1">ROUND(_xlfn.IFNA(VLOOKUP(A95,'Weapon Formulas'!$E$10:$Q$300,11,0),weapon_components!D95),2)</f>
        <v>45.38</v>
      </c>
      <c r="E95" s="5">
        <f ca="1">ROUND(_xlfn.IFNA(VLOOKUP(A95,'Weapon Formulas'!$E$10:$Q$300,12,0),weapon_components!E95),2)</f>
        <v>75.63</v>
      </c>
      <c r="F95" s="5">
        <f>ROUND(_xlfn.IFNA(VLOOKUP(A95,'Weapon Formulas'!$E$10:$L$300,8,0),weapon_components!F95),2)</f>
        <v>0</v>
      </c>
      <c r="G95" s="5">
        <f>ROUND(_xlfn.IFNA(VLOOKUP(A95,'Weapon Formulas'!$E$10:$P$300,9,0),weapon_components!G95),2)</f>
        <v>1</v>
      </c>
      <c r="H95" s="5">
        <f ca="1">ROUND(_xlfn.IFNA(VLOOKUP(A95,'Weapon Formulas'!$E$10:$L$300,7,0),weapon_components!H95),2)</f>
        <v>-9.4499999999999993</v>
      </c>
      <c r="I95" s="5">
        <v>20</v>
      </c>
      <c r="J95" s="5">
        <v>30</v>
      </c>
      <c r="K95" s="5">
        <v>30</v>
      </c>
      <c r="L95" s="5">
        <f>ROUND(_xlfn.IFNA(VLOOKUP(A95,'Weapon Formulas'!$E$10:$Z$300,15,0),weapon_components!L95),1)</f>
        <v>72</v>
      </c>
      <c r="M95" s="32">
        <f ca="1">ROUND(_xlfn.IFNA(VLOOKUP(A95,'Weapon Formulas'!$E$10:$Z$300,14,0),weapon_components!M95),2)</f>
        <v>1</v>
      </c>
      <c r="N95" s="5">
        <f>ROUND(_xlfn.IFNA(VLOOKUP(A95,'Weapon Formulas'!$E$10:$W$300,16,0),weapon_components!N95),2)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 ca="1">ROUND(_xlfn.IFNA(VLOOKUP(A96,'Weapon Formulas'!$E$10:$Q$300,11,0),weapon_components!D96),2)</f>
        <v>21.66</v>
      </c>
      <c r="E96" s="5">
        <f ca="1">ROUND(_xlfn.IFNA(VLOOKUP(A96,'Weapon Formulas'!$E$10:$Q$300,12,0),weapon_components!E96),2)</f>
        <v>36.090000000000003</v>
      </c>
      <c r="F96" s="5">
        <f>ROUND(_xlfn.IFNA(VLOOKUP(A96,'Weapon Formulas'!$E$10:$L$300,8,0),weapon_components!F96),2)</f>
        <v>0</v>
      </c>
      <c r="G96" s="5">
        <f>ROUND(_xlfn.IFNA(VLOOKUP(A96,'Weapon Formulas'!$E$10:$P$300,9,0),weapon_components!G96),2)</f>
        <v>1</v>
      </c>
      <c r="H96" s="5">
        <f ca="1">ROUND(_xlfn.IFNA(VLOOKUP(A96,'Weapon Formulas'!$E$10:$L$300,7,0),weapon_components!H96),2)</f>
        <v>-0.75</v>
      </c>
      <c r="I96" s="5">
        <v>20</v>
      </c>
      <c r="J96" s="5">
        <v>30</v>
      </c>
      <c r="K96" s="5">
        <v>30</v>
      </c>
      <c r="L96" s="5">
        <f>ROUND(_xlfn.IFNA(VLOOKUP(A96,'Weapon Formulas'!$E$10:$Z$300,15,0),weapon_components!L96),1)</f>
        <v>53.8</v>
      </c>
      <c r="M96" s="32">
        <f ca="1">ROUND(_xlfn.IFNA(VLOOKUP(A96,'Weapon Formulas'!$E$10:$Z$300,14,0),weapon_components!M96),2)</f>
        <v>1</v>
      </c>
      <c r="N96" s="5">
        <f>ROUND(_xlfn.IFNA(VLOOKUP(A96,'Weapon Formulas'!$E$10:$W$300,16,0),weapon_components!N96),2)</f>
        <v>3.75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 ca="1">ROUND(_xlfn.IFNA(VLOOKUP(A97,'Weapon Formulas'!$E$10:$Q$300,11,0),weapon_components!D97),2)</f>
        <v>45.38</v>
      </c>
      <c r="E97" s="5">
        <f ca="1">ROUND(_xlfn.IFNA(VLOOKUP(A97,'Weapon Formulas'!$E$10:$Q$300,12,0),weapon_components!E97),2)</f>
        <v>75.63</v>
      </c>
      <c r="F97" s="5">
        <f>ROUND(_xlfn.IFNA(VLOOKUP(A97,'Weapon Formulas'!$E$10:$L$300,8,0),weapon_components!F97),2)</f>
        <v>0</v>
      </c>
      <c r="G97" s="5">
        <f>ROUND(_xlfn.IFNA(VLOOKUP(A97,'Weapon Formulas'!$E$10:$P$300,9,0),weapon_components!G97),2)</f>
        <v>1</v>
      </c>
      <c r="H97" s="5">
        <f ca="1">ROUND(_xlfn.IFNA(VLOOKUP(A97,'Weapon Formulas'!$E$10:$L$300,7,0),weapon_components!H97),2)</f>
        <v>-1.32</v>
      </c>
      <c r="I97" s="5">
        <v>20</v>
      </c>
      <c r="J97" s="5">
        <v>30</v>
      </c>
      <c r="K97" s="5">
        <v>30</v>
      </c>
      <c r="L97" s="5">
        <f>ROUND(_xlfn.IFNA(VLOOKUP(A97,'Weapon Formulas'!$E$10:$Z$300,15,0),weapon_components!L97),1)</f>
        <v>67.2</v>
      </c>
      <c r="M97" s="32">
        <f ca="1">ROUND(_xlfn.IFNA(VLOOKUP(A97,'Weapon Formulas'!$E$10:$Z$300,14,0),weapon_components!M97),2)</f>
        <v>1</v>
      </c>
      <c r="N97" s="5">
        <f>ROUND(_xlfn.IFNA(VLOOKUP(A97,'Weapon Formulas'!$E$10:$W$300,16,0),weapon_components!N97),2)</f>
        <v>3.75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 ca="1">ROUND(_xlfn.IFNA(VLOOKUP(A98,'Weapon Formulas'!$E$10:$Q$300,11,0),weapon_components!D98),2)</f>
        <v>94.88</v>
      </c>
      <c r="E98" s="5">
        <f ca="1">ROUND(_xlfn.IFNA(VLOOKUP(A98,'Weapon Formulas'!$E$10:$Q$300,12,0),weapon_components!E98),2)</f>
        <v>158.13</v>
      </c>
      <c r="F98" s="5">
        <f>ROUND(_xlfn.IFNA(VLOOKUP(A98,'Weapon Formulas'!$E$10:$L$300,8,0),weapon_components!F98),2)</f>
        <v>0</v>
      </c>
      <c r="G98" s="5">
        <f>ROUND(_xlfn.IFNA(VLOOKUP(A98,'Weapon Formulas'!$E$10:$P$300,9,0),weapon_components!G98),2)</f>
        <v>1</v>
      </c>
      <c r="H98" s="5">
        <f ca="1">ROUND(_xlfn.IFNA(VLOOKUP(A98,'Weapon Formulas'!$E$10:$L$300,7,0),weapon_components!H98),2)</f>
        <v>-1.85</v>
      </c>
      <c r="I98" s="5">
        <v>20</v>
      </c>
      <c r="J98" s="5">
        <v>30</v>
      </c>
      <c r="K98" s="5">
        <v>30</v>
      </c>
      <c r="L98" s="5">
        <f>ROUND(_xlfn.IFNA(VLOOKUP(A98,'Weapon Formulas'!$E$10:$Z$300,15,0),weapon_components!L98),1)</f>
        <v>80.599999999999994</v>
      </c>
      <c r="M98" s="32">
        <f ca="1">ROUND(_xlfn.IFNA(VLOOKUP(A98,'Weapon Formulas'!$E$10:$Z$300,14,0),weapon_components!M98),2)</f>
        <v>1</v>
      </c>
      <c r="N98" s="5">
        <f>ROUND(_xlfn.IFNA(VLOOKUP(A98,'Weapon Formulas'!$E$10:$W$300,16,0),weapon_components!N98),2)</f>
        <v>3.75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 ca="1">ROUND(_xlfn.IFNA(VLOOKUP(A99,'Weapon Formulas'!$E$10:$Q$300,11,0),weapon_components!D99),2)</f>
        <v>34.03</v>
      </c>
      <c r="E99" s="5">
        <f ca="1">ROUND(_xlfn.IFNA(VLOOKUP(A99,'Weapon Formulas'!$E$10:$Q$300,12,0),weapon_components!E99),2)</f>
        <v>56.72</v>
      </c>
      <c r="F99" s="5">
        <f>ROUND(_xlfn.IFNA(VLOOKUP(A99,'Weapon Formulas'!$E$10:$L$300,8,0),weapon_components!F99),2)</f>
        <v>0</v>
      </c>
      <c r="G99" s="5">
        <f>ROUND(_xlfn.IFNA(VLOOKUP(A99,'Weapon Formulas'!$E$10:$P$300,9,0),weapon_components!G99),2)</f>
        <v>1</v>
      </c>
      <c r="H99" s="5">
        <f ca="1">ROUND(_xlfn.IFNA(VLOOKUP(A99,'Weapon Formulas'!$E$10:$L$300,7,0),weapon_components!H99),2)</f>
        <v>-0.39</v>
      </c>
      <c r="I99" s="5">
        <v>20</v>
      </c>
      <c r="J99" s="5">
        <v>30</v>
      </c>
      <c r="K99" s="5">
        <v>30</v>
      </c>
      <c r="L99" s="5">
        <f>ROUND(_xlfn.IFNA(VLOOKUP(A99,'Weapon Formulas'!$E$10:$Z$300,15,0),weapon_components!L99),1)</f>
        <v>59.5</v>
      </c>
      <c r="M99" s="32">
        <f ca="1">ROUND(_xlfn.IFNA(VLOOKUP(A99,'Weapon Formulas'!$E$10:$Z$300,14,0),weapon_components!M99),2)</f>
        <v>1</v>
      </c>
      <c r="N99" s="5">
        <f>ROUND(_xlfn.IFNA(VLOOKUP(A99,'Weapon Formulas'!$E$10:$W$300,16,0),weapon_components!N99),2)</f>
        <v>5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 ca="1">ROUND(_xlfn.IFNA(VLOOKUP(A100,'Weapon Formulas'!$E$10:$Q$300,11,0),weapon_components!D100),2)</f>
        <v>71.16</v>
      </c>
      <c r="E100" s="5">
        <f ca="1">ROUND(_xlfn.IFNA(VLOOKUP(A100,'Weapon Formulas'!$E$10:$Q$300,12,0),weapon_components!E100),2)</f>
        <v>118.59</v>
      </c>
      <c r="F100" s="5">
        <f>ROUND(_xlfn.IFNA(VLOOKUP(A100,'Weapon Formulas'!$E$10:$L$300,8,0),weapon_components!F100),2)</f>
        <v>0</v>
      </c>
      <c r="G100" s="5">
        <f>ROUND(_xlfn.IFNA(VLOOKUP(A100,'Weapon Formulas'!$E$10:$P$300,9,0),weapon_components!G100),2)</f>
        <v>1</v>
      </c>
      <c r="H100" s="5">
        <f ca="1">ROUND(_xlfn.IFNA(VLOOKUP(A100,'Weapon Formulas'!$E$10:$L$300,7,0),weapon_components!H100),2)</f>
        <v>-0.71</v>
      </c>
      <c r="I100" s="5">
        <v>20</v>
      </c>
      <c r="J100" s="5">
        <v>30</v>
      </c>
      <c r="K100" s="2">
        <v>30</v>
      </c>
      <c r="L100" s="5">
        <f>ROUND(_xlfn.IFNA(VLOOKUP(A100,'Weapon Formulas'!$E$10:$Z$300,15,0),weapon_components!L100),1)</f>
        <v>74.400000000000006</v>
      </c>
      <c r="M100" s="32">
        <f ca="1">ROUND(_xlfn.IFNA(VLOOKUP(A100,'Weapon Formulas'!$E$10:$Z$300,14,0),weapon_components!M100),2)</f>
        <v>1</v>
      </c>
      <c r="N100" s="5">
        <f>ROUND(_xlfn.IFNA(VLOOKUP(A100,'Weapon Formulas'!$E$10:$W$300,16,0),weapon_components!N100),2)</f>
        <v>5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 ca="1">ROUND(_xlfn.IFNA(VLOOKUP(A101,'Weapon Formulas'!$E$10:$Q$300,11,0),weapon_components!D101),2)</f>
        <v>148.5</v>
      </c>
      <c r="E101" s="5">
        <f ca="1">ROUND(_xlfn.IFNA(VLOOKUP(A101,'Weapon Formulas'!$E$10:$Q$300,12,0),weapon_components!E101),2)</f>
        <v>247.5</v>
      </c>
      <c r="F101" s="5">
        <f>ROUND(_xlfn.IFNA(VLOOKUP(A101,'Weapon Formulas'!$E$10:$L$300,8,0),weapon_components!F101),2)</f>
        <v>0</v>
      </c>
      <c r="G101" s="5">
        <f>ROUND(_xlfn.IFNA(VLOOKUP(A101,'Weapon Formulas'!$E$10:$P$300,9,0),weapon_components!G101),2)</f>
        <v>1</v>
      </c>
      <c r="H101" s="5">
        <f ca="1">ROUND(_xlfn.IFNA(VLOOKUP(A101,'Weapon Formulas'!$E$10:$L$300,7,0),weapon_components!H101),2)</f>
        <v>-1</v>
      </c>
      <c r="I101" s="5">
        <v>20</v>
      </c>
      <c r="J101" s="5">
        <v>30</v>
      </c>
      <c r="K101" s="5">
        <v>30</v>
      </c>
      <c r="L101" s="5">
        <f>ROUND(_xlfn.IFNA(VLOOKUP(A101,'Weapon Formulas'!$E$10:$Z$300,15,0),weapon_components!L101),1)</f>
        <v>89.3</v>
      </c>
      <c r="M101" s="32">
        <f ca="1">ROUND(_xlfn.IFNA(VLOOKUP(A101,'Weapon Formulas'!$E$10:$Z$300,14,0),weapon_components!M101),2)</f>
        <v>1</v>
      </c>
      <c r="N101" s="5">
        <f>ROUND(_xlfn.IFNA(VLOOKUP(A101,'Weapon Formulas'!$E$10:$W$300,16,0),weapon_components!N101),2)</f>
        <v>5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 ca="1">ROUND(_xlfn.IFNA(VLOOKUP(A102,'Weapon Formulas'!$E$10:$Q$300,11,0),weapon_components!D102),2)</f>
        <v>47.44</v>
      </c>
      <c r="E102" s="5">
        <f ca="1">ROUND(_xlfn.IFNA(VLOOKUP(A102,'Weapon Formulas'!$E$10:$Q$300,12,0),weapon_components!E102),2)</f>
        <v>79.06</v>
      </c>
      <c r="F102" s="5">
        <f>ROUND(_xlfn.IFNA(VLOOKUP(A102,'Weapon Formulas'!$E$10:$L$300,8,0),weapon_components!F102),2)</f>
        <v>0</v>
      </c>
      <c r="G102" s="5">
        <f>ROUND(_xlfn.IFNA(VLOOKUP(A102,'Weapon Formulas'!$E$10:$P$300,9,0),weapon_components!G102),2)</f>
        <v>1</v>
      </c>
      <c r="H102" s="5">
        <f ca="1">ROUND(_xlfn.IFNA(VLOOKUP(A102,'Weapon Formulas'!$E$10:$L$300,7,0),weapon_components!H102),2)</f>
        <v>-0.57999999999999996</v>
      </c>
      <c r="I102" s="5">
        <v>20</v>
      </c>
      <c r="J102" s="5">
        <v>30</v>
      </c>
      <c r="K102" s="5">
        <v>30</v>
      </c>
      <c r="L102" s="5">
        <f>ROUND(_xlfn.IFNA(VLOOKUP(A102,'Weapon Formulas'!$E$10:$Z$300,15,0),weapon_components!L102),1)</f>
        <v>65.3</v>
      </c>
      <c r="M102" s="32">
        <f ca="1">ROUND(_xlfn.IFNA(VLOOKUP(A102,'Weapon Formulas'!$E$10:$Z$300,14,0),weapon_components!M102),2)</f>
        <v>1</v>
      </c>
      <c r="N102" s="5">
        <f>ROUND(_xlfn.IFNA(VLOOKUP(A102,'Weapon Formulas'!$E$10:$W$300,16,0),weapon_components!N102),2)</f>
        <v>7.5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 ca="1">ROUND(_xlfn.IFNA(VLOOKUP(A103,'Weapon Formulas'!$E$10:$Q$300,11,0),weapon_components!D103),2)</f>
        <v>99</v>
      </c>
      <c r="E103" s="5">
        <f ca="1">ROUND(_xlfn.IFNA(VLOOKUP(A103,'Weapon Formulas'!$E$10:$Q$300,12,0),weapon_components!E103),2)</f>
        <v>165</v>
      </c>
      <c r="F103" s="5">
        <f>ROUND(_xlfn.IFNA(VLOOKUP(A103,'Weapon Formulas'!$E$10:$L$300,8,0),weapon_components!F103),2)</f>
        <v>0</v>
      </c>
      <c r="G103" s="5">
        <f>ROUND(_xlfn.IFNA(VLOOKUP(A103,'Weapon Formulas'!$E$10:$P$300,9,0),weapon_components!G103),2)</f>
        <v>1</v>
      </c>
      <c r="H103" s="5">
        <f ca="1">ROUND(_xlfn.IFNA(VLOOKUP(A103,'Weapon Formulas'!$E$10:$L$300,7,0),weapon_components!H103),2)</f>
        <v>-0.85</v>
      </c>
      <c r="I103" s="5">
        <v>20</v>
      </c>
      <c r="J103" s="5">
        <v>30</v>
      </c>
      <c r="K103" s="5">
        <v>30</v>
      </c>
      <c r="L103" s="5">
        <f>ROUND(_xlfn.IFNA(VLOOKUP(A103,'Weapon Formulas'!$E$10:$Z$300,15,0),weapon_components!L103),1)</f>
        <v>81.599999999999994</v>
      </c>
      <c r="M103" s="32">
        <f ca="1">ROUND(_xlfn.IFNA(VLOOKUP(A103,'Weapon Formulas'!$E$10:$Z$300,14,0),weapon_components!M103),2)</f>
        <v>1</v>
      </c>
      <c r="N103" s="5">
        <f>ROUND(_xlfn.IFNA(VLOOKUP(A103,'Weapon Formulas'!$E$10:$W$300,16,0),weapon_components!N103),2)</f>
        <v>7.5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 ca="1">ROUND(_xlfn.IFNA(VLOOKUP(A104,'Weapon Formulas'!$E$10:$Q$300,11,0),weapon_components!D104),2)</f>
        <v>206.25</v>
      </c>
      <c r="E104" s="5">
        <f ca="1">ROUND(_xlfn.IFNA(VLOOKUP(A104,'Weapon Formulas'!$E$10:$Q$300,12,0),weapon_components!E104),2)</f>
        <v>343.75</v>
      </c>
      <c r="F104" s="5">
        <f>ROUND(_xlfn.IFNA(VLOOKUP(A104,'Weapon Formulas'!$E$10:$L$300,8,0),weapon_components!F104),2)</f>
        <v>0</v>
      </c>
      <c r="G104" s="5">
        <f>ROUND(_xlfn.IFNA(VLOOKUP(A104,'Weapon Formulas'!$E$10:$P$300,9,0),weapon_components!G104),2)</f>
        <v>1</v>
      </c>
      <c r="H104" s="5">
        <f ca="1">ROUND(_xlfn.IFNA(VLOOKUP(A104,'Weapon Formulas'!$E$10:$L$300,7,0),weapon_components!H104),2)</f>
        <v>-1.0900000000000001</v>
      </c>
      <c r="I104" s="5">
        <v>20</v>
      </c>
      <c r="J104" s="5">
        <v>30</v>
      </c>
      <c r="K104" s="5">
        <v>30</v>
      </c>
      <c r="L104" s="5">
        <f>ROUND(_xlfn.IFNA(VLOOKUP(A104,'Weapon Formulas'!$E$10:$Z$300,15,0),weapon_components!L104),1)</f>
        <v>97.9</v>
      </c>
      <c r="M104" s="32">
        <f ca="1">ROUND(_xlfn.IFNA(VLOOKUP(A104,'Weapon Formulas'!$E$10:$Z$300,14,0),weapon_components!M104),2)</f>
        <v>1</v>
      </c>
      <c r="N104" s="5">
        <f>ROUND(_xlfn.IFNA(VLOOKUP(A104,'Weapon Formulas'!$E$10:$W$300,16,0),weapon_components!N104),2)</f>
        <v>7.5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 ca="1">ROUND(_xlfn.IFNA(VLOOKUP(A105,'Weapon Formulas'!$E$10:$Q$300,11,0),weapon_components!D105),2)</f>
        <v>61.88</v>
      </c>
      <c r="E105" s="5">
        <f ca="1">ROUND(_xlfn.IFNA(VLOOKUP(A105,'Weapon Formulas'!$E$10:$Q$300,12,0),weapon_components!E105),2)</f>
        <v>103.13</v>
      </c>
      <c r="F105" s="5">
        <f>ROUND(_xlfn.IFNA(VLOOKUP(A105,'Weapon Formulas'!$E$10:$L$300,8,0),weapon_components!F105),2)</f>
        <v>0</v>
      </c>
      <c r="G105" s="5">
        <f>ROUND(_xlfn.IFNA(VLOOKUP(A105,'Weapon Formulas'!$E$10:$P$300,9,0),weapon_components!G105),2)</f>
        <v>1</v>
      </c>
      <c r="H105" s="5">
        <f ca="1">ROUND(_xlfn.IFNA(VLOOKUP(A105,'Weapon Formulas'!$E$10:$L$300,7,0),weapon_components!H105),2)</f>
        <v>-0.6</v>
      </c>
      <c r="I105" s="5">
        <v>20</v>
      </c>
      <c r="J105" s="5">
        <v>30</v>
      </c>
      <c r="K105" s="5">
        <v>30</v>
      </c>
      <c r="L105" s="5">
        <f>ROUND(_xlfn.IFNA(VLOOKUP(A105,'Weapon Formulas'!$E$10:$Z$300,15,0),weapon_components!L105),1)</f>
        <v>71</v>
      </c>
      <c r="M105" s="32">
        <f ca="1">ROUND(_xlfn.IFNA(VLOOKUP(A105,'Weapon Formulas'!$E$10:$Z$300,14,0),weapon_components!M105),2)</f>
        <v>1</v>
      </c>
      <c r="N105" s="5">
        <f>ROUND(_xlfn.IFNA(VLOOKUP(A105,'Weapon Formulas'!$E$10:$W$300,16,0),weapon_components!N105),2)</f>
        <v>10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 ca="1">ROUND(_xlfn.IFNA(VLOOKUP(A106,'Weapon Formulas'!$E$10:$Q$300,11,0),weapon_components!D106),2)</f>
        <v>128.91</v>
      </c>
      <c r="E106" s="5">
        <f ca="1">ROUND(_xlfn.IFNA(VLOOKUP(A106,'Weapon Formulas'!$E$10:$Q$300,12,0),weapon_components!E106),2)</f>
        <v>214.84</v>
      </c>
      <c r="F106" s="5">
        <f>ROUND(_xlfn.IFNA(VLOOKUP(A106,'Weapon Formulas'!$E$10:$L$300,8,0),weapon_components!F106),2)</f>
        <v>0</v>
      </c>
      <c r="G106" s="5">
        <f>ROUND(_xlfn.IFNA(VLOOKUP(A106,'Weapon Formulas'!$E$10:$P$300,9,0),weapon_components!G106),2)</f>
        <v>1</v>
      </c>
      <c r="H106" s="5">
        <f ca="1">ROUND(_xlfn.IFNA(VLOOKUP(A106,'Weapon Formulas'!$E$10:$L$300,7,0),weapon_components!H106),2)</f>
        <v>-0.81</v>
      </c>
      <c r="I106" s="5">
        <v>20</v>
      </c>
      <c r="J106" s="5">
        <v>30</v>
      </c>
      <c r="K106" s="5">
        <v>30</v>
      </c>
      <c r="L106" s="5">
        <f>ROUND(_xlfn.IFNA(VLOOKUP(A106,'Weapon Formulas'!$E$10:$Z$300,15,0),weapon_components!L106),1)</f>
        <v>88.8</v>
      </c>
      <c r="M106" s="32">
        <f ca="1">ROUND(_xlfn.IFNA(VLOOKUP(A106,'Weapon Formulas'!$E$10:$Z$300,14,0),weapon_components!M106),2)</f>
        <v>1</v>
      </c>
      <c r="N106" s="5">
        <f>ROUND(_xlfn.IFNA(VLOOKUP(A106,'Weapon Formulas'!$E$10:$W$300,16,0),weapon_components!N106),2)</f>
        <v>10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 ca="1">ROUND(_xlfn.IFNA(VLOOKUP(A107,'Weapon Formulas'!$E$10:$Q$300,11,0),weapon_components!D107),2)</f>
        <v>268.13</v>
      </c>
      <c r="E107" s="5">
        <f ca="1">ROUND(_xlfn.IFNA(VLOOKUP(A107,'Weapon Formulas'!$E$10:$Q$300,12,0),weapon_components!E107),2)</f>
        <v>446.88</v>
      </c>
      <c r="F107" s="5">
        <f>ROUND(_xlfn.IFNA(VLOOKUP(A107,'Weapon Formulas'!$E$10:$L$300,8,0),weapon_components!F107),2)</f>
        <v>0</v>
      </c>
      <c r="G107" s="5">
        <f>ROUND(_xlfn.IFNA(VLOOKUP(A107,'Weapon Formulas'!$E$10:$P$300,9,0),weapon_components!G107),2)</f>
        <v>1</v>
      </c>
      <c r="H107" s="5">
        <f ca="1">ROUND(_xlfn.IFNA(VLOOKUP(A107,'Weapon Formulas'!$E$10:$L$300,7,0),weapon_components!H107),2)</f>
        <v>-1.01</v>
      </c>
      <c r="I107" s="5">
        <v>20</v>
      </c>
      <c r="J107" s="5">
        <v>30</v>
      </c>
      <c r="K107" s="5">
        <v>30</v>
      </c>
      <c r="L107" s="5">
        <f>ROUND(_xlfn.IFNA(VLOOKUP(A107,'Weapon Formulas'!$E$10:$Z$300,15,0),weapon_components!L107),1)</f>
        <v>106.6</v>
      </c>
      <c r="M107" s="32">
        <f ca="1">ROUND(_xlfn.IFNA(VLOOKUP(A107,'Weapon Formulas'!$E$10:$Z$300,14,0),weapon_components!M107),2)</f>
        <v>1</v>
      </c>
      <c r="N107" s="5">
        <f>ROUND(_xlfn.IFNA(VLOOKUP(A107,'Weapon Formulas'!$E$10:$W$300,16,0),weapon_components!N107),2)</f>
        <v>10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Formulas'!$E$10:$Q$300,11,0),weapon_components!D109),2)</f>
        <v>8</v>
      </c>
      <c r="E109" s="5">
        <f>ROUND(_xlfn.IFNA(VLOOKUP(A109,'Weapon Formulas'!$E$10:$Q$300,12,0),weapon_components!E109),2)</f>
        <v>13</v>
      </c>
      <c r="F109" s="5">
        <f>ROUND(_xlfn.IFNA(VLOOKUP(A109,'Weapon Formulas'!$E$10:$L$300,8,0),weapon_components!F109),2)</f>
        <v>1</v>
      </c>
      <c r="G109" s="5">
        <f>ROUND(_xlfn.IFNA(VLOOKUP(A109,'Weapon Formulas'!$E$10:$P$300,9,0),weapon_components!G109),2)</f>
        <v>0</v>
      </c>
      <c r="H109" s="5">
        <f>ROUND(_xlfn.IFNA(VLOOKUP(A109,'Weapon Formulas'!$E$10:$L$300,7,0),weapon_components!H109),2)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Formulas'!$E$10:$Z$300,15,0),weapon_components!L109),1)</f>
        <v>26</v>
      </c>
      <c r="M109" s="32">
        <f>ROUND(_xlfn.IFNA(VLOOKUP(A109,'Weapon Formulas'!$E$10:$Z$300,14,0),weapon_components!M109),2)</f>
        <v>1</v>
      </c>
      <c r="N109" s="5">
        <f>ROUND(_xlfn.IFNA(VLOOKUP(A109,'Weapon Formulas'!$E$10:$W$300,16,0),weapon_components!N109),2)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Formulas'!$E$10:$Q$300,11,0),weapon_components!D110),2)</f>
        <v>13</v>
      </c>
      <c r="E110" s="5">
        <f>ROUND(_xlfn.IFNA(VLOOKUP(A110,'Weapon Formulas'!$E$10:$Q$300,12,0),weapon_components!E110),2)</f>
        <v>29</v>
      </c>
      <c r="F110" s="5">
        <f>ROUND(_xlfn.IFNA(VLOOKUP(A110,'Weapon Formulas'!$E$10:$L$300,8,0),weapon_components!F110),2)</f>
        <v>1</v>
      </c>
      <c r="G110" s="5">
        <f>ROUND(_xlfn.IFNA(VLOOKUP(A110,'Weapon Formulas'!$E$10:$P$300,9,0),weapon_components!G110),2)</f>
        <v>0</v>
      </c>
      <c r="H110" s="5">
        <f>ROUND(_xlfn.IFNA(VLOOKUP(A110,'Weapon Formulas'!$E$10:$L$300,7,0),weapon_components!H110),2)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Formulas'!$E$10:$Z$300,15,0),weapon_components!L110),1)</f>
        <v>36</v>
      </c>
      <c r="M110" s="32">
        <f>ROUND(_xlfn.IFNA(VLOOKUP(A110,'Weapon Formulas'!$E$10:$Z$300,14,0),weapon_components!M110),2)</f>
        <v>1</v>
      </c>
      <c r="N110" s="5">
        <f>ROUND(_xlfn.IFNA(VLOOKUP(A110,'Weapon Formulas'!$E$10:$W$300,16,0),weapon_components!N110),2)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Formulas'!$E$10:$Q$300,11,0),weapon_components!D111),2)</f>
        <v>34</v>
      </c>
      <c r="E111" s="5">
        <f>ROUND(_xlfn.IFNA(VLOOKUP(A111,'Weapon Formulas'!$E$10:$Q$300,12,0),weapon_components!E111),2)</f>
        <v>50</v>
      </c>
      <c r="F111" s="5">
        <f>ROUND(_xlfn.IFNA(VLOOKUP(A111,'Weapon Formulas'!$E$10:$L$300,8,0),weapon_components!F111),2)</f>
        <v>1</v>
      </c>
      <c r="G111" s="5">
        <f>ROUND(_xlfn.IFNA(VLOOKUP(A111,'Weapon Formulas'!$E$10:$P$300,9,0),weapon_components!G111),2)</f>
        <v>0</v>
      </c>
      <c r="H111" s="5">
        <f>ROUND(_xlfn.IFNA(VLOOKUP(A111,'Weapon Formulas'!$E$10:$L$300,7,0),weapon_components!H111),2)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Formulas'!$E$10:$Z$300,15,0),weapon_components!L111),1)</f>
        <v>46</v>
      </c>
      <c r="M111" s="32">
        <f>ROUND(_xlfn.IFNA(VLOOKUP(A111,'Weapon Formulas'!$E$10:$Z$300,14,0),weapon_components!M111),2)</f>
        <v>1</v>
      </c>
      <c r="N111" s="5">
        <f>ROUND(_xlfn.IFNA(VLOOKUP(A111,'Weapon Formulas'!$E$10:$W$300,16,0),weapon_components!N111),2)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 ca="1">ROUND(_xlfn.IFNA(VLOOKUP(A113,'Weapon Formulas'!$E$10:$Q$300,11,0),weapon_components!D113),2)</f>
        <v>51.67</v>
      </c>
      <c r="E113" s="5">
        <f ca="1">ROUND(_xlfn.IFNA(VLOOKUP(A113,'Weapon Formulas'!$E$10:$Q$300,12,0),weapon_components!E113),2)</f>
        <v>86.11</v>
      </c>
      <c r="F113" s="5">
        <f>ROUND(_xlfn.IFNA(VLOOKUP(A113,'Weapon Formulas'!$E$10:$L$300,8,0),weapon_components!F113),2)</f>
        <v>0</v>
      </c>
      <c r="G113" s="5">
        <f>ROUND(_xlfn.IFNA(VLOOKUP(A113,'Weapon Formulas'!$E$10:$P$300,9,0),weapon_components!G113),2)</f>
        <v>0.76</v>
      </c>
      <c r="H113" s="5">
        <f ca="1">ROUND(_xlfn.IFNA(VLOOKUP(A113,'Weapon Formulas'!$E$10:$L$300,7,0),weapon_components!H113),2)</f>
        <v>0.21</v>
      </c>
      <c r="I113">
        <v>2</v>
      </c>
      <c r="J113">
        <v>15</v>
      </c>
      <c r="K113">
        <v>75</v>
      </c>
      <c r="L113" s="5">
        <f>ROUND(_xlfn.IFNA(VLOOKUP(A113,'Weapon Formulas'!$E$10:$Z$300,15,0),weapon_components!L113),1)</f>
        <v>59.5</v>
      </c>
      <c r="M113" s="32">
        <f ca="1">ROUND(_xlfn.IFNA(VLOOKUP(A113,'Weapon Formulas'!$E$10:$Z$300,14,0),weapon_components!M113),2)</f>
        <v>1</v>
      </c>
      <c r="N113" s="5">
        <f>ROUND(_xlfn.IFNA(VLOOKUP(A113,'Weapon Formulas'!$E$10:$W$300,16,0),weapon_components!N113),2)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 ca="1">ROUND(_xlfn.IFNA(VLOOKUP(A114,'Weapon Formulas'!$E$10:$Q$300,11,0),weapon_components!D114),2)</f>
        <v>108.03</v>
      </c>
      <c r="E114" s="5">
        <f ca="1">ROUND(_xlfn.IFNA(VLOOKUP(A114,'Weapon Formulas'!$E$10:$Q$300,12,0),weapon_components!E114),2)</f>
        <v>180.05</v>
      </c>
      <c r="F114" s="5">
        <f>ROUND(_xlfn.IFNA(VLOOKUP(A114,'Weapon Formulas'!$E$10:$L$300,8,0),weapon_components!F114),2)</f>
        <v>0</v>
      </c>
      <c r="G114" s="5">
        <f>ROUND(_xlfn.IFNA(VLOOKUP(A114,'Weapon Formulas'!$E$10:$P$300,9,0),weapon_components!G114),2)</f>
        <v>0.74</v>
      </c>
      <c r="H114" s="5">
        <f ca="1">ROUND(_xlfn.IFNA(VLOOKUP(A114,'Weapon Formulas'!$E$10:$L$300,7,0),weapon_components!H114),2)</f>
        <v>-0.13</v>
      </c>
      <c r="I114">
        <v>2</v>
      </c>
      <c r="J114">
        <v>15</v>
      </c>
      <c r="K114">
        <v>75</v>
      </c>
      <c r="L114" s="5">
        <f>ROUND(_xlfn.IFNA(VLOOKUP(A114,'Weapon Formulas'!$E$10:$Z$300,15,0),weapon_components!L114),1)</f>
        <v>74.400000000000006</v>
      </c>
      <c r="M114" s="32">
        <f ca="1">ROUND(_xlfn.IFNA(VLOOKUP(A114,'Weapon Formulas'!$E$10:$Z$300,14,0),weapon_components!M114),2)</f>
        <v>1</v>
      </c>
      <c r="N114" s="5">
        <f>ROUND(_xlfn.IFNA(VLOOKUP(A114,'Weapon Formulas'!$E$10:$W$300,16,0),weapon_components!N114),2)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 ca="1">ROUND(_xlfn.IFNA(VLOOKUP(A115,'Weapon Formulas'!$E$10:$Q$300,11,0),weapon_components!D115),2)</f>
        <v>225.45</v>
      </c>
      <c r="E115" s="5">
        <f ca="1">ROUND(_xlfn.IFNA(VLOOKUP(A115,'Weapon Formulas'!$E$10:$Q$300,12,0),weapon_components!E115),2)</f>
        <v>375.75</v>
      </c>
      <c r="F115" s="5">
        <f>ROUND(_xlfn.IFNA(VLOOKUP(A115,'Weapon Formulas'!$E$10:$L$300,8,0),weapon_components!F115),2)</f>
        <v>0</v>
      </c>
      <c r="G115" s="5">
        <f>ROUND(_xlfn.IFNA(VLOOKUP(A115,'Weapon Formulas'!$E$10:$P$300,9,0),weapon_components!G115),2)</f>
        <v>0.72</v>
      </c>
      <c r="H115" s="5">
        <f ca="1">ROUND(_xlfn.IFNA(VLOOKUP(A115,'Weapon Formulas'!$E$10:$L$300,7,0),weapon_components!H115),2)</f>
        <v>-0.44</v>
      </c>
      <c r="I115">
        <v>2</v>
      </c>
      <c r="J115">
        <v>15</v>
      </c>
      <c r="K115">
        <v>75</v>
      </c>
      <c r="L115" s="5">
        <f>ROUND(_xlfn.IFNA(VLOOKUP(A115,'Weapon Formulas'!$E$10:$Z$300,15,0),weapon_components!L115),1)</f>
        <v>89.3</v>
      </c>
      <c r="M115" s="32">
        <f ca="1">ROUND(_xlfn.IFNA(VLOOKUP(A115,'Weapon Formulas'!$E$10:$Z$300,14,0),weapon_components!M115),2)</f>
        <v>1</v>
      </c>
      <c r="N115" s="5">
        <f>ROUND(_xlfn.IFNA(VLOOKUP(A115,'Weapon Formulas'!$E$10:$W$300,16,0),weapon_components!N115),2)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 ca="1">ROUND(_xlfn.IFNA(VLOOKUP(A116,'Weapon Formulas'!$E$10:$Q$300,11,0),weapon_components!D116),2)</f>
        <v>72.02</v>
      </c>
      <c r="E116" s="5">
        <f ca="1">ROUND(_xlfn.IFNA(VLOOKUP(A116,'Weapon Formulas'!$E$10:$Q$300,12,0),weapon_components!E116),2)</f>
        <v>120.03</v>
      </c>
      <c r="F116" s="5">
        <f>ROUND(_xlfn.IFNA(VLOOKUP(A116,'Weapon Formulas'!$E$10:$L$300,8,0),weapon_components!F116),2)</f>
        <v>0</v>
      </c>
      <c r="G116" s="5">
        <f>ROUND(_xlfn.IFNA(VLOOKUP(A116,'Weapon Formulas'!$E$10:$P$300,9,0),weapon_components!G116),2)</f>
        <v>0.74</v>
      </c>
      <c r="H116" s="5">
        <f ca="1">ROUND(_xlfn.IFNA(VLOOKUP(A116,'Weapon Formulas'!$E$10:$L$300,7,0),weapon_components!H116),2)</f>
        <v>-0.04</v>
      </c>
      <c r="I116">
        <v>2</v>
      </c>
      <c r="J116">
        <v>15</v>
      </c>
      <c r="K116">
        <v>75</v>
      </c>
      <c r="L116" s="5">
        <f>ROUND(_xlfn.IFNA(VLOOKUP(A116,'Weapon Formulas'!$E$10:$Z$300,15,0),weapon_components!L116),1)</f>
        <v>65.3</v>
      </c>
      <c r="M116" s="32">
        <f ca="1">ROUND(_xlfn.IFNA(VLOOKUP(A116,'Weapon Formulas'!$E$10:$Z$300,14,0),weapon_components!M116),2)</f>
        <v>1</v>
      </c>
      <c r="N116" s="5">
        <f>ROUND(_xlfn.IFNA(VLOOKUP(A116,'Weapon Formulas'!$E$10:$W$300,16,0),weapon_components!N116),2)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 ca="1">ROUND(_xlfn.IFNA(VLOOKUP(A117,'Weapon Formulas'!$E$10:$Q$300,11,0),weapon_components!D117),2)</f>
        <v>150.30000000000001</v>
      </c>
      <c r="E117" s="5">
        <f ca="1">ROUND(_xlfn.IFNA(VLOOKUP(A117,'Weapon Formulas'!$E$10:$Q$300,12,0),weapon_components!E117),2)</f>
        <v>250.5</v>
      </c>
      <c r="F117" s="5">
        <f>ROUND(_xlfn.IFNA(VLOOKUP(A117,'Weapon Formulas'!$E$10:$L$300,8,0),weapon_components!F117),2)</f>
        <v>0</v>
      </c>
      <c r="G117" s="5">
        <f>ROUND(_xlfn.IFNA(VLOOKUP(A117,'Weapon Formulas'!$E$10:$P$300,9,0),weapon_components!G117),2)</f>
        <v>0.72</v>
      </c>
      <c r="H117" s="5">
        <f ca="1">ROUND(_xlfn.IFNA(VLOOKUP(A117,'Weapon Formulas'!$E$10:$L$300,7,0),weapon_components!H117),2)</f>
        <v>-0.33</v>
      </c>
      <c r="I117">
        <v>2</v>
      </c>
      <c r="J117">
        <v>15</v>
      </c>
      <c r="K117">
        <v>75</v>
      </c>
      <c r="L117" s="5">
        <f>ROUND(_xlfn.IFNA(VLOOKUP(A117,'Weapon Formulas'!$E$10:$Z$300,15,0),weapon_components!L117),1)</f>
        <v>81.599999999999994</v>
      </c>
      <c r="M117" s="32">
        <f ca="1">ROUND(_xlfn.IFNA(VLOOKUP(A117,'Weapon Formulas'!$E$10:$Z$300,14,0),weapon_components!M117),2)</f>
        <v>1</v>
      </c>
      <c r="N117" s="5">
        <f>ROUND(_xlfn.IFNA(VLOOKUP(A117,'Weapon Formulas'!$E$10:$W$300,16,0),weapon_components!N117),2)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 ca="1">ROUND(_xlfn.IFNA(VLOOKUP(A118,'Weapon Formulas'!$E$10:$Q$300,11,0),weapon_components!D118),2)</f>
        <v>313.13</v>
      </c>
      <c r="E118" s="5">
        <f ca="1">ROUND(_xlfn.IFNA(VLOOKUP(A118,'Weapon Formulas'!$E$10:$Q$300,12,0),weapon_components!E118),2)</f>
        <v>521.88</v>
      </c>
      <c r="F118" s="5">
        <f>ROUND(_xlfn.IFNA(VLOOKUP(A118,'Weapon Formulas'!$E$10:$L$300,8,0),weapon_components!F118),2)</f>
        <v>0</v>
      </c>
      <c r="G118" s="5">
        <f>ROUND(_xlfn.IFNA(VLOOKUP(A118,'Weapon Formulas'!$E$10:$P$300,9,0),weapon_components!G118),2)</f>
        <v>0.7</v>
      </c>
      <c r="H118" s="5">
        <f ca="1">ROUND(_xlfn.IFNA(VLOOKUP(A118,'Weapon Formulas'!$E$10:$L$300,7,0),weapon_components!H118),2)</f>
        <v>-0.6</v>
      </c>
      <c r="I118">
        <v>2</v>
      </c>
      <c r="J118">
        <v>15</v>
      </c>
      <c r="K118">
        <v>75</v>
      </c>
      <c r="L118" s="5">
        <f>ROUND(_xlfn.IFNA(VLOOKUP(A118,'Weapon Formulas'!$E$10:$Z$300,15,0),weapon_components!L118),1)</f>
        <v>97.9</v>
      </c>
      <c r="M118" s="32">
        <f ca="1">ROUND(_xlfn.IFNA(VLOOKUP(A118,'Weapon Formulas'!$E$10:$Z$300,14,0),weapon_components!M118),2)</f>
        <v>1</v>
      </c>
      <c r="N118" s="5">
        <f>ROUND(_xlfn.IFNA(VLOOKUP(A118,'Weapon Formulas'!$E$10:$W$300,16,0),weapon_components!N118),2)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 ca="1">ROUND(_xlfn.IFNA(VLOOKUP(A119,'Weapon Formulas'!$E$10:$Q$300,11,0),weapon_components!D119),2)</f>
        <v>93.94</v>
      </c>
      <c r="E119" s="5">
        <f ca="1">ROUND(_xlfn.IFNA(VLOOKUP(A119,'Weapon Formulas'!$E$10:$Q$300,12,0),weapon_components!E119),2)</f>
        <v>156.56</v>
      </c>
      <c r="F119" s="5">
        <f>ROUND(_xlfn.IFNA(VLOOKUP(A119,'Weapon Formulas'!$E$10:$L$300,8,0),weapon_components!F119),2)</f>
        <v>0</v>
      </c>
      <c r="G119" s="5">
        <f>ROUND(_xlfn.IFNA(VLOOKUP(A119,'Weapon Formulas'!$E$10:$P$300,9,0),weapon_components!G119),2)</f>
        <v>0.72</v>
      </c>
      <c r="H119" s="5">
        <f ca="1">ROUND(_xlfn.IFNA(VLOOKUP(A119,'Weapon Formulas'!$E$10:$L$300,7,0),weapon_components!H119),2)</f>
        <v>-0.16</v>
      </c>
      <c r="I119">
        <v>2</v>
      </c>
      <c r="J119">
        <v>15</v>
      </c>
      <c r="K119">
        <v>75</v>
      </c>
      <c r="L119" s="5">
        <f>ROUND(_xlfn.IFNA(VLOOKUP(A119,'Weapon Formulas'!$E$10:$Z$300,15,0),weapon_components!L119),1)</f>
        <v>71</v>
      </c>
      <c r="M119" s="32">
        <f ca="1">ROUND(_xlfn.IFNA(VLOOKUP(A119,'Weapon Formulas'!$E$10:$Z$300,14,0),weapon_components!M119),2)</f>
        <v>1</v>
      </c>
      <c r="N119" s="5">
        <f>ROUND(_xlfn.IFNA(VLOOKUP(A119,'Weapon Formulas'!$E$10:$W$300,16,0),weapon_components!N119),2)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 ca="1">ROUND(_xlfn.IFNA(VLOOKUP(A120,'Weapon Formulas'!$E$10:$Q$300,11,0),weapon_components!D120),2)</f>
        <v>195.7</v>
      </c>
      <c r="E120" s="5">
        <f ca="1">ROUND(_xlfn.IFNA(VLOOKUP(A120,'Weapon Formulas'!$E$10:$Q$300,12,0),weapon_components!E120),2)</f>
        <v>326.17</v>
      </c>
      <c r="F120" s="5">
        <f>ROUND(_xlfn.IFNA(VLOOKUP(A120,'Weapon Formulas'!$E$10:$L$300,8,0),weapon_components!F120),2)</f>
        <v>0</v>
      </c>
      <c r="G120" s="5">
        <f>ROUND(_xlfn.IFNA(VLOOKUP(A120,'Weapon Formulas'!$E$10:$P$300,9,0),weapon_components!G120),2)</f>
        <v>0.7</v>
      </c>
      <c r="H120" s="5">
        <f ca="1">ROUND(_xlfn.IFNA(VLOOKUP(A120,'Weapon Formulas'!$E$10:$L$300,7,0),weapon_components!H120),2)</f>
        <v>-0.39</v>
      </c>
      <c r="I120">
        <v>2</v>
      </c>
      <c r="J120">
        <v>15</v>
      </c>
      <c r="K120">
        <v>75</v>
      </c>
      <c r="L120" s="5">
        <f>ROUND(_xlfn.IFNA(VLOOKUP(A120,'Weapon Formulas'!$E$10:$Z$300,15,0),weapon_components!L120),1)</f>
        <v>88.8</v>
      </c>
      <c r="M120" s="32">
        <f ca="1">ROUND(_xlfn.IFNA(VLOOKUP(A120,'Weapon Formulas'!$E$10:$Z$300,14,0),weapon_components!M120),2)</f>
        <v>1</v>
      </c>
      <c r="N120" s="5">
        <f>ROUND(_xlfn.IFNA(VLOOKUP(A120,'Weapon Formulas'!$E$10:$W$300,16,0),weapon_components!N120),2)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 ca="1">ROUND(_xlfn.IFNA(VLOOKUP(A121,'Weapon Formulas'!$E$10:$Q$300,11,0),weapon_components!D121),2)</f>
        <v>407.06</v>
      </c>
      <c r="E121" s="5">
        <f ca="1">ROUND(_xlfn.IFNA(VLOOKUP(A121,'Weapon Formulas'!$E$10:$Q$300,12,0),weapon_components!E121),2)</f>
        <v>678.44</v>
      </c>
      <c r="F121" s="5">
        <f>ROUND(_xlfn.IFNA(VLOOKUP(A121,'Weapon Formulas'!$E$10:$L$300,8,0),weapon_components!F121),2)</f>
        <v>0</v>
      </c>
      <c r="G121" s="5">
        <f>ROUND(_xlfn.IFNA(VLOOKUP(A121,'Weapon Formulas'!$E$10:$P$300,9,0),weapon_components!G121),2)</f>
        <v>0.68</v>
      </c>
      <c r="H121" s="5">
        <f ca="1">ROUND(_xlfn.IFNA(VLOOKUP(A121,'Weapon Formulas'!$E$10:$L$300,7,0),weapon_components!H121),2)</f>
        <v>-0.6</v>
      </c>
      <c r="I121">
        <v>2</v>
      </c>
      <c r="J121">
        <v>15</v>
      </c>
      <c r="K121">
        <v>75</v>
      </c>
      <c r="L121" s="5">
        <f>ROUND(_xlfn.IFNA(VLOOKUP(A121,'Weapon Formulas'!$E$10:$Z$300,15,0),weapon_components!L121),1)</f>
        <v>106.6</v>
      </c>
      <c r="M121" s="32">
        <f ca="1">ROUND(_xlfn.IFNA(VLOOKUP(A121,'Weapon Formulas'!$E$10:$Z$300,14,0),weapon_components!M121),2)</f>
        <v>1</v>
      </c>
      <c r="N121" s="5">
        <f>ROUND(_xlfn.IFNA(VLOOKUP(A121,'Weapon Formulas'!$E$10:$W$300,16,0),weapon_components!N121),2)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M122" s="32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 ca="1">ROUND(_xlfn.IFNA(VLOOKUP(A123,'Weapon Formulas'!$E$10:$Q$300,11,0),weapon_components!D123),2)</f>
        <v>90</v>
      </c>
      <c r="E123" s="5">
        <f ca="1">ROUND(_xlfn.IFNA(VLOOKUP(A123,'Weapon Formulas'!$E$10:$Q$300,12,0),weapon_components!E123),2)</f>
        <v>150</v>
      </c>
      <c r="F123" s="5">
        <f>ROUND(_xlfn.IFNA(VLOOKUP(A123,'Weapon Formulas'!$E$10:$L$300,8,0),weapon_components!F123),2)</f>
        <v>0</v>
      </c>
      <c r="G123" s="5">
        <f>ROUND(_xlfn.IFNA(VLOOKUP(A123,'Weapon Formulas'!$E$10:$P$300,9,0),weapon_components!G123),2)</f>
        <v>1</v>
      </c>
      <c r="H123" s="5">
        <f ca="1">ROUND(_xlfn.IFNA(VLOOKUP(A123,'Weapon Formulas'!$E$10:$L$300,7,0),weapon_components!H123),2)</f>
        <v>-0.85</v>
      </c>
      <c r="I123">
        <v>2</v>
      </c>
      <c r="J123">
        <v>8</v>
      </c>
      <c r="K123">
        <v>20</v>
      </c>
      <c r="L123" s="5">
        <f>ROUND(_xlfn.IFNA(VLOOKUP(A123,'Weapon Formulas'!$E$10:$Z$300,15,0),weapon_components!L123),1)</f>
        <v>81.599999999999994</v>
      </c>
      <c r="M123" s="32">
        <f ca="1">ROUND(_xlfn.IFNA(VLOOKUP(A123,'Weapon Formulas'!$E$10:$Z$300,14,0),weapon_components!M123),2)</f>
        <v>1</v>
      </c>
      <c r="N123" s="5">
        <f>ROUND(_xlfn.IFNA(VLOOKUP(A123,'Weapon Formulas'!$E$10:$W$300,16,0),weapon_components!N123),2)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 ca="1">ROUND(_xlfn.IFNA(VLOOKUP(A124,'Weapon Formulas'!$E$10:$Q$300,11,0),weapon_components!D124),2)</f>
        <v>117.19</v>
      </c>
      <c r="E124" s="5">
        <f ca="1">ROUND(_xlfn.IFNA(VLOOKUP(A124,'Weapon Formulas'!$E$10:$Q$300,12,0),weapon_components!E124),2)</f>
        <v>195.31</v>
      </c>
      <c r="F124" s="5">
        <f>ROUND(_xlfn.IFNA(VLOOKUP(A124,'Weapon Formulas'!$E$10:$L$300,8,0),weapon_components!F124),2)</f>
        <v>0</v>
      </c>
      <c r="G124" s="5">
        <f>ROUND(_xlfn.IFNA(VLOOKUP(A124,'Weapon Formulas'!$E$10:$P$300,9,0),weapon_components!G124),2)</f>
        <v>1</v>
      </c>
      <c r="H124" s="5">
        <f ca="1">ROUND(_xlfn.IFNA(VLOOKUP(A124,'Weapon Formulas'!$E$10:$L$300,7,0),weapon_components!H124),2)</f>
        <v>-0.81</v>
      </c>
      <c r="I124">
        <v>2</v>
      </c>
      <c r="J124">
        <v>8</v>
      </c>
      <c r="K124">
        <v>20</v>
      </c>
      <c r="L124" s="5">
        <f>ROUND(_xlfn.IFNA(VLOOKUP(A124,'Weapon Formulas'!$E$10:$Z$300,15,0),weapon_components!L124),1)</f>
        <v>88.8</v>
      </c>
      <c r="M124" s="32">
        <f ca="1">ROUND(_xlfn.IFNA(VLOOKUP(A124,'Weapon Formulas'!$E$10:$Z$300,14,0),weapon_components!M124),2)</f>
        <v>1</v>
      </c>
      <c r="N124" s="5">
        <f>ROUND(_xlfn.IFNA(VLOOKUP(A124,'Weapon Formulas'!$E$10:$W$300,16,0),weapon_components!N124),2)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M125" s="32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 ca="1">ROUND(_xlfn.IFNA(VLOOKUP(A126,'Weapon Formulas'!$E$10:$Q$300,11,0),weapon_components!D126),2)</f>
        <v>8.8699999999999992</v>
      </c>
      <c r="E126" s="5">
        <f ca="1">ROUND(_xlfn.IFNA(VLOOKUP(A126,'Weapon Formulas'!$E$10:$Q$300,12,0),weapon_components!E126),2)</f>
        <v>14.79</v>
      </c>
      <c r="F126" s="5">
        <f>ROUND(_xlfn.IFNA(VLOOKUP(A126,'Weapon Formulas'!$E$10:$L$300,8,0),weapon_components!F126),2)</f>
        <v>0</v>
      </c>
      <c r="G126" s="5">
        <f>ROUND(_xlfn.IFNA(VLOOKUP(A126,'Weapon Formulas'!$E$10:$P$300,9,0),weapon_components!G126),2)</f>
        <v>0.2</v>
      </c>
      <c r="H126" s="5">
        <f ca="1">ROUND(_xlfn.IFNA(VLOOKUP(A126,'Weapon Formulas'!$E$10:$L$300,7,0),weapon_components!H126),2)</f>
        <v>-5.61</v>
      </c>
      <c r="I126">
        <v>2</v>
      </c>
      <c r="J126">
        <v>25</v>
      </c>
      <c r="K126">
        <v>30</v>
      </c>
      <c r="L126" s="5">
        <f>ROUND(_xlfn.IFNA(VLOOKUP(A126,'Weapon Formulas'!$E$10:$Z$300,15,0),weapon_components!L126),1)</f>
        <v>36</v>
      </c>
      <c r="M126" s="32">
        <f ca="1">ROUND(_xlfn.IFNA(VLOOKUP(A126,'Weapon Formulas'!$E$10:$Z$300,14,0),weapon_components!M126),2)</f>
        <v>1</v>
      </c>
      <c r="N126" s="5">
        <f>ROUND(_xlfn.IFNA(VLOOKUP(A126,'Weapon Formulas'!$E$10:$W$300,16,0),weapon_components!N126),2)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 ca="1">ROUND(_xlfn.IFNA(VLOOKUP(A127,'Weapon Formulas'!$E$10:$Q$300,11,0),weapon_components!D127),2)</f>
        <v>18.63</v>
      </c>
      <c r="E127" s="5">
        <f ca="1">ROUND(_xlfn.IFNA(VLOOKUP(A127,'Weapon Formulas'!$E$10:$Q$300,12,0),weapon_components!E127),2)</f>
        <v>31.05</v>
      </c>
      <c r="F127" s="5">
        <f>ROUND(_xlfn.IFNA(VLOOKUP(A127,'Weapon Formulas'!$E$10:$L$300,8,0),weapon_components!F127),2)</f>
        <v>0</v>
      </c>
      <c r="G127" s="5">
        <f>ROUND(_xlfn.IFNA(VLOOKUP(A127,'Weapon Formulas'!$E$10:$P$300,9,0),weapon_components!G127),2)</f>
        <v>0.18</v>
      </c>
      <c r="H127" s="5">
        <f ca="1">ROUND(_xlfn.IFNA(VLOOKUP(A127,'Weapon Formulas'!$E$10:$L$300,7,0),weapon_components!H127),2)</f>
        <v>-8.24</v>
      </c>
      <c r="I127">
        <v>2</v>
      </c>
      <c r="J127">
        <v>25</v>
      </c>
      <c r="K127">
        <v>30</v>
      </c>
      <c r="L127" s="5">
        <f>ROUND(_xlfn.IFNA(VLOOKUP(A127,'Weapon Formulas'!$E$10:$Z$300,15,0),weapon_components!L127),1)</f>
        <v>45</v>
      </c>
      <c r="M127" s="32">
        <f ca="1">ROUND(_xlfn.IFNA(VLOOKUP(A127,'Weapon Formulas'!$E$10:$Z$300,14,0),weapon_components!M127),2)</f>
        <v>1</v>
      </c>
      <c r="N127" s="5">
        <f>ROUND(_xlfn.IFNA(VLOOKUP(A127,'Weapon Formulas'!$E$10:$W$300,16,0),weapon_components!N127),2)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M128" s="32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 ca="1">ROUND(_xlfn.IFNA(VLOOKUP(A129,'Weapon Formulas'!$E$10:$Q$300,11,0),weapon_components!D129),2)</f>
        <v>9.26</v>
      </c>
      <c r="E129" s="5">
        <f ca="1">ROUND(_xlfn.IFNA(VLOOKUP(A129,'Weapon Formulas'!$E$10:$Q$300,12,0),weapon_components!E129),2)</f>
        <v>15.44</v>
      </c>
      <c r="F129" s="5">
        <f>ROUND(_xlfn.IFNA(VLOOKUP(A129,'Weapon Formulas'!$E$10:$L$300,8,0),weapon_components!F129),2)</f>
        <v>0.01</v>
      </c>
      <c r="G129" s="5">
        <f>ROUND(_xlfn.IFNA(VLOOKUP(A129,'Weapon Formulas'!$E$10:$P$300,9,0),weapon_components!G129),2)</f>
        <v>0</v>
      </c>
      <c r="H129" s="5">
        <f ca="1">ROUND(_xlfn.IFNA(VLOOKUP(A129,'Weapon Formulas'!$E$10:$L$300,7,0),weapon_components!H129),2)</f>
        <v>4.3899999999999997</v>
      </c>
      <c r="I129">
        <v>2</v>
      </c>
      <c r="J129">
        <v>25</v>
      </c>
      <c r="K129">
        <v>30</v>
      </c>
      <c r="L129" s="5">
        <f>ROUND(_xlfn.IFNA(VLOOKUP(A129,'Weapon Formulas'!$E$10:$Z$300,15,0),weapon_components!L129),1)</f>
        <v>36</v>
      </c>
      <c r="M129" s="32">
        <f ca="1">ROUND(_xlfn.IFNA(VLOOKUP(A129,'Weapon Formulas'!$E$10:$Z$300,14,0),weapon_components!M129),2)</f>
        <v>0.88</v>
      </c>
      <c r="N129" s="5">
        <f>ROUND(_xlfn.IFNA(VLOOKUP(A129,'Weapon Formulas'!$E$10:$W$300,16,0),weapon_components!N129),2)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 ca="1">ROUND(_xlfn.IFNA(VLOOKUP(A130,'Weapon Formulas'!$E$10:$Q$300,11,0),weapon_components!D130),2)</f>
        <v>20.38</v>
      </c>
      <c r="E130" s="5">
        <f ca="1">ROUND(_xlfn.IFNA(VLOOKUP(A130,'Weapon Formulas'!$E$10:$Q$300,12,0),weapon_components!E130),2)</f>
        <v>33.96</v>
      </c>
      <c r="F130" s="5">
        <f>ROUND(_xlfn.IFNA(VLOOKUP(A130,'Weapon Formulas'!$E$10:$L$300,8,0),weapon_components!F130),2)</f>
        <v>0.01</v>
      </c>
      <c r="G130" s="5">
        <f>ROUND(_xlfn.IFNA(VLOOKUP(A130,'Weapon Formulas'!$E$10:$P$300,9,0),weapon_components!G130),2)</f>
        <v>0</v>
      </c>
      <c r="H130" s="5">
        <f ca="1">ROUND(_xlfn.IFNA(VLOOKUP(A130,'Weapon Formulas'!$E$10:$L$300,7,0),weapon_components!H130),2)</f>
        <v>8.7899999999999991</v>
      </c>
      <c r="I130">
        <v>2</v>
      </c>
      <c r="J130">
        <v>25</v>
      </c>
      <c r="K130">
        <v>30</v>
      </c>
      <c r="L130" s="5">
        <f>ROUND(_xlfn.IFNA(VLOOKUP(A130,'Weapon Formulas'!$E$10:$Z$300,15,0),weapon_components!L130),1)</f>
        <v>45</v>
      </c>
      <c r="M130" s="32">
        <f ca="1">ROUND(_xlfn.IFNA(VLOOKUP(A130,'Weapon Formulas'!$E$10:$Z$300,14,0),weapon_components!M130),2)</f>
        <v>0.8</v>
      </c>
      <c r="N130" s="5">
        <f>ROUND(_xlfn.IFNA(VLOOKUP(A130,'Weapon Formulas'!$E$10:$W$300,16,0),weapon_components!N130),2)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 ca="1">ROUND(_xlfn.IFNA(VLOOKUP(A131,'Weapon Formulas'!$E$10:$Q$300,11,0),weapon_components!D131),2)</f>
        <v>45.27</v>
      </c>
      <c r="E131" s="5">
        <f ca="1">ROUND(_xlfn.IFNA(VLOOKUP(A131,'Weapon Formulas'!$E$10:$Q$300,12,0),weapon_components!E131),2)</f>
        <v>75.459999999999994</v>
      </c>
      <c r="F131" s="5">
        <f>ROUND(_xlfn.IFNA(VLOOKUP(A131,'Weapon Formulas'!$E$10:$L$300,8,0),weapon_components!F131),2)</f>
        <v>0.01</v>
      </c>
      <c r="G131" s="5">
        <f>ROUND(_xlfn.IFNA(VLOOKUP(A131,'Weapon Formulas'!$E$10:$P$300,9,0),weapon_components!G131),2)</f>
        <v>0</v>
      </c>
      <c r="H131" s="5">
        <f ca="1">ROUND(_xlfn.IFNA(VLOOKUP(A131,'Weapon Formulas'!$E$10:$L$300,7,0),weapon_components!H131),2)</f>
        <v>14.16</v>
      </c>
      <c r="I131">
        <v>2</v>
      </c>
      <c r="J131">
        <v>25</v>
      </c>
      <c r="K131">
        <v>30</v>
      </c>
      <c r="L131" s="5">
        <f>ROUND(_xlfn.IFNA(VLOOKUP(A131,'Weapon Formulas'!$E$10:$Z$300,15,0),weapon_components!L131),1)</f>
        <v>54</v>
      </c>
      <c r="M131" s="32">
        <f ca="1">ROUND(_xlfn.IFNA(VLOOKUP(A131,'Weapon Formulas'!$E$10:$Z$300,14,0),weapon_components!M131),2)</f>
        <v>0.72</v>
      </c>
      <c r="N131" s="5">
        <f>ROUND(_xlfn.IFNA(VLOOKUP(A131,'Weapon Formulas'!$E$10:$W$300,16,0),weapon_components!N131),2)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 ca="1">ROUND(_xlfn.IFNA(VLOOKUP(A132,'Weapon Formulas'!$E$10:$Q$300,11,0),weapon_components!D132),2)</f>
        <v>9.26</v>
      </c>
      <c r="E132" s="5">
        <f ca="1">ROUND(_xlfn.IFNA(VLOOKUP(A132,'Weapon Formulas'!$E$10:$Q$300,12,0),weapon_components!E132),2)</f>
        <v>15.44</v>
      </c>
      <c r="F132" s="5">
        <f>ROUND(_xlfn.IFNA(VLOOKUP(A132,'Weapon Formulas'!$E$10:$L$300,8,0),weapon_components!F132),2)</f>
        <v>0.01</v>
      </c>
      <c r="G132" s="5">
        <f>ROUND(_xlfn.IFNA(VLOOKUP(A132,'Weapon Formulas'!$E$10:$P$300,9,0),weapon_components!G132),2)</f>
        <v>0</v>
      </c>
      <c r="H132" s="5">
        <f ca="1">ROUND(_xlfn.IFNA(VLOOKUP(A132,'Weapon Formulas'!$E$10:$L$300,7,0),weapon_components!H132),2)</f>
        <v>4.3899999999999997</v>
      </c>
      <c r="I132">
        <v>2</v>
      </c>
      <c r="J132">
        <v>25</v>
      </c>
      <c r="K132">
        <v>30</v>
      </c>
      <c r="L132" s="5">
        <f>ROUND(_xlfn.IFNA(VLOOKUP(A132,'Weapon Formulas'!$E$10:$Z$300,15,0),weapon_components!L132),1)</f>
        <v>36</v>
      </c>
      <c r="M132" s="32">
        <f ca="1">ROUND(_xlfn.IFNA(VLOOKUP(A132,'Weapon Formulas'!$E$10:$Z$300,14,0),weapon_components!M132),2)</f>
        <v>0.88</v>
      </c>
      <c r="N132" s="5">
        <f>ROUND(_xlfn.IFNA(VLOOKUP(A132,'Weapon Formulas'!$E$10:$W$300,16,0),weapon_components!N132),2)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 ca="1">ROUND(_xlfn.IFNA(VLOOKUP(A133,'Weapon Formulas'!$E$10:$Q$300,11,0),weapon_components!D133),2)</f>
        <v>20.38</v>
      </c>
      <c r="E133" s="5">
        <f ca="1">ROUND(_xlfn.IFNA(VLOOKUP(A133,'Weapon Formulas'!$E$10:$Q$300,12,0),weapon_components!E133),2)</f>
        <v>33.96</v>
      </c>
      <c r="F133" s="5">
        <f>ROUND(_xlfn.IFNA(VLOOKUP(A133,'Weapon Formulas'!$E$10:$L$300,8,0),weapon_components!F133),2)</f>
        <v>0.01</v>
      </c>
      <c r="G133" s="5">
        <f>ROUND(_xlfn.IFNA(VLOOKUP(A133,'Weapon Formulas'!$E$10:$P$300,9,0),weapon_components!G133),2)</f>
        <v>0</v>
      </c>
      <c r="H133" s="5">
        <f ca="1">ROUND(_xlfn.IFNA(VLOOKUP(A133,'Weapon Formulas'!$E$10:$L$300,7,0),weapon_components!H133),2)</f>
        <v>8.7899999999999991</v>
      </c>
      <c r="I133">
        <v>2</v>
      </c>
      <c r="J133">
        <v>25</v>
      </c>
      <c r="K133">
        <v>30</v>
      </c>
      <c r="L133" s="5">
        <f>ROUND(_xlfn.IFNA(VLOOKUP(A133,'Weapon Formulas'!$E$10:$Z$300,15,0),weapon_components!L133),1)</f>
        <v>45</v>
      </c>
      <c r="M133" s="32">
        <f ca="1">ROUND(_xlfn.IFNA(VLOOKUP(A133,'Weapon Formulas'!$E$10:$Z$300,14,0),weapon_components!M133),2)</f>
        <v>0.8</v>
      </c>
      <c r="N133" s="5">
        <f>ROUND(_xlfn.IFNA(VLOOKUP(A133,'Weapon Formulas'!$E$10:$W$300,16,0),weapon_components!N133),2)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 ca="1">ROUND(_xlfn.IFNA(VLOOKUP(A134,'Weapon Formulas'!$E$10:$Q$300,11,0),weapon_components!D134),2)</f>
        <v>45.27</v>
      </c>
      <c r="E134" s="5">
        <f ca="1">ROUND(_xlfn.IFNA(VLOOKUP(A134,'Weapon Formulas'!$E$10:$Q$300,12,0),weapon_components!E134),2)</f>
        <v>75.459999999999994</v>
      </c>
      <c r="F134" s="5">
        <f>ROUND(_xlfn.IFNA(VLOOKUP(A134,'Weapon Formulas'!$E$10:$L$300,8,0),weapon_components!F134),2)</f>
        <v>0.01</v>
      </c>
      <c r="G134" s="5">
        <f>ROUND(_xlfn.IFNA(VLOOKUP(A134,'Weapon Formulas'!$E$10:$P$300,9,0),weapon_components!G134),2)</f>
        <v>0</v>
      </c>
      <c r="H134" s="5">
        <f ca="1">ROUND(_xlfn.IFNA(VLOOKUP(A134,'Weapon Formulas'!$E$10:$L$300,7,0),weapon_components!H134),2)</f>
        <v>14.16</v>
      </c>
      <c r="I134">
        <v>2</v>
      </c>
      <c r="J134">
        <v>25</v>
      </c>
      <c r="K134">
        <v>30</v>
      </c>
      <c r="L134" s="5">
        <f>ROUND(_xlfn.IFNA(VLOOKUP(A134,'Weapon Formulas'!$E$10:$Z$300,15,0),weapon_components!L134),1)</f>
        <v>54</v>
      </c>
      <c r="M134" s="32">
        <f ca="1">ROUND(_xlfn.IFNA(VLOOKUP(A134,'Weapon Formulas'!$E$10:$Z$300,14,0),weapon_components!M134),2)</f>
        <v>0.72</v>
      </c>
      <c r="N134" s="5">
        <f>ROUND(_xlfn.IFNA(VLOOKUP(A134,'Weapon Formulas'!$E$10:$W$300,16,0),weapon_components!N134),2)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 ca="1">ROUND(_xlfn.IFNA(VLOOKUP(A135,'Weapon Formulas'!$E$10:$Q$300,11,0),weapon_components!D135),2)</f>
        <v>9.26</v>
      </c>
      <c r="E135" s="5">
        <f ca="1">ROUND(_xlfn.IFNA(VLOOKUP(A135,'Weapon Formulas'!$E$10:$Q$300,12,0),weapon_components!E135),2)</f>
        <v>15.44</v>
      </c>
      <c r="F135" s="5">
        <f>ROUND(_xlfn.IFNA(VLOOKUP(A135,'Weapon Formulas'!$E$10:$L$300,8,0),weapon_components!F135),2)</f>
        <v>0.01</v>
      </c>
      <c r="G135" s="5">
        <f>ROUND(_xlfn.IFNA(VLOOKUP(A135,'Weapon Formulas'!$E$10:$P$300,9,0),weapon_components!G135),2)</f>
        <v>0</v>
      </c>
      <c r="H135" s="5">
        <f ca="1">ROUND(_xlfn.IFNA(VLOOKUP(A135,'Weapon Formulas'!$E$10:$L$300,7,0),weapon_components!H135),2)</f>
        <v>4.3899999999999997</v>
      </c>
      <c r="I135">
        <v>2</v>
      </c>
      <c r="J135">
        <v>25</v>
      </c>
      <c r="K135">
        <v>30</v>
      </c>
      <c r="L135" s="5">
        <f>ROUND(_xlfn.IFNA(VLOOKUP(A135,'Weapon Formulas'!$E$10:$Z$300,15,0),weapon_components!L135),1)</f>
        <v>36</v>
      </c>
      <c r="M135" s="32">
        <f ca="1">ROUND(_xlfn.IFNA(VLOOKUP(A135,'Weapon Formulas'!$E$10:$Z$300,14,0),weapon_components!M135),2)</f>
        <v>0.88</v>
      </c>
      <c r="N135" s="5">
        <f>ROUND(_xlfn.IFNA(VLOOKUP(A135,'Weapon Formulas'!$E$10:$W$300,16,0),weapon_components!N135),2)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 ca="1">ROUND(_xlfn.IFNA(VLOOKUP(A136,'Weapon Formulas'!$E$10:$Q$300,11,0),weapon_components!D136),2)</f>
        <v>20.38</v>
      </c>
      <c r="E136" s="5">
        <f ca="1">ROUND(_xlfn.IFNA(VLOOKUP(A136,'Weapon Formulas'!$E$10:$Q$300,12,0),weapon_components!E136),2)</f>
        <v>33.96</v>
      </c>
      <c r="F136" s="5">
        <f>ROUND(_xlfn.IFNA(VLOOKUP(A136,'Weapon Formulas'!$E$10:$L$300,8,0),weapon_components!F136),2)</f>
        <v>0.01</v>
      </c>
      <c r="G136" s="5">
        <f>ROUND(_xlfn.IFNA(VLOOKUP(A136,'Weapon Formulas'!$E$10:$P$300,9,0),weapon_components!G136),2)</f>
        <v>0</v>
      </c>
      <c r="H136" s="5">
        <f ca="1">ROUND(_xlfn.IFNA(VLOOKUP(A136,'Weapon Formulas'!$E$10:$L$300,7,0),weapon_components!H136),2)</f>
        <v>8.7899999999999991</v>
      </c>
      <c r="I136">
        <v>2</v>
      </c>
      <c r="J136">
        <v>25</v>
      </c>
      <c r="K136">
        <v>30</v>
      </c>
      <c r="L136" s="5">
        <f>ROUND(_xlfn.IFNA(VLOOKUP(A136,'Weapon Formulas'!$E$10:$Z$300,15,0),weapon_components!L136),1)</f>
        <v>45</v>
      </c>
      <c r="M136" s="32">
        <f ca="1">ROUND(_xlfn.IFNA(VLOOKUP(A136,'Weapon Formulas'!$E$10:$Z$300,14,0),weapon_components!M136),2)</f>
        <v>0.8</v>
      </c>
      <c r="N136" s="5">
        <f>ROUND(_xlfn.IFNA(VLOOKUP(A136,'Weapon Formulas'!$E$10:$W$300,16,0),weapon_components!N136),2)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 ca="1">ROUND(_xlfn.IFNA(VLOOKUP(A137,'Weapon Formulas'!$E$10:$Q$300,11,0),weapon_components!D137),2)</f>
        <v>45.27</v>
      </c>
      <c r="E137" s="5">
        <f ca="1">ROUND(_xlfn.IFNA(VLOOKUP(A137,'Weapon Formulas'!$E$10:$Q$300,12,0),weapon_components!E137),2)</f>
        <v>75.459999999999994</v>
      </c>
      <c r="F137" s="5">
        <f>ROUND(_xlfn.IFNA(VLOOKUP(A137,'Weapon Formulas'!$E$10:$L$300,8,0),weapon_components!F137),2)</f>
        <v>0.01</v>
      </c>
      <c r="G137" s="5">
        <f>ROUND(_xlfn.IFNA(VLOOKUP(A137,'Weapon Formulas'!$E$10:$P$300,9,0),weapon_components!G137),2)</f>
        <v>0</v>
      </c>
      <c r="H137" s="5">
        <f ca="1">ROUND(_xlfn.IFNA(VLOOKUP(A137,'Weapon Formulas'!$E$10:$L$300,7,0),weapon_components!H137),2)</f>
        <v>14.16</v>
      </c>
      <c r="I137">
        <v>2</v>
      </c>
      <c r="J137">
        <v>25</v>
      </c>
      <c r="K137">
        <v>30</v>
      </c>
      <c r="L137" s="5">
        <f>ROUND(_xlfn.IFNA(VLOOKUP(A137,'Weapon Formulas'!$E$10:$Z$300,15,0),weapon_components!L137),1)</f>
        <v>54</v>
      </c>
      <c r="M137" s="32">
        <f ca="1">ROUND(_xlfn.IFNA(VLOOKUP(A137,'Weapon Formulas'!$E$10:$Z$300,14,0),weapon_components!M137),2)</f>
        <v>0.72</v>
      </c>
      <c r="N137" s="5">
        <f>ROUND(_xlfn.IFNA(VLOOKUP(A137,'Weapon Formulas'!$E$10:$W$300,16,0),weapon_components!N137),2)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 ca="1">ROUND(_xlfn.IFNA(VLOOKUP(A138,'Weapon Formulas'!$E$10:$Q$300,11,0),weapon_components!D138),2)</f>
        <v>9.26</v>
      </c>
      <c r="E138" s="5">
        <f ca="1">ROUND(_xlfn.IFNA(VLOOKUP(A138,'Weapon Formulas'!$E$10:$Q$300,12,0),weapon_components!E138),2)</f>
        <v>15.44</v>
      </c>
      <c r="F138" s="5">
        <f>ROUND(_xlfn.IFNA(VLOOKUP(A138,'Weapon Formulas'!$E$10:$L$300,8,0),weapon_components!F138),2)</f>
        <v>0.01</v>
      </c>
      <c r="G138" s="5">
        <f>ROUND(_xlfn.IFNA(VLOOKUP(A138,'Weapon Formulas'!$E$10:$P$300,9,0),weapon_components!G138),2)</f>
        <v>0</v>
      </c>
      <c r="H138" s="5">
        <f ca="1">ROUND(_xlfn.IFNA(VLOOKUP(A138,'Weapon Formulas'!$E$10:$L$300,7,0),weapon_components!H138),2)</f>
        <v>4.3899999999999997</v>
      </c>
      <c r="I138">
        <v>2</v>
      </c>
      <c r="J138">
        <v>25</v>
      </c>
      <c r="K138">
        <v>30</v>
      </c>
      <c r="L138" s="5">
        <f>ROUND(_xlfn.IFNA(VLOOKUP(A138,'Weapon Formulas'!$E$10:$Z$300,15,0),weapon_components!L138),1)</f>
        <v>36</v>
      </c>
      <c r="M138" s="32">
        <f ca="1">ROUND(_xlfn.IFNA(VLOOKUP(A138,'Weapon Formulas'!$E$10:$Z$300,14,0),weapon_components!M138),2)</f>
        <v>0.88</v>
      </c>
      <c r="N138" s="5">
        <f>ROUND(_xlfn.IFNA(VLOOKUP(A138,'Weapon Formulas'!$E$10:$W$300,16,0),weapon_components!N138),2)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 ca="1">ROUND(_xlfn.IFNA(VLOOKUP(A139,'Weapon Formulas'!$E$10:$Q$300,11,0),weapon_components!D139),2)</f>
        <v>20.38</v>
      </c>
      <c r="E139" s="5">
        <f ca="1">ROUND(_xlfn.IFNA(VLOOKUP(A139,'Weapon Formulas'!$E$10:$Q$300,12,0),weapon_components!E139),2)</f>
        <v>33.96</v>
      </c>
      <c r="F139" s="5">
        <f>ROUND(_xlfn.IFNA(VLOOKUP(A139,'Weapon Formulas'!$E$10:$L$300,8,0),weapon_components!F139),2)</f>
        <v>0.01</v>
      </c>
      <c r="G139" s="5">
        <f>ROUND(_xlfn.IFNA(VLOOKUP(A139,'Weapon Formulas'!$E$10:$P$300,9,0),weapon_components!G139),2)</f>
        <v>0</v>
      </c>
      <c r="H139" s="5">
        <f ca="1">ROUND(_xlfn.IFNA(VLOOKUP(A139,'Weapon Formulas'!$E$10:$L$300,7,0),weapon_components!H139),2)</f>
        <v>8.7899999999999991</v>
      </c>
      <c r="I139">
        <v>2</v>
      </c>
      <c r="J139">
        <v>25</v>
      </c>
      <c r="K139">
        <v>30</v>
      </c>
      <c r="L139" s="5">
        <f>ROUND(_xlfn.IFNA(VLOOKUP(A139,'Weapon Formulas'!$E$10:$Z$300,15,0),weapon_components!L139),1)</f>
        <v>45</v>
      </c>
      <c r="M139" s="32">
        <f ca="1">ROUND(_xlfn.IFNA(VLOOKUP(A139,'Weapon Formulas'!$E$10:$Z$300,14,0),weapon_components!M139),2)</f>
        <v>0.8</v>
      </c>
      <c r="N139" s="5">
        <f>ROUND(_xlfn.IFNA(VLOOKUP(A139,'Weapon Formulas'!$E$10:$W$300,16,0),weapon_components!N139),2)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 ca="1">ROUND(_xlfn.IFNA(VLOOKUP(A140,'Weapon Formulas'!$E$10:$Q$300,11,0),weapon_components!D140),2)</f>
        <v>45.27</v>
      </c>
      <c r="E140" s="5">
        <f ca="1">ROUND(_xlfn.IFNA(VLOOKUP(A140,'Weapon Formulas'!$E$10:$Q$300,12,0),weapon_components!E140),2)</f>
        <v>75.459999999999994</v>
      </c>
      <c r="F140" s="5">
        <f>ROUND(_xlfn.IFNA(VLOOKUP(A140,'Weapon Formulas'!$E$10:$L$300,8,0),weapon_components!F140),2)</f>
        <v>0.01</v>
      </c>
      <c r="G140" s="5">
        <f>ROUND(_xlfn.IFNA(VLOOKUP(A140,'Weapon Formulas'!$E$10:$P$300,9,0),weapon_components!G140),2)</f>
        <v>0</v>
      </c>
      <c r="H140" s="5">
        <f ca="1">ROUND(_xlfn.IFNA(VLOOKUP(A140,'Weapon Formulas'!$E$10:$L$300,7,0),weapon_components!H140),2)</f>
        <v>14.16</v>
      </c>
      <c r="I140">
        <v>2</v>
      </c>
      <c r="J140">
        <v>25</v>
      </c>
      <c r="K140">
        <v>30</v>
      </c>
      <c r="L140" s="5">
        <f>ROUND(_xlfn.IFNA(VLOOKUP(A140,'Weapon Formulas'!$E$10:$Z$300,15,0),weapon_components!L140),1)</f>
        <v>54</v>
      </c>
      <c r="M140" s="32">
        <f ca="1">ROUND(_xlfn.IFNA(VLOOKUP(A140,'Weapon Formulas'!$E$10:$Z$300,14,0),weapon_components!M140),2)</f>
        <v>0.72</v>
      </c>
      <c r="N140" s="5">
        <f>ROUND(_xlfn.IFNA(VLOOKUP(A140,'Weapon Formulas'!$E$10:$W$300,16,0),weapon_components!N140),2)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 ca="1">ROUND(_xlfn.IFNA(VLOOKUP(A141,'Weapon Formulas'!$E$10:$Q$300,11,0),weapon_components!D141),2)</f>
        <v>18.510000000000002</v>
      </c>
      <c r="E141" s="5">
        <f ca="1">ROUND(_xlfn.IFNA(VLOOKUP(A141,'Weapon Formulas'!$E$10:$Q$300,12,0),weapon_components!E141),2)</f>
        <v>30.85</v>
      </c>
      <c r="F141" s="5">
        <f>ROUND(_xlfn.IFNA(VLOOKUP(A141,'Weapon Formulas'!$E$10:$L$300,8,0),weapon_components!F141),2)</f>
        <v>0.04</v>
      </c>
      <c r="G141" s="5">
        <f>ROUND(_xlfn.IFNA(VLOOKUP(A141,'Weapon Formulas'!$E$10:$P$300,9,0),weapon_components!G141),2)</f>
        <v>0</v>
      </c>
      <c r="H141" s="5">
        <f ca="1">ROUND(_xlfn.IFNA(VLOOKUP(A141,'Weapon Formulas'!$E$10:$L$300,7,0),weapon_components!H141),2)</f>
        <v>2.06</v>
      </c>
      <c r="I141">
        <v>2</v>
      </c>
      <c r="J141">
        <v>25</v>
      </c>
      <c r="K141">
        <v>30</v>
      </c>
      <c r="L141" s="5">
        <f>ROUND(_xlfn.IFNA(VLOOKUP(A141,'Weapon Formulas'!$E$10:$Z$300,15,0),weapon_components!L141),1)</f>
        <v>40.299999999999997</v>
      </c>
      <c r="M141" s="32">
        <f ca="1">ROUND(_xlfn.IFNA(VLOOKUP(A141,'Weapon Formulas'!$E$10:$Z$300,14,0),weapon_components!M141),2)</f>
        <v>0.88</v>
      </c>
      <c r="N141" s="5">
        <f>ROUND(_xlfn.IFNA(VLOOKUP(A141,'Weapon Formulas'!$E$10:$W$300,16,0),weapon_components!N141),2)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 ca="1">ROUND(_xlfn.IFNA(VLOOKUP(A142,'Weapon Formulas'!$E$10:$Q$300,11,0),weapon_components!D142),2)</f>
        <v>40.72</v>
      </c>
      <c r="E142" s="5">
        <f ca="1">ROUND(_xlfn.IFNA(VLOOKUP(A142,'Weapon Formulas'!$E$10:$Q$300,12,0),weapon_components!E142),2)</f>
        <v>67.87</v>
      </c>
      <c r="F142" s="5">
        <f>ROUND(_xlfn.IFNA(VLOOKUP(A142,'Weapon Formulas'!$E$10:$L$300,8,0),weapon_components!F142),2)</f>
        <v>0.04</v>
      </c>
      <c r="G142" s="5">
        <f>ROUND(_xlfn.IFNA(VLOOKUP(A142,'Weapon Formulas'!$E$10:$P$300,9,0),weapon_components!G142),2)</f>
        <v>0</v>
      </c>
      <c r="H142" s="5">
        <f ca="1">ROUND(_xlfn.IFNA(VLOOKUP(A142,'Weapon Formulas'!$E$10:$L$300,7,0),weapon_components!H142),2)</f>
        <v>3.07</v>
      </c>
      <c r="I142">
        <v>2</v>
      </c>
      <c r="J142">
        <v>25</v>
      </c>
      <c r="K142">
        <v>30</v>
      </c>
      <c r="L142" s="5">
        <f>ROUND(_xlfn.IFNA(VLOOKUP(A142,'Weapon Formulas'!$E$10:$Z$300,15,0),weapon_components!L142),1)</f>
        <v>50.4</v>
      </c>
      <c r="M142" s="32">
        <f ca="1">ROUND(_xlfn.IFNA(VLOOKUP(A142,'Weapon Formulas'!$E$10:$Z$300,14,0),weapon_components!M142),2)</f>
        <v>0.8</v>
      </c>
      <c r="N142" s="5">
        <f>ROUND(_xlfn.IFNA(VLOOKUP(A142,'Weapon Formulas'!$E$10:$W$300,16,0),weapon_components!N142),2)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 ca="1">ROUND(_xlfn.IFNA(VLOOKUP(A143,'Weapon Formulas'!$E$10:$Q$300,11,0),weapon_components!D143),2)</f>
        <v>90.48</v>
      </c>
      <c r="E143" s="5">
        <f ca="1">ROUND(_xlfn.IFNA(VLOOKUP(A143,'Weapon Formulas'!$E$10:$Q$300,12,0),weapon_components!E143),2)</f>
        <v>150.79</v>
      </c>
      <c r="F143" s="5">
        <f>ROUND(_xlfn.IFNA(VLOOKUP(A143,'Weapon Formulas'!$E$10:$L$300,8,0),weapon_components!F143),2)</f>
        <v>0.04</v>
      </c>
      <c r="G143" s="5">
        <f>ROUND(_xlfn.IFNA(VLOOKUP(A143,'Weapon Formulas'!$E$10:$P$300,9,0),weapon_components!G143),2)</f>
        <v>0</v>
      </c>
      <c r="H143" s="5">
        <f ca="1">ROUND(_xlfn.IFNA(VLOOKUP(A143,'Weapon Formulas'!$E$10:$L$300,7,0),weapon_components!H143),2)</f>
        <v>4.3</v>
      </c>
      <c r="I143">
        <v>2</v>
      </c>
      <c r="J143">
        <v>25</v>
      </c>
      <c r="K143">
        <v>30</v>
      </c>
      <c r="L143" s="5">
        <f>ROUND(_xlfn.IFNA(VLOOKUP(A143,'Weapon Formulas'!$E$10:$Z$300,15,0),weapon_components!L143),1)</f>
        <v>60.5</v>
      </c>
      <c r="M143" s="32">
        <f ca="1">ROUND(_xlfn.IFNA(VLOOKUP(A143,'Weapon Formulas'!$E$10:$Z$300,14,0),weapon_components!M143),2)</f>
        <v>0.72</v>
      </c>
      <c r="N143" s="5">
        <f>ROUND(_xlfn.IFNA(VLOOKUP(A143,'Weapon Formulas'!$E$10:$W$300,16,0),weapon_components!N143),2)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 ca="1">ROUND(_xlfn.IFNA(VLOOKUP(A144,'Weapon Formulas'!$E$10:$Q$300,11,0),weapon_components!D144),2)</f>
        <v>18.510000000000002</v>
      </c>
      <c r="E144" s="5">
        <f ca="1">ROUND(_xlfn.IFNA(VLOOKUP(A144,'Weapon Formulas'!$E$10:$Q$300,12,0),weapon_components!E144),2)</f>
        <v>30.85</v>
      </c>
      <c r="F144" s="5">
        <f>ROUND(_xlfn.IFNA(VLOOKUP(A144,'Weapon Formulas'!$E$10:$L$300,8,0),weapon_components!F144),2)</f>
        <v>0.04</v>
      </c>
      <c r="G144" s="5">
        <f>ROUND(_xlfn.IFNA(VLOOKUP(A144,'Weapon Formulas'!$E$10:$P$300,9,0),weapon_components!G144),2)</f>
        <v>0</v>
      </c>
      <c r="H144" s="5">
        <f ca="1">ROUND(_xlfn.IFNA(VLOOKUP(A144,'Weapon Formulas'!$E$10:$L$300,7,0),weapon_components!H144),2)</f>
        <v>2.06</v>
      </c>
      <c r="I144">
        <v>2</v>
      </c>
      <c r="J144">
        <v>25</v>
      </c>
      <c r="K144">
        <v>30</v>
      </c>
      <c r="L144" s="5">
        <f>ROUND(_xlfn.IFNA(VLOOKUP(A144,'Weapon Formulas'!$E$10:$Z$300,15,0),weapon_components!L144),1)</f>
        <v>40.299999999999997</v>
      </c>
      <c r="M144" s="32">
        <f ca="1">ROUND(_xlfn.IFNA(VLOOKUP(A144,'Weapon Formulas'!$E$10:$Z$300,14,0),weapon_components!M144),2)</f>
        <v>0.88</v>
      </c>
      <c r="N144" s="5">
        <f>ROUND(_xlfn.IFNA(VLOOKUP(A144,'Weapon Formulas'!$E$10:$W$300,16,0),weapon_components!N144),2)</f>
        <v>0</v>
      </c>
    </row>
    <row r="145" spans="1:16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 ca="1">ROUND(_xlfn.IFNA(VLOOKUP(A145,'Weapon Formulas'!$E$10:$Q$300,11,0),weapon_components!D145),2)</f>
        <v>40.72</v>
      </c>
      <c r="E145" s="5">
        <f ca="1">ROUND(_xlfn.IFNA(VLOOKUP(A145,'Weapon Formulas'!$E$10:$Q$300,12,0),weapon_components!E145),2)</f>
        <v>67.87</v>
      </c>
      <c r="F145" s="5">
        <f>ROUND(_xlfn.IFNA(VLOOKUP(A145,'Weapon Formulas'!$E$10:$L$300,8,0),weapon_components!F145),2)</f>
        <v>0.04</v>
      </c>
      <c r="G145" s="5">
        <f>ROUND(_xlfn.IFNA(VLOOKUP(A145,'Weapon Formulas'!$E$10:$P$300,9,0),weapon_components!G145),2)</f>
        <v>0</v>
      </c>
      <c r="H145" s="5">
        <f ca="1">ROUND(_xlfn.IFNA(VLOOKUP(A145,'Weapon Formulas'!$E$10:$L$300,7,0),weapon_components!H145),2)</f>
        <v>3.07</v>
      </c>
      <c r="I145">
        <v>2</v>
      </c>
      <c r="J145">
        <v>25</v>
      </c>
      <c r="K145">
        <v>30</v>
      </c>
      <c r="L145" s="5">
        <f>ROUND(_xlfn.IFNA(VLOOKUP(A145,'Weapon Formulas'!$E$10:$Z$300,15,0),weapon_components!L145),1)</f>
        <v>50.4</v>
      </c>
      <c r="M145" s="32">
        <f ca="1">ROUND(_xlfn.IFNA(VLOOKUP(A145,'Weapon Formulas'!$E$10:$Z$300,14,0),weapon_components!M145),2)</f>
        <v>0.8</v>
      </c>
      <c r="N145" s="5">
        <f>ROUND(_xlfn.IFNA(VLOOKUP(A145,'Weapon Formulas'!$E$10:$W$300,16,0),weapon_components!N145),2)</f>
        <v>0</v>
      </c>
    </row>
    <row r="146" spans="1:16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 ca="1">ROUND(_xlfn.IFNA(VLOOKUP(A146,'Weapon Formulas'!$E$10:$Q$300,11,0),weapon_components!D146),2)</f>
        <v>90.48</v>
      </c>
      <c r="E146" s="5">
        <f ca="1">ROUND(_xlfn.IFNA(VLOOKUP(A146,'Weapon Formulas'!$E$10:$Q$300,12,0),weapon_components!E146),2)</f>
        <v>150.79</v>
      </c>
      <c r="F146" s="5">
        <f>ROUND(_xlfn.IFNA(VLOOKUP(A146,'Weapon Formulas'!$E$10:$L$300,8,0),weapon_components!F146),2)</f>
        <v>0.04</v>
      </c>
      <c r="G146" s="5">
        <f>ROUND(_xlfn.IFNA(VLOOKUP(A146,'Weapon Formulas'!$E$10:$P$300,9,0),weapon_components!G146),2)</f>
        <v>0</v>
      </c>
      <c r="H146" s="5">
        <f ca="1">ROUND(_xlfn.IFNA(VLOOKUP(A146,'Weapon Formulas'!$E$10:$L$300,7,0),weapon_components!H146),2)</f>
        <v>4.3</v>
      </c>
      <c r="I146">
        <v>2</v>
      </c>
      <c r="J146">
        <v>25</v>
      </c>
      <c r="K146">
        <v>30</v>
      </c>
      <c r="L146" s="5">
        <f>ROUND(_xlfn.IFNA(VLOOKUP(A146,'Weapon Formulas'!$E$10:$Z$300,15,0),weapon_components!L146),1)</f>
        <v>60.5</v>
      </c>
      <c r="M146" s="32">
        <f ca="1">ROUND(_xlfn.IFNA(VLOOKUP(A146,'Weapon Formulas'!$E$10:$Z$300,14,0),weapon_components!M146),2)</f>
        <v>0.72</v>
      </c>
      <c r="N146" s="5">
        <f>ROUND(_xlfn.IFNA(VLOOKUP(A146,'Weapon Formulas'!$E$10:$W$300,16,0),weapon_components!N146),2)</f>
        <v>0</v>
      </c>
    </row>
    <row r="147" spans="1:16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 ca="1">ROUND(_xlfn.IFNA(VLOOKUP(A147,'Weapon Formulas'!$E$10:$Q$300,11,0),weapon_components!D147),2)</f>
        <v>18.510000000000002</v>
      </c>
      <c r="E147" s="5">
        <f ca="1">ROUND(_xlfn.IFNA(VLOOKUP(A147,'Weapon Formulas'!$E$10:$Q$300,12,0),weapon_components!E147),2)</f>
        <v>30.85</v>
      </c>
      <c r="F147" s="5">
        <f>ROUND(_xlfn.IFNA(VLOOKUP(A147,'Weapon Formulas'!$E$10:$L$300,8,0),weapon_components!F147),2)</f>
        <v>0.04</v>
      </c>
      <c r="G147" s="5">
        <f>ROUND(_xlfn.IFNA(VLOOKUP(A147,'Weapon Formulas'!$E$10:$P$300,9,0),weapon_components!G147),2)</f>
        <v>0</v>
      </c>
      <c r="H147" s="5">
        <f ca="1">ROUND(_xlfn.IFNA(VLOOKUP(A147,'Weapon Formulas'!$E$10:$L$300,7,0),weapon_components!H147),2)</f>
        <v>2.06</v>
      </c>
      <c r="I147">
        <v>2</v>
      </c>
      <c r="J147">
        <v>25</v>
      </c>
      <c r="K147">
        <v>30</v>
      </c>
      <c r="L147" s="5">
        <f>ROUND(_xlfn.IFNA(VLOOKUP(A147,'Weapon Formulas'!$E$10:$Z$300,15,0),weapon_components!L147),1)</f>
        <v>40.299999999999997</v>
      </c>
      <c r="M147" s="32">
        <f ca="1">ROUND(_xlfn.IFNA(VLOOKUP(A147,'Weapon Formulas'!$E$10:$Z$300,14,0),weapon_components!M147),2)</f>
        <v>0.88</v>
      </c>
      <c r="N147" s="5">
        <f>ROUND(_xlfn.IFNA(VLOOKUP(A147,'Weapon Formulas'!$E$10:$W$300,16,0),weapon_components!N147),2)</f>
        <v>0</v>
      </c>
    </row>
    <row r="148" spans="1:16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 ca="1">ROUND(_xlfn.IFNA(VLOOKUP(A148,'Weapon Formulas'!$E$10:$Q$300,11,0),weapon_components!D148),2)</f>
        <v>40.72</v>
      </c>
      <c r="E148" s="5">
        <f ca="1">ROUND(_xlfn.IFNA(VLOOKUP(A148,'Weapon Formulas'!$E$10:$Q$300,12,0),weapon_components!E148),2)</f>
        <v>67.87</v>
      </c>
      <c r="F148" s="5">
        <f>ROUND(_xlfn.IFNA(VLOOKUP(A148,'Weapon Formulas'!$E$10:$L$300,8,0),weapon_components!F148),2)</f>
        <v>0.04</v>
      </c>
      <c r="G148" s="5">
        <f>ROUND(_xlfn.IFNA(VLOOKUP(A148,'Weapon Formulas'!$E$10:$P$300,9,0),weapon_components!G148),2)</f>
        <v>0</v>
      </c>
      <c r="H148" s="5">
        <f ca="1">ROUND(_xlfn.IFNA(VLOOKUP(A148,'Weapon Formulas'!$E$10:$L$300,7,0),weapon_components!H148),2)</f>
        <v>3.07</v>
      </c>
      <c r="I148">
        <v>2</v>
      </c>
      <c r="J148">
        <v>25</v>
      </c>
      <c r="K148">
        <v>30</v>
      </c>
      <c r="L148" s="5">
        <f>ROUND(_xlfn.IFNA(VLOOKUP(A148,'Weapon Formulas'!$E$10:$Z$300,15,0),weapon_components!L148),1)</f>
        <v>50.4</v>
      </c>
      <c r="M148" s="32">
        <f ca="1">ROUND(_xlfn.IFNA(VLOOKUP(A148,'Weapon Formulas'!$E$10:$Z$300,14,0),weapon_components!M148),2)</f>
        <v>0.8</v>
      </c>
      <c r="N148" s="5">
        <f>ROUND(_xlfn.IFNA(VLOOKUP(A148,'Weapon Formulas'!$E$10:$W$300,16,0),weapon_components!N148),2)</f>
        <v>0</v>
      </c>
    </row>
    <row r="149" spans="1:16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 ca="1">ROUND(_xlfn.IFNA(VLOOKUP(A149,'Weapon Formulas'!$E$10:$Q$300,11,0),weapon_components!D149),2)</f>
        <v>90.48</v>
      </c>
      <c r="E149" s="5">
        <f ca="1">ROUND(_xlfn.IFNA(VLOOKUP(A149,'Weapon Formulas'!$E$10:$Q$300,12,0),weapon_components!E149),2)</f>
        <v>150.79</v>
      </c>
      <c r="F149" s="5">
        <f>ROUND(_xlfn.IFNA(VLOOKUP(A149,'Weapon Formulas'!$E$10:$L$300,8,0),weapon_components!F149),2)</f>
        <v>0.04</v>
      </c>
      <c r="G149" s="5">
        <f>ROUND(_xlfn.IFNA(VLOOKUP(A149,'Weapon Formulas'!$E$10:$P$300,9,0),weapon_components!G149),2)</f>
        <v>0</v>
      </c>
      <c r="H149" s="5">
        <f ca="1">ROUND(_xlfn.IFNA(VLOOKUP(A149,'Weapon Formulas'!$E$10:$L$300,7,0),weapon_components!H149),2)</f>
        <v>4.3</v>
      </c>
      <c r="I149">
        <v>2</v>
      </c>
      <c r="J149">
        <v>25</v>
      </c>
      <c r="K149">
        <v>30</v>
      </c>
      <c r="L149" s="5">
        <f>ROUND(_xlfn.IFNA(VLOOKUP(A149,'Weapon Formulas'!$E$10:$Z$300,15,0),weapon_components!L149),1)</f>
        <v>60.5</v>
      </c>
      <c r="M149" s="32">
        <f ca="1">ROUND(_xlfn.IFNA(VLOOKUP(A149,'Weapon Formulas'!$E$10:$Z$300,14,0),weapon_components!M149),2)</f>
        <v>0.72</v>
      </c>
      <c r="N149" s="5">
        <f>ROUND(_xlfn.IFNA(VLOOKUP(A149,'Weapon Formulas'!$E$10:$W$300,16,0),weapon_components!N149),2)</f>
        <v>0</v>
      </c>
    </row>
    <row r="150" spans="1:16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 ca="1">ROUND(_xlfn.IFNA(VLOOKUP(A150,'Weapon Formulas'!$E$10:$Q$300,11,0),weapon_components!D150),2)</f>
        <v>18.510000000000002</v>
      </c>
      <c r="E150" s="5">
        <f ca="1">ROUND(_xlfn.IFNA(VLOOKUP(A150,'Weapon Formulas'!$E$10:$Q$300,12,0),weapon_components!E150),2)</f>
        <v>30.85</v>
      </c>
      <c r="F150" s="5">
        <f>ROUND(_xlfn.IFNA(VLOOKUP(A150,'Weapon Formulas'!$E$10:$L$300,8,0),weapon_components!F150),2)</f>
        <v>0.04</v>
      </c>
      <c r="G150" s="5">
        <f>ROUND(_xlfn.IFNA(VLOOKUP(A150,'Weapon Formulas'!$E$10:$P$300,9,0),weapon_components!G150),2)</f>
        <v>0</v>
      </c>
      <c r="H150" s="5">
        <f ca="1">ROUND(_xlfn.IFNA(VLOOKUP(A150,'Weapon Formulas'!$E$10:$L$300,7,0),weapon_components!H150),2)</f>
        <v>2.06</v>
      </c>
      <c r="I150">
        <v>2</v>
      </c>
      <c r="J150">
        <v>25</v>
      </c>
      <c r="K150">
        <v>30</v>
      </c>
      <c r="L150" s="5">
        <f>ROUND(_xlfn.IFNA(VLOOKUP(A150,'Weapon Formulas'!$E$10:$Z$300,15,0),weapon_components!L150),1)</f>
        <v>40.299999999999997</v>
      </c>
      <c r="M150" s="32">
        <f ca="1">ROUND(_xlfn.IFNA(VLOOKUP(A150,'Weapon Formulas'!$E$10:$Z$300,14,0),weapon_components!M150),2)</f>
        <v>0.88</v>
      </c>
      <c r="N150" s="5">
        <f>ROUND(_xlfn.IFNA(VLOOKUP(A150,'Weapon Formulas'!$E$10:$W$300,16,0),weapon_components!N150),2)</f>
        <v>0</v>
      </c>
    </row>
    <row r="151" spans="1:16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 ca="1">ROUND(_xlfn.IFNA(VLOOKUP(A151,'Weapon Formulas'!$E$10:$Q$300,11,0),weapon_components!D151),2)</f>
        <v>40.72</v>
      </c>
      <c r="E151" s="5">
        <f ca="1">ROUND(_xlfn.IFNA(VLOOKUP(A151,'Weapon Formulas'!$E$10:$Q$300,12,0),weapon_components!E151),2)</f>
        <v>67.87</v>
      </c>
      <c r="F151" s="5">
        <f>ROUND(_xlfn.IFNA(VLOOKUP(A151,'Weapon Formulas'!$E$10:$L$300,8,0),weapon_components!F151),2)</f>
        <v>0.04</v>
      </c>
      <c r="G151" s="5">
        <f>ROUND(_xlfn.IFNA(VLOOKUP(A151,'Weapon Formulas'!$E$10:$P$300,9,0),weapon_components!G151),2)</f>
        <v>0</v>
      </c>
      <c r="H151" s="5">
        <f ca="1">ROUND(_xlfn.IFNA(VLOOKUP(A151,'Weapon Formulas'!$E$10:$L$300,7,0),weapon_components!H151),2)</f>
        <v>3.07</v>
      </c>
      <c r="I151">
        <v>2</v>
      </c>
      <c r="J151">
        <v>25</v>
      </c>
      <c r="K151">
        <v>30</v>
      </c>
      <c r="L151" s="5">
        <f>ROUND(_xlfn.IFNA(VLOOKUP(A151,'Weapon Formulas'!$E$10:$Z$300,15,0),weapon_components!L151),1)</f>
        <v>50.4</v>
      </c>
      <c r="M151" s="32">
        <f ca="1">ROUND(_xlfn.IFNA(VLOOKUP(A151,'Weapon Formulas'!$E$10:$Z$300,14,0),weapon_components!M151),2)</f>
        <v>0.8</v>
      </c>
      <c r="N151" s="5">
        <f>ROUND(_xlfn.IFNA(VLOOKUP(A151,'Weapon Formulas'!$E$10:$W$300,16,0),weapon_components!N151),2)</f>
        <v>0</v>
      </c>
    </row>
    <row r="152" spans="1:16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 ca="1">ROUND(_xlfn.IFNA(VLOOKUP(A152,'Weapon Formulas'!$E$10:$Q$300,11,0),weapon_components!D152),2)</f>
        <v>90.48</v>
      </c>
      <c r="E152" s="5">
        <f ca="1">ROUND(_xlfn.IFNA(VLOOKUP(A152,'Weapon Formulas'!$E$10:$Q$300,12,0),weapon_components!E152),2)</f>
        <v>150.79</v>
      </c>
      <c r="F152" s="5">
        <f>ROUND(_xlfn.IFNA(VLOOKUP(A152,'Weapon Formulas'!$E$10:$L$300,8,0),weapon_components!F152),2)</f>
        <v>0.04</v>
      </c>
      <c r="G152" s="5">
        <f>ROUND(_xlfn.IFNA(VLOOKUP(A152,'Weapon Formulas'!$E$10:$P$300,9,0),weapon_components!G152),2)</f>
        <v>0</v>
      </c>
      <c r="H152" s="5">
        <f ca="1">ROUND(_xlfn.IFNA(VLOOKUP(A152,'Weapon Formulas'!$E$10:$L$300,7,0),weapon_components!H152),2)</f>
        <v>4.3</v>
      </c>
      <c r="I152">
        <v>2</v>
      </c>
      <c r="J152">
        <v>25</v>
      </c>
      <c r="K152">
        <v>30</v>
      </c>
      <c r="L152" s="5">
        <f>ROUND(_xlfn.IFNA(VLOOKUP(A152,'Weapon Formulas'!$E$10:$Z$300,15,0),weapon_components!L152),1)</f>
        <v>60.5</v>
      </c>
      <c r="M152" s="32">
        <f ca="1">ROUND(_xlfn.IFNA(VLOOKUP(A152,'Weapon Formulas'!$E$10:$Z$300,14,0),weapon_components!M152),2)</f>
        <v>0.72</v>
      </c>
      <c r="N152" s="5">
        <f>ROUND(_xlfn.IFNA(VLOOKUP(A152,'Weapon Formulas'!$E$10:$W$300,16,0),weapon_components!N152),2)</f>
        <v>0</v>
      </c>
    </row>
    <row r="153" spans="1:16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M153" s="32"/>
      <c r="N153" s="5"/>
    </row>
    <row r="154" spans="1:16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 ca="1">ROUND(_xlfn.IFNA(VLOOKUP(A154,'Weapon Formulas'!$E$10:$Q$300,11,0),weapon_components!D154),2)</f>
        <v>170.77</v>
      </c>
      <c r="E154" s="5">
        <f ca="1">ROUND(_xlfn.IFNA(VLOOKUP(A154,'Weapon Formulas'!$E$10:$Q$300,12,0),weapon_components!E154),2)</f>
        <v>284.62</v>
      </c>
      <c r="F154" s="5">
        <f>ROUND(_xlfn.IFNA(VLOOKUP(A154,'Weapon Formulas'!$E$10:$L$300,8,0),weapon_components!F154),2)</f>
        <v>0.08</v>
      </c>
      <c r="G154" s="5">
        <f>ROUND(_xlfn.IFNA(VLOOKUP(A154,'Weapon Formulas'!$E$10:$P$300,9,0),weapon_components!G154),2)</f>
        <v>0</v>
      </c>
      <c r="H154" s="5">
        <f ca="1">ROUND(_xlfn.IFNA(VLOOKUP(A154,'Weapon Formulas'!$E$10:$L$300,7,0),weapon_components!H154),2)</f>
        <v>-1.1599999999999999</v>
      </c>
      <c r="I154">
        <v>2</v>
      </c>
      <c r="J154">
        <v>25</v>
      </c>
      <c r="K154">
        <v>30</v>
      </c>
      <c r="L154" s="5">
        <f>ROUND(_xlfn.IFNA(VLOOKUP(A154,'Weapon Formulas'!$E$10:$Z$300,15,0),weapon_components!L154),1)</f>
        <v>66.599999999999994</v>
      </c>
      <c r="M154" s="32">
        <f ca="1">ROUND(_xlfn.IFNA(VLOOKUP(A154,'Weapon Formulas'!$E$10:$Z$300,14,0),weapon_components!M154),2)</f>
        <v>1</v>
      </c>
      <c r="N154" s="5">
        <f>ROUND(_xlfn.IFNA(VLOOKUP(A154,'Weapon Formulas'!$E$10:$W$300,16,0),weapon_components!N154),2)</f>
        <v>0</v>
      </c>
    </row>
    <row r="155" spans="1:16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 ca="1">ROUND(_xlfn.IFNA(VLOOKUP(A155,'Weapon Formulas'!$E$10:$Q$300,11,0),weapon_components!D155),2)</f>
        <v>8.8699999999999992</v>
      </c>
      <c r="E155" s="5">
        <f ca="1">ROUND(_xlfn.IFNA(VLOOKUP(A155,'Weapon Formulas'!$E$10:$Q$300,12,0),weapon_components!E155),2)</f>
        <v>14.79</v>
      </c>
      <c r="F155" s="5">
        <f>ROUND(_xlfn.IFNA(VLOOKUP(A155,'Weapon Formulas'!$E$10:$L$300,8,0),weapon_components!F155),2)</f>
        <v>0.01</v>
      </c>
      <c r="G155" s="5">
        <f>ROUND(_xlfn.IFNA(VLOOKUP(A155,'Weapon Formulas'!$E$10:$P$300,9,0),weapon_components!G155),2)</f>
        <v>0</v>
      </c>
      <c r="H155" s="5">
        <f ca="1">ROUND(_xlfn.IFNA(VLOOKUP(A155,'Weapon Formulas'!$E$10:$L$300,7,0),weapon_components!H155),2)</f>
        <v>-5.61</v>
      </c>
      <c r="I155">
        <v>2</v>
      </c>
      <c r="J155">
        <v>25</v>
      </c>
      <c r="K155">
        <v>30</v>
      </c>
      <c r="L155" s="5">
        <f>ROUND(_xlfn.IFNA(VLOOKUP(A155,'Weapon Formulas'!$E$10:$Z$300,15,0),weapon_components!L155),1)</f>
        <v>31.7</v>
      </c>
      <c r="M155" s="32">
        <f ca="1">ROUND(_xlfn.IFNA(VLOOKUP(A155,'Weapon Formulas'!$E$10:$Z$300,14,0),weapon_components!M155),2)</f>
        <v>1</v>
      </c>
      <c r="N155" s="5">
        <f>ROUND(_xlfn.IFNA(VLOOKUP(A155,'Weapon Formulas'!$E$10:$W$300,16,0),weapon_components!N155),2)</f>
        <v>0</v>
      </c>
    </row>
    <row r="156" spans="1:16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 ca="1">ROUND(_xlfn.IFNA(VLOOKUP(A156,'Weapon Formulas'!$E$10:$Q$300,11,0),weapon_components!D156),2)</f>
        <v>18.63</v>
      </c>
      <c r="E156" s="5">
        <f ca="1">ROUND(_xlfn.IFNA(VLOOKUP(A156,'Weapon Formulas'!$E$10:$Q$300,12,0),weapon_components!E156),2)</f>
        <v>31.05</v>
      </c>
      <c r="F156" s="5">
        <f>ROUND(_xlfn.IFNA(VLOOKUP(A156,'Weapon Formulas'!$E$10:$L$300,8,0),weapon_components!F156),2)</f>
        <v>0.01</v>
      </c>
      <c r="G156" s="5">
        <f>ROUND(_xlfn.IFNA(VLOOKUP(A156,'Weapon Formulas'!$E$10:$P$300,9,0),weapon_components!G156),2)</f>
        <v>0</v>
      </c>
      <c r="H156" s="5">
        <f ca="1">ROUND(_xlfn.IFNA(VLOOKUP(A156,'Weapon Formulas'!$E$10:$L$300,7,0),weapon_components!H156),2)</f>
        <v>-8.24</v>
      </c>
      <c r="I156">
        <v>2</v>
      </c>
      <c r="J156">
        <v>25</v>
      </c>
      <c r="K156">
        <v>30</v>
      </c>
      <c r="L156" s="5">
        <f>ROUND(_xlfn.IFNA(VLOOKUP(A156,'Weapon Formulas'!$E$10:$Z$300,15,0),weapon_components!L156),1)</f>
        <v>45</v>
      </c>
      <c r="M156" s="32">
        <f ca="1">ROUND(_xlfn.IFNA(VLOOKUP(A156,'Weapon Formulas'!$E$10:$Z$300,14,0),weapon_components!M156),2)</f>
        <v>1</v>
      </c>
      <c r="N156" s="5">
        <f>ROUND(_xlfn.IFNA(VLOOKUP(A156,'Weapon Formulas'!$E$10:$W$300,16,0),weapon_components!N156),2)</f>
        <v>0</v>
      </c>
    </row>
    <row r="157" spans="1:16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 ca="1">ROUND(_xlfn.IFNA(VLOOKUP(A157,'Weapon Formulas'!$E$10:$Q$300,11,0),weapon_components!D157),2)</f>
        <v>39.03</v>
      </c>
      <c r="E157" s="5">
        <f ca="1">ROUND(_xlfn.IFNA(VLOOKUP(A157,'Weapon Formulas'!$E$10:$Q$300,12,0),weapon_components!E157),2)</f>
        <v>65.06</v>
      </c>
      <c r="F157" s="5">
        <f>ROUND(_xlfn.IFNA(VLOOKUP(A157,'Weapon Formulas'!$E$10:$L$300,8,0),weapon_components!F157),2)</f>
        <v>0.01</v>
      </c>
      <c r="G157" s="5">
        <f>ROUND(_xlfn.IFNA(VLOOKUP(A157,'Weapon Formulas'!$E$10:$P$300,9,0),weapon_components!G157),2)</f>
        <v>0</v>
      </c>
      <c r="H157" s="5">
        <f ca="1">ROUND(_xlfn.IFNA(VLOOKUP(A157,'Weapon Formulas'!$E$10:$L$300,7,0),weapon_components!H157),2)</f>
        <v>-10.63</v>
      </c>
      <c r="I157">
        <v>2</v>
      </c>
      <c r="J157">
        <v>25</v>
      </c>
      <c r="K157">
        <v>30</v>
      </c>
      <c r="L157" s="5">
        <f>ROUND(_xlfn.IFNA(VLOOKUP(A157,'Weapon Formulas'!$E$10:$Z$300,15,0),weapon_components!L157),1)</f>
        <v>54</v>
      </c>
      <c r="M157" s="32">
        <f ca="1">ROUND(_xlfn.IFNA(VLOOKUP(A157,'Weapon Formulas'!$E$10:$Z$300,14,0),weapon_components!M157),2)</f>
        <v>1</v>
      </c>
      <c r="N157" s="5">
        <f>ROUND(_xlfn.IFNA(VLOOKUP(A157,'Weapon Formulas'!$E$10:$W$300,16,0),weapon_components!N157),2)</f>
        <v>0</v>
      </c>
      <c r="P157" s="33"/>
    </row>
    <row r="158" spans="1:16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 ca="1">ROUND(_xlfn.IFNA(VLOOKUP(A158,'Weapon Formulas'!$E$10:$Q$300,11,0),weapon_components!D158),2)</f>
        <v>55.37</v>
      </c>
      <c r="E158" s="5">
        <f ca="1">ROUND(_xlfn.IFNA(VLOOKUP(A158,'Weapon Formulas'!$E$10:$Q$300,12,0),weapon_components!E158),2)</f>
        <v>92.28</v>
      </c>
      <c r="F158" s="5">
        <f>ROUND(_xlfn.IFNA(VLOOKUP(A158,'Weapon Formulas'!$E$10:$L$300,8,0),weapon_components!F158),2)</f>
        <v>0.16</v>
      </c>
      <c r="G158" s="5">
        <f>ROUND(_xlfn.IFNA(VLOOKUP(A158,'Weapon Formulas'!$E$10:$P$300,9,0),weapon_components!G158),2)</f>
        <v>0</v>
      </c>
      <c r="H158" s="5">
        <f ca="1">ROUND(_xlfn.IFNA(VLOOKUP(A158,'Weapon Formulas'!$E$10:$L$300,7,0),weapon_components!H158),2)</f>
        <v>0.01</v>
      </c>
      <c r="I158">
        <v>2</v>
      </c>
      <c r="J158">
        <v>25</v>
      </c>
      <c r="K158">
        <v>30</v>
      </c>
      <c r="L158" s="5">
        <f>ROUND(_xlfn.IFNA(VLOOKUP(A158,'Weapon Formulas'!$E$10:$Z$300,15,0),weapon_components!L158),1)</f>
        <v>31.7</v>
      </c>
      <c r="M158" s="32">
        <f ca="1">ROUND(_xlfn.IFNA(VLOOKUP(A158,'Weapon Formulas'!$E$10:$Z$300,14,0),weapon_components!M158),2)</f>
        <v>1</v>
      </c>
      <c r="N158" s="5">
        <f>ROUND(_xlfn.IFNA(VLOOKUP(A158,'Weapon Formulas'!$E$10:$W$300,16,0),weapon_components!N158),2)</f>
        <v>0</v>
      </c>
    </row>
    <row r="159" spans="1:16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 ca="1">ROUND(_xlfn.IFNA(VLOOKUP(A159,'Weapon Formulas'!$E$10:$Q$300,11,0),weapon_components!D159),2)</f>
        <v>240.73</v>
      </c>
      <c r="E159" s="5">
        <f ca="1">ROUND(_xlfn.IFNA(VLOOKUP(A159,'Weapon Formulas'!$E$10:$Q$300,12,0),weapon_components!E159),2)</f>
        <v>401.22</v>
      </c>
      <c r="F159" s="5">
        <f>ROUND(_xlfn.IFNA(VLOOKUP(A159,'Weapon Formulas'!$E$10:$L$300,8,0),weapon_components!F159),2)</f>
        <v>0.16</v>
      </c>
      <c r="G159" s="5">
        <f>ROUND(_xlfn.IFNA(VLOOKUP(A159,'Weapon Formulas'!$E$10:$P$300,9,0),weapon_components!G159),2)</f>
        <v>0</v>
      </c>
      <c r="H159" s="5">
        <f ca="1">ROUND(_xlfn.IFNA(VLOOKUP(A159,'Weapon Formulas'!$E$10:$L$300,7,0),weapon_components!H159),2)</f>
        <v>0.01</v>
      </c>
      <c r="I159">
        <v>2</v>
      </c>
      <c r="J159">
        <v>25</v>
      </c>
      <c r="K159">
        <v>30</v>
      </c>
      <c r="L159" s="5">
        <f>ROUND(_xlfn.IFNA(VLOOKUP(A159,'Weapon Formulas'!$E$10:$Z$300,15,0),weapon_components!L159),1)</f>
        <v>73.400000000000006</v>
      </c>
      <c r="M159" s="32">
        <f ca="1">ROUND(_xlfn.IFNA(VLOOKUP(A159,'Weapon Formulas'!$E$10:$Z$300,14,0),weapon_components!M159),2)</f>
        <v>1</v>
      </c>
      <c r="N159" s="5">
        <f>ROUND(_xlfn.IFNA(VLOOKUP(A159,'Weapon Formulas'!$E$10:$W$300,16,0),weapon_components!N159),2)</f>
        <v>0</v>
      </c>
    </row>
    <row r="160" spans="1:16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 ca="1">ROUND(_xlfn.IFNA(VLOOKUP(A160,'Weapon Formulas'!$E$10:$Q$300,11,0),weapon_components!D160),2)</f>
        <v>18.510000000000002</v>
      </c>
      <c r="E160" s="5">
        <f ca="1">ROUND(_xlfn.IFNA(VLOOKUP(A160,'Weapon Formulas'!$E$10:$Q$300,12,0),weapon_components!E160),2)</f>
        <v>30.85</v>
      </c>
      <c r="F160" s="5">
        <f>ROUND(_xlfn.IFNA(VLOOKUP(A160,'Weapon Formulas'!$E$10:$L$300,8,0),weapon_components!F160),2)</f>
        <v>0.04</v>
      </c>
      <c r="G160" s="5">
        <f>ROUND(_xlfn.IFNA(VLOOKUP(A160,'Weapon Formulas'!$E$10:$P$300,9,0),weapon_components!G160),2)</f>
        <v>0</v>
      </c>
      <c r="H160" s="5">
        <f ca="1">ROUND(_xlfn.IFNA(VLOOKUP(A160,'Weapon Formulas'!$E$10:$L$300,7,0),weapon_components!H160),2)</f>
        <v>2.06</v>
      </c>
      <c r="I160">
        <v>2</v>
      </c>
      <c r="J160">
        <v>25</v>
      </c>
      <c r="K160">
        <v>30</v>
      </c>
      <c r="L160" s="5">
        <f>ROUND(_xlfn.IFNA(VLOOKUP(A160,'Weapon Formulas'!$E$10:$Z$300,15,0),weapon_components!L160),1)</f>
        <v>31.7</v>
      </c>
      <c r="M160" s="32">
        <f ca="1">ROUND(_xlfn.IFNA(VLOOKUP(A160,'Weapon Formulas'!$E$10:$Z$300,14,0),weapon_components!M160),2)</f>
        <v>0.88</v>
      </c>
      <c r="N160" s="5">
        <f>ROUND(_xlfn.IFNA(VLOOKUP(A160,'Weapon Formulas'!$E$10:$W$300,16,0),weapon_components!N160),2)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 ca="1">ROUND(_xlfn.IFNA(VLOOKUP(A161,'Weapon Formulas'!$E$10:$Q$300,11,0),weapon_components!D161),2)</f>
        <v>40.72</v>
      </c>
      <c r="E161" s="5">
        <f ca="1">ROUND(_xlfn.IFNA(VLOOKUP(A161,'Weapon Formulas'!$E$10:$Q$300,12,0),weapon_components!E161),2)</f>
        <v>67.87</v>
      </c>
      <c r="F161" s="5">
        <f>ROUND(_xlfn.IFNA(VLOOKUP(A161,'Weapon Formulas'!$E$10:$L$300,8,0),weapon_components!F161),2)</f>
        <v>0.04</v>
      </c>
      <c r="G161" s="5">
        <f>ROUND(_xlfn.IFNA(VLOOKUP(A161,'Weapon Formulas'!$E$10:$P$300,9,0),weapon_components!G161),2)</f>
        <v>0</v>
      </c>
      <c r="H161" s="5">
        <f ca="1">ROUND(_xlfn.IFNA(VLOOKUP(A161,'Weapon Formulas'!$E$10:$L$300,7,0),weapon_components!H161),2)</f>
        <v>3.07</v>
      </c>
      <c r="I161">
        <v>2</v>
      </c>
      <c r="J161">
        <v>25</v>
      </c>
      <c r="K161">
        <v>30</v>
      </c>
      <c r="L161" s="5">
        <f>ROUND(_xlfn.IFNA(VLOOKUP(A161,'Weapon Formulas'!$E$10:$Z$300,15,0),weapon_components!L161),1)</f>
        <v>50.4</v>
      </c>
      <c r="M161" s="32">
        <f ca="1">ROUND(_xlfn.IFNA(VLOOKUP(A161,'Weapon Formulas'!$E$10:$Z$300,14,0),weapon_components!M161),2)</f>
        <v>0.8</v>
      </c>
      <c r="N161" s="5">
        <f>ROUND(_xlfn.IFNA(VLOOKUP(A161,'Weapon Formulas'!$E$10:$W$300,16,0),weapon_components!N161),2)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M162" s="32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 ca="1">ROUND(_xlfn.IFNA(VLOOKUP(A163,'Weapon Formulas'!$E$10:$Q$300,11,0),weapon_components!D163),2)</f>
        <v>69.02</v>
      </c>
      <c r="E163" s="5">
        <f ca="1">ROUND(_xlfn.IFNA(VLOOKUP(A163,'Weapon Formulas'!$E$10:$Q$300,12,0),weapon_components!E163),2)</f>
        <v>115.03</v>
      </c>
      <c r="F163" s="5">
        <f>ROUND(_xlfn.IFNA(VLOOKUP(A163,'Weapon Formulas'!$E$10:$L$300,8,0),weapon_components!F163),2)</f>
        <v>3</v>
      </c>
      <c r="G163" s="5">
        <f>ROUND(_xlfn.IFNA(VLOOKUP(A163,'Weapon Formulas'!$E$10:$P$300,9,0),weapon_components!G163),2)</f>
        <v>0</v>
      </c>
      <c r="H163" s="5">
        <f ca="1">ROUND(_xlfn.IFNA(VLOOKUP(A163,'Weapon Formulas'!$E$10:$L$300,7,0),weapon_components!H163),2)</f>
        <v>0.78</v>
      </c>
      <c r="I163">
        <v>2</v>
      </c>
      <c r="J163">
        <v>25</v>
      </c>
      <c r="K163">
        <v>25</v>
      </c>
      <c r="L163" s="5">
        <f>ROUND(_xlfn.IFNA(VLOOKUP(A163,'Weapon Formulas'!$E$10:$Z$300,15,0),weapon_components!L163),1)</f>
        <v>71</v>
      </c>
      <c r="M163" s="32">
        <f ca="1">ROUND(_xlfn.IFNA(VLOOKUP(A163,'Weapon Formulas'!$E$10:$Z$300,14,0),weapon_components!M163),2)</f>
        <v>0.52</v>
      </c>
      <c r="N163" s="5">
        <f>ROUND(_xlfn.IFNA(VLOOKUP(A163,'Weapon Formulas'!$E$10:$W$300,16,0),weapon_components!N163),2)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 ca="1">ROUND(_xlfn.IFNA(VLOOKUP(A164,'Weapon Formulas'!$E$10:$Q$300,11,0),weapon_components!D164),2)</f>
        <v>143.52000000000001</v>
      </c>
      <c r="E164" s="5">
        <f ca="1">ROUND(_xlfn.IFNA(VLOOKUP(A164,'Weapon Formulas'!$E$10:$Q$300,12,0),weapon_components!E164),2)</f>
        <v>239.2</v>
      </c>
      <c r="F164" s="5">
        <f>ROUND(_xlfn.IFNA(VLOOKUP(A164,'Weapon Formulas'!$E$10:$L$300,8,0),weapon_components!F164),2)</f>
        <v>3</v>
      </c>
      <c r="G164" s="5">
        <f>ROUND(_xlfn.IFNA(VLOOKUP(A164,'Weapon Formulas'!$E$10:$P$300,9,0),weapon_components!G164),2)</f>
        <v>0</v>
      </c>
      <c r="H164" s="5">
        <f ca="1">ROUND(_xlfn.IFNA(VLOOKUP(A164,'Weapon Formulas'!$E$10:$L$300,7,0),weapon_components!H164),2)</f>
        <v>0.45</v>
      </c>
      <c r="I164">
        <v>2</v>
      </c>
      <c r="J164">
        <v>25</v>
      </c>
      <c r="K164">
        <v>25</v>
      </c>
      <c r="L164" s="5">
        <f>ROUND(_xlfn.IFNA(VLOOKUP(A164,'Weapon Formulas'!$E$10:$Z$300,15,0),weapon_components!L164),1)</f>
        <v>88.8</v>
      </c>
      <c r="M164" s="32">
        <f ca="1">ROUND(_xlfn.IFNA(VLOOKUP(A164,'Weapon Formulas'!$E$10:$Z$300,14,0),weapon_components!M164),2)</f>
        <v>0.5</v>
      </c>
      <c r="N164" s="5">
        <f>ROUND(_xlfn.IFNA(VLOOKUP(A164,'Weapon Formulas'!$E$10:$W$300,16,0),weapon_components!N164),2)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 ca="1">ROUND(_xlfn.IFNA(VLOOKUP(A165,'Weapon Formulas'!$E$10:$Q$300,11,0),weapon_components!D165),2)</f>
        <v>298.92</v>
      </c>
      <c r="E165" s="5">
        <f ca="1">ROUND(_xlfn.IFNA(VLOOKUP(A165,'Weapon Formulas'!$E$10:$Q$300,12,0),weapon_components!E165),2)</f>
        <v>498.21</v>
      </c>
      <c r="F165" s="5">
        <f>ROUND(_xlfn.IFNA(VLOOKUP(A165,'Weapon Formulas'!$E$10:$L$300,8,0),weapon_components!F165),2)</f>
        <v>3</v>
      </c>
      <c r="G165" s="5">
        <f>ROUND(_xlfn.IFNA(VLOOKUP(A165,'Weapon Formulas'!$E$10:$P$300,9,0),weapon_components!G165),2)</f>
        <v>0</v>
      </c>
      <c r="H165" s="5">
        <f ca="1">ROUND(_xlfn.IFNA(VLOOKUP(A165,'Weapon Formulas'!$E$10:$L$300,7,0),weapon_components!H165),2)</f>
        <v>0.1</v>
      </c>
      <c r="I165">
        <v>2</v>
      </c>
      <c r="J165">
        <v>25</v>
      </c>
      <c r="K165">
        <v>25</v>
      </c>
      <c r="L165" s="5">
        <f>ROUND(_xlfn.IFNA(VLOOKUP(A165,'Weapon Formulas'!$E$10:$Z$300,15,0),weapon_components!L165),1)</f>
        <v>106.6</v>
      </c>
      <c r="M165" s="32">
        <f ca="1">ROUND(_xlfn.IFNA(VLOOKUP(A165,'Weapon Formulas'!$E$10:$Z$300,14,0),weapon_components!M165),2)</f>
        <v>0.48</v>
      </c>
      <c r="N165" s="5">
        <f>ROUND(_xlfn.IFNA(VLOOKUP(A165,'Weapon Formulas'!$E$10:$W$300,16,0),weapon_components!N165),2)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M166" s="32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 ca="1">ROUND(_xlfn.IFNA(VLOOKUP(A167,'Weapon Formulas'!$E$10:$Q$300,11,0),weapon_components!D167),2)</f>
        <v>60.19</v>
      </c>
      <c r="E167" s="5">
        <f ca="1">ROUND(_xlfn.IFNA(VLOOKUP(A167,'Weapon Formulas'!$E$10:$Q$300,12,0),weapon_components!E167),2)</f>
        <v>100.31</v>
      </c>
      <c r="F167" s="5">
        <f>ROUND(_xlfn.IFNA(VLOOKUP(A167,'Weapon Formulas'!$E$10:$L$300,8,0),weapon_components!F167),2)</f>
        <v>0</v>
      </c>
      <c r="G167" s="5">
        <f>ROUND(_xlfn.IFNA(VLOOKUP(A167,'Weapon Formulas'!$E$10:$P$300,9,0),weapon_components!G167),2)</f>
        <v>1</v>
      </c>
      <c r="H167" s="5">
        <f ca="1">ROUND(_xlfn.IFNA(VLOOKUP(A167,'Weapon Formulas'!$E$10:$L$300,7,0),weapon_components!H167),2)</f>
        <v>-0.6</v>
      </c>
      <c r="I167">
        <v>2</v>
      </c>
      <c r="J167">
        <v>25</v>
      </c>
      <c r="K167">
        <v>40</v>
      </c>
      <c r="L167" s="5">
        <f>ROUND(_xlfn.IFNA(VLOOKUP(A167,'Weapon Formulas'!$E$10:$Z$300,15,0),weapon_components!L167),1)</f>
        <v>35.5</v>
      </c>
      <c r="M167" s="32">
        <f ca="1">ROUND(_xlfn.IFNA(VLOOKUP(A167,'Weapon Formulas'!$E$10:$Z$300,14,0),weapon_components!M167),2)</f>
        <v>1</v>
      </c>
      <c r="N167" s="5">
        <f>ROUND(_xlfn.IFNA(VLOOKUP(A167,'Weapon Formulas'!$E$10:$W$300,16,0),weapon_components!N167),2)</f>
        <v>10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 ca="1">ROUND(_xlfn.IFNA(VLOOKUP(A168,'Weapon Formulas'!$E$10:$Q$300,11,0),weapon_components!D168),2)</f>
        <v>125.39</v>
      </c>
      <c r="E168" s="5">
        <f ca="1">ROUND(_xlfn.IFNA(VLOOKUP(A168,'Weapon Formulas'!$E$10:$Q$300,12,0),weapon_components!E168),2)</f>
        <v>208.98</v>
      </c>
      <c r="F168" s="5">
        <f>ROUND(_xlfn.IFNA(VLOOKUP(A168,'Weapon Formulas'!$E$10:$L$300,8,0),weapon_components!F168),2)</f>
        <v>0</v>
      </c>
      <c r="G168" s="5">
        <f>ROUND(_xlfn.IFNA(VLOOKUP(A168,'Weapon Formulas'!$E$10:$P$300,9,0),weapon_components!G168),2)</f>
        <v>1</v>
      </c>
      <c r="H168" s="5">
        <f ca="1">ROUND(_xlfn.IFNA(VLOOKUP(A168,'Weapon Formulas'!$E$10:$L$300,7,0),weapon_components!H168),2)</f>
        <v>-0.81</v>
      </c>
      <c r="I168">
        <v>2</v>
      </c>
      <c r="J168">
        <v>25</v>
      </c>
      <c r="K168">
        <v>40</v>
      </c>
      <c r="L168" s="5">
        <f>ROUND(_xlfn.IFNA(VLOOKUP(A168,'Weapon Formulas'!$E$10:$Z$300,15,0),weapon_components!L168),1)</f>
        <v>44.4</v>
      </c>
      <c r="M168" s="32">
        <f ca="1">ROUND(_xlfn.IFNA(VLOOKUP(A168,'Weapon Formulas'!$E$10:$Z$300,14,0),weapon_components!M168),2)</f>
        <v>1</v>
      </c>
      <c r="N168" s="5">
        <f>ROUND(_xlfn.IFNA(VLOOKUP(A168,'Weapon Formulas'!$E$10:$W$300,16,0),weapon_components!N168),2)</f>
        <v>10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 ca="1">ROUND(_xlfn.IFNA(VLOOKUP(A169,'Weapon Formulas'!$E$10:$Q$300,11,0),weapon_components!D169),2)</f>
        <v>260.81</v>
      </c>
      <c r="E169" s="5">
        <f ca="1">ROUND(_xlfn.IFNA(VLOOKUP(A169,'Weapon Formulas'!$E$10:$Q$300,12,0),weapon_components!E169),2)</f>
        <v>434.69</v>
      </c>
      <c r="F169" s="5">
        <f>ROUND(_xlfn.IFNA(VLOOKUP(A169,'Weapon Formulas'!$E$10:$L$300,8,0),weapon_components!F169),2)</f>
        <v>0</v>
      </c>
      <c r="G169" s="5">
        <f>ROUND(_xlfn.IFNA(VLOOKUP(A169,'Weapon Formulas'!$E$10:$P$300,9,0),weapon_components!G169),2)</f>
        <v>1</v>
      </c>
      <c r="H169" s="5">
        <f ca="1">ROUND(_xlfn.IFNA(VLOOKUP(A169,'Weapon Formulas'!$E$10:$L$300,7,0),weapon_components!H169),2)</f>
        <v>-1.01</v>
      </c>
      <c r="I169">
        <v>2</v>
      </c>
      <c r="J169">
        <v>25</v>
      </c>
      <c r="K169">
        <v>40</v>
      </c>
      <c r="L169" s="5">
        <f>ROUND(_xlfn.IFNA(VLOOKUP(A169,'Weapon Formulas'!$E$10:$Z$300,15,0),weapon_components!L169),1)</f>
        <v>53.3</v>
      </c>
      <c r="M169" s="32">
        <f ca="1">ROUND(_xlfn.IFNA(VLOOKUP(A169,'Weapon Formulas'!$E$10:$Z$300,14,0),weapon_components!M169),2)</f>
        <v>1</v>
      </c>
      <c r="N169" s="5">
        <f>ROUND(_xlfn.IFNA(VLOOKUP(A169,'Weapon Formulas'!$E$10:$W$300,16,0),weapon_components!N169),2)</f>
        <v>10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 ca="1">ROUND(_xlfn.IFNA(VLOOKUP(A170,'Weapon Formulas'!$E$10:$Q$300,11,0),weapon_components!D170),2)</f>
        <v>260.81</v>
      </c>
      <c r="E170" s="5">
        <f ca="1">ROUND(_xlfn.IFNA(VLOOKUP(A170,'Weapon Formulas'!$E$10:$Q$300,12,0),weapon_components!E170),2)</f>
        <v>434.69</v>
      </c>
      <c r="F170" s="5">
        <f>ROUND(_xlfn.IFNA(VLOOKUP(A170,'Weapon Formulas'!$E$10:$L$300,8,0),weapon_components!F170),2)</f>
        <v>0</v>
      </c>
      <c r="G170" s="5">
        <f>ROUND(_xlfn.IFNA(VLOOKUP(A170,'Weapon Formulas'!$E$10:$P$300,9,0),weapon_components!G170),2)</f>
        <v>1</v>
      </c>
      <c r="H170" s="5">
        <f ca="1">ROUND(_xlfn.IFNA(VLOOKUP(A170,'Weapon Formulas'!$E$10:$L$300,7,0),weapon_components!H170),2)</f>
        <v>-1.01</v>
      </c>
      <c r="I170">
        <v>2</v>
      </c>
      <c r="J170">
        <v>25</v>
      </c>
      <c r="K170">
        <v>40</v>
      </c>
      <c r="L170" s="5">
        <f>ROUND(_xlfn.IFNA(VLOOKUP(A170,'Weapon Formulas'!$E$10:$Z$300,15,0),weapon_components!L170),1)</f>
        <v>53.3</v>
      </c>
      <c r="M170" s="32">
        <f ca="1">ROUND(_xlfn.IFNA(VLOOKUP(A170,'Weapon Formulas'!$E$10:$Z$300,14,0),weapon_components!M170),2)</f>
        <v>1</v>
      </c>
      <c r="N170" s="5">
        <f>ROUND(_xlfn.IFNA(VLOOKUP(A170,'Weapon Formulas'!$E$10:$W$300,16,0),weapon_components!N170),2)</f>
        <v>10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 ca="1">ROUND(_xlfn.IFNA(VLOOKUP(A171,'Weapon Formulas'!$E$10:$Q$300,11,0),weapon_components!D171),2)</f>
        <v>22.17</v>
      </c>
      <c r="E171" s="5">
        <f ca="1">ROUND(_xlfn.IFNA(VLOOKUP(A171,'Weapon Formulas'!$E$10:$Q$300,12,0),weapon_components!E171),2)</f>
        <v>36.950000000000003</v>
      </c>
      <c r="F171" s="5">
        <f>ROUND(_xlfn.IFNA(VLOOKUP(A171,'Weapon Formulas'!$E$10:$L$300,8,0),weapon_components!F171),2)</f>
        <v>0.08</v>
      </c>
      <c r="G171" s="5">
        <f>ROUND(_xlfn.IFNA(VLOOKUP(A171,'Weapon Formulas'!$E$10:$P$300,9,0),weapon_components!G171),2)</f>
        <v>0</v>
      </c>
      <c r="H171" s="5">
        <f ca="1">ROUND(_xlfn.IFNA(VLOOKUP(A171,'Weapon Formulas'!$E$10:$L$300,7,0),weapon_components!H171),2)</f>
        <v>5.88</v>
      </c>
      <c r="I171">
        <v>2</v>
      </c>
      <c r="J171">
        <v>25</v>
      </c>
      <c r="K171">
        <v>30</v>
      </c>
      <c r="L171" s="5">
        <f>ROUND(_xlfn.IFNA(VLOOKUP(A171,'Weapon Formulas'!$E$10:$Z$300,15,0),weapon_components!L171),1)</f>
        <v>35.5</v>
      </c>
      <c r="M171" s="32">
        <f ca="1">ROUND(_xlfn.IFNA(VLOOKUP(A171,'Weapon Formulas'!$E$10:$Z$300,14,0),weapon_components!M171),2)</f>
        <v>0.88</v>
      </c>
      <c r="N171" s="5">
        <f>ROUND(_xlfn.IFNA(VLOOKUP(A171,'Weapon Formulas'!$E$10:$W$300,16,0),weapon_components!N171),2)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 ca="1">ROUND(_xlfn.IFNA(VLOOKUP(A172,'Weapon Formulas'!$E$10:$Q$300,11,0),weapon_components!D172),2)</f>
        <v>40.630000000000003</v>
      </c>
      <c r="E172" s="5">
        <f ca="1">ROUND(_xlfn.IFNA(VLOOKUP(A172,'Weapon Formulas'!$E$10:$Q$300,12,0),weapon_components!E172),2)</f>
        <v>67.72</v>
      </c>
      <c r="F172" s="5">
        <f>ROUND(_xlfn.IFNA(VLOOKUP(A172,'Weapon Formulas'!$E$10:$L$300,8,0),weapon_components!F172),2)</f>
        <v>0.08</v>
      </c>
      <c r="G172" s="5">
        <f>ROUND(_xlfn.IFNA(VLOOKUP(A172,'Weapon Formulas'!$E$10:$P$300,9,0),weapon_components!G172),2)</f>
        <v>0</v>
      </c>
      <c r="H172" s="5">
        <f ca="1">ROUND(_xlfn.IFNA(VLOOKUP(A172,'Weapon Formulas'!$E$10:$L$300,7,0),weapon_components!H172),2)</f>
        <v>8.7100000000000009</v>
      </c>
      <c r="I172">
        <v>2</v>
      </c>
      <c r="J172">
        <v>25</v>
      </c>
      <c r="K172">
        <v>30</v>
      </c>
      <c r="L172" s="5">
        <f>ROUND(_xlfn.IFNA(VLOOKUP(A172,'Weapon Formulas'!$E$10:$Z$300,15,0),weapon_components!L172),1)</f>
        <v>44.4</v>
      </c>
      <c r="M172" s="32">
        <f ca="1">ROUND(_xlfn.IFNA(VLOOKUP(A172,'Weapon Formulas'!$E$10:$Z$300,14,0),weapon_components!M172),2)</f>
        <v>0.8</v>
      </c>
      <c r="N172" s="5">
        <f>ROUND(_xlfn.IFNA(VLOOKUP(A172,'Weapon Formulas'!$E$10:$W$300,16,0),weapon_components!N172),2)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M173" s="32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 ca="1">ROUND(_xlfn.IFNA(VLOOKUP(A174,'Weapon Formulas'!$E$10:$Q$300,11,0),weapon_components!D174),2)</f>
        <v>588.71</v>
      </c>
      <c r="E174" s="5">
        <f ca="1">ROUND(_xlfn.IFNA(VLOOKUP(A174,'Weapon Formulas'!$E$10:$Q$300,12,0),weapon_components!E174),2)</f>
        <v>981.18</v>
      </c>
      <c r="F174" s="5">
        <f>ROUND(_xlfn.IFNA(VLOOKUP(A174,'Weapon Formulas'!$E$10:$L$300,8,0),weapon_components!F174),2)</f>
        <v>0.08</v>
      </c>
      <c r="G174" s="5">
        <f>ROUND(_xlfn.IFNA(VLOOKUP(A174,'Weapon Formulas'!$E$10:$P$300,9,0),weapon_components!G174),2)</f>
        <v>0</v>
      </c>
      <c r="H174" s="5">
        <f ca="1">ROUND(_xlfn.IFNA(VLOOKUP(A174,'Weapon Formulas'!$E$10:$L$300,7,0),weapon_components!H174),2)</f>
        <v>3.13</v>
      </c>
      <c r="I174">
        <v>2</v>
      </c>
      <c r="J174">
        <v>25</v>
      </c>
      <c r="K174">
        <v>100</v>
      </c>
      <c r="L174" s="5">
        <f>ROUND(_xlfn.IFNA(VLOOKUP(A174,'Weapon Formulas'!$E$10:$Z$300,15,0),weapon_components!L174),1)</f>
        <v>79.900000000000006</v>
      </c>
      <c r="M174" s="32">
        <f ca="1">ROUND(_xlfn.IFNA(VLOOKUP(A174,'Weapon Formulas'!$E$10:$Z$300,14,0),weapon_components!M174),2)</f>
        <v>0.72</v>
      </c>
      <c r="N174" s="5">
        <f>ROUND(_xlfn.IFNA(VLOOKUP(A174,'Weapon Formulas'!$E$10:$W$300,16,0),weapon_components!N174),2)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M175" s="32"/>
      <c r="N175" s="5"/>
    </row>
    <row r="176" spans="1:14" x14ac:dyDescent="0.25">
      <c r="A176" s="15" t="s">
        <v>212</v>
      </c>
      <c r="B176">
        <v>5</v>
      </c>
      <c r="C176" s="5">
        <v>-6.66</v>
      </c>
      <c r="D176" s="5">
        <f>ROUND(_xlfn.IFNA(VLOOKUP(A176,'Weapon Formulas'!$E$10:$Q$300,11,0),weapon_components!D176),2)</f>
        <v>2</v>
      </c>
      <c r="E176" s="5">
        <f>ROUND(_xlfn.IFNA(VLOOKUP(A176,'Weapon Formulas'!$E$10:$Q$300,12,0),weapon_components!E176),2)</f>
        <v>3</v>
      </c>
      <c r="F176" s="5">
        <f>ROUND(_xlfn.IFNA(VLOOKUP(A176,'Weapon Formulas'!$E$10:$L$300,8,0),weapon_components!F176),2)</f>
        <v>1</v>
      </c>
      <c r="G176" s="5">
        <f>ROUND(_xlfn.IFNA(VLOOKUP(A176,'Weapon Formulas'!$E$10:$P$300,9,0),weapon_components!G176),2)</f>
        <v>0</v>
      </c>
      <c r="H176" s="5">
        <f>ROUND(_xlfn.IFNA(VLOOKUP(A176,'Weapon Formulas'!$E$10:$L$300,7,0),weapon_components!H176),2)</f>
        <v>0</v>
      </c>
      <c r="I176">
        <v>1</v>
      </c>
      <c r="J176">
        <v>1</v>
      </c>
      <c r="K176">
        <v>2</v>
      </c>
      <c r="L176" s="5">
        <f>ROUND(_xlfn.IFNA(VLOOKUP(A176,'Weapon Formulas'!$E$10:$Z$300,15,0),weapon_components!L176),0)</f>
        <v>8</v>
      </c>
      <c r="M176" s="32">
        <f>ROUND(_xlfn.IFNA(VLOOKUP(A176,'Weapon Formulas'!$E$10:$Z$300,14,0),weapon_components!M176),2)</f>
        <v>0.4</v>
      </c>
      <c r="N176" s="5">
        <f>ROUND(_xlfn.IFNA(VLOOKUP(A176,'Weapon Formulas'!$E$10:$W$300,16,0),weapon_components!N176),2)</f>
        <v>0</v>
      </c>
    </row>
    <row r="177" spans="1:14" x14ac:dyDescent="0.25">
      <c r="A177" s="15" t="s">
        <v>213</v>
      </c>
      <c r="B177">
        <v>7.5</v>
      </c>
      <c r="C177" s="5">
        <v>-26.66</v>
      </c>
      <c r="D177" s="5">
        <f>ROUND(_xlfn.IFNA(VLOOKUP(A177,'Weapon Formulas'!$E$10:$Q$300,11,0),weapon_components!D177),2)</f>
        <v>3</v>
      </c>
      <c r="E177" s="5">
        <f>ROUND(_xlfn.IFNA(VLOOKUP(A177,'Weapon Formulas'!$E$10:$Q$300,12,0),weapon_components!E177),2)</f>
        <v>4</v>
      </c>
      <c r="F177" s="5">
        <f>ROUND(_xlfn.IFNA(VLOOKUP(A177,'Weapon Formulas'!$E$10:$L$300,8,0),weapon_components!F177),2)</f>
        <v>1</v>
      </c>
      <c r="G177" s="5">
        <f>ROUND(_xlfn.IFNA(VLOOKUP(A177,'Weapon Formulas'!$E$10:$P$300,9,0),weapon_components!G177),2)</f>
        <v>0</v>
      </c>
      <c r="H177" s="5">
        <f>ROUND(_xlfn.IFNA(VLOOKUP(A177,'Weapon Formulas'!$E$10:$L$300,7,0),weapon_components!H177),2)</f>
        <v>0</v>
      </c>
      <c r="I177">
        <v>1</v>
      </c>
      <c r="J177">
        <v>1</v>
      </c>
      <c r="K177">
        <v>2</v>
      </c>
      <c r="L177" s="5">
        <f>ROUND(_xlfn.IFNA(VLOOKUP(A177,'Weapon Formulas'!$E$10:$Z$300,15,0),weapon_components!L177),0)</f>
        <v>8</v>
      </c>
      <c r="M177" s="32">
        <f>ROUND(_xlfn.IFNA(VLOOKUP(A177,'Weapon Formulas'!$E$10:$Z$300,14,0),weapon_components!M177),2)</f>
        <v>0.4</v>
      </c>
      <c r="N177" s="5">
        <f>ROUND(_xlfn.IFNA(VLOOKUP(A177,'Weapon Formulas'!$E$10:$W$300,16,0),weapon_components!N177),2)</f>
        <v>0</v>
      </c>
    </row>
    <row r="178" spans="1:14" x14ac:dyDescent="0.25">
      <c r="A178" s="15" t="s">
        <v>214</v>
      </c>
      <c r="B178">
        <v>10</v>
      </c>
      <c r="C178" s="5">
        <v>-106.66</v>
      </c>
      <c r="D178" s="5">
        <f>ROUND(_xlfn.IFNA(VLOOKUP(A178,'Weapon Formulas'!$E$10:$Q$300,11,0),weapon_components!D178),2)</f>
        <v>4</v>
      </c>
      <c r="E178" s="5">
        <f>ROUND(_xlfn.IFNA(VLOOKUP(A178,'Weapon Formulas'!$E$10:$Q$300,12,0),weapon_components!E178),2)</f>
        <v>5</v>
      </c>
      <c r="F178" s="5">
        <f>ROUND(_xlfn.IFNA(VLOOKUP(A178,'Weapon Formulas'!$E$10:$L$300,8,0),weapon_components!F178),2)</f>
        <v>1</v>
      </c>
      <c r="G178" s="5">
        <f>ROUND(_xlfn.IFNA(VLOOKUP(A178,'Weapon Formulas'!$E$10:$P$300,9,0),weapon_components!G178),2)</f>
        <v>0</v>
      </c>
      <c r="H178" s="5">
        <f>ROUND(_xlfn.IFNA(VLOOKUP(A178,'Weapon Formulas'!$E$10:$L$300,7,0),weapon_components!H178),2)</f>
        <v>0</v>
      </c>
      <c r="I178">
        <v>1</v>
      </c>
      <c r="J178">
        <v>1</v>
      </c>
      <c r="K178">
        <v>2</v>
      </c>
      <c r="L178" s="5">
        <f>ROUND(_xlfn.IFNA(VLOOKUP(A178,'Weapon Formulas'!$E$10:$Z$300,15,0),weapon_components!L178),0)</f>
        <v>8</v>
      </c>
      <c r="M178" s="32">
        <f>ROUND(_xlfn.IFNA(VLOOKUP(A178,'Weapon Formulas'!$E$10:$Z$300,14,0),weapon_components!M178),2)</f>
        <v>0.4</v>
      </c>
      <c r="N178" s="5">
        <f>ROUND(_xlfn.IFNA(VLOOKUP(A178,'Weapon Formulas'!$E$10:$W$300,16,0),weapon_components!N178),2)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weapon_components</vt:lpstr>
      <vt:lpstr>Weapon Formulas</vt:lpstr>
      <vt:lpstr>Sheet2</vt:lpstr>
      <vt:lpstr>Ship Design Balancing</vt:lpstr>
      <vt:lpstr>Sheet1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2016-05-24T16:55:07Z</dcterms:modified>
</cp:coreProperties>
</file>