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2"/>
  </bookViews>
  <sheets>
    <sheet name="weapon_components" sheetId="4" r:id="rId1"/>
    <sheet name="Weapon Formulas" sheetId="2" r:id="rId2"/>
    <sheet name="Ship Design Balancing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B14" i="5" l="1"/>
  <c r="E14" i="5"/>
  <c r="L9" i="3" l="1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4" i="3"/>
  <c r="L25" i="3"/>
  <c r="L26" i="3"/>
  <c r="L28" i="3"/>
  <c r="L29" i="3"/>
  <c r="L31" i="3"/>
  <c r="L32" i="3"/>
  <c r="L33" i="3"/>
  <c r="L34" i="3"/>
  <c r="L35" i="3"/>
  <c r="L36" i="3"/>
  <c r="L37" i="3"/>
  <c r="L38" i="3"/>
  <c r="L39" i="3"/>
  <c r="L41" i="3"/>
  <c r="L42" i="3"/>
  <c r="L44" i="3"/>
  <c r="L45" i="3"/>
  <c r="L46" i="3"/>
  <c r="L47" i="3"/>
  <c r="L48" i="3"/>
  <c r="L49" i="3"/>
  <c r="L50" i="3"/>
  <c r="L51" i="3"/>
  <c r="L52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7" i="3"/>
  <c r="L78" i="3"/>
  <c r="L80" i="3"/>
  <c r="L81" i="3"/>
  <c r="L82" i="3"/>
  <c r="L83" i="3"/>
  <c r="L84" i="3"/>
  <c r="L85" i="3"/>
  <c r="L86" i="3"/>
  <c r="L87" i="3"/>
  <c r="L88" i="3"/>
  <c r="L90" i="3"/>
  <c r="L91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9" i="3"/>
  <c r="L110" i="3"/>
  <c r="L111" i="3"/>
  <c r="L113" i="3"/>
  <c r="L114" i="3"/>
  <c r="L115" i="3"/>
  <c r="L116" i="3"/>
  <c r="L117" i="3"/>
  <c r="L118" i="3"/>
  <c r="L119" i="3"/>
  <c r="L120" i="3"/>
  <c r="L121" i="3"/>
  <c r="L123" i="3"/>
  <c r="L124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L8" i="3"/>
  <c r="L176" i="3"/>
  <c r="L177" i="3"/>
  <c r="L178" i="3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3" i="5" l="1"/>
  <c r="O8" i="5" l="1"/>
  <c r="B16" i="5"/>
  <c r="C16" i="5"/>
  <c r="D16" i="5"/>
  <c r="E16" i="5"/>
  <c r="D6" i="5"/>
  <c r="E6" i="5"/>
  <c r="C6" i="5"/>
  <c r="N5" i="5"/>
  <c r="B8" i="5"/>
  <c r="P9" i="5"/>
  <c r="C14" i="5"/>
  <c r="D14" i="5"/>
  <c r="E12" i="5"/>
  <c r="E13" i="5" s="1"/>
  <c r="B11" i="5"/>
  <c r="D12" i="5"/>
  <c r="D13" i="5" s="1"/>
  <c r="C12" i="5"/>
  <c r="C13" i="5" s="1"/>
  <c r="J11" i="5"/>
  <c r="J12" i="5" s="1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K12" i="5"/>
  <c r="L12" i="5"/>
  <c r="M12" i="5"/>
  <c r="C8" i="5"/>
  <c r="D8" i="5"/>
  <c r="E8" i="5"/>
  <c r="S3" i="5"/>
  <c r="C5" i="5"/>
  <c r="D5" i="5"/>
  <c r="E5" i="5"/>
  <c r="B5" i="5"/>
  <c r="E9" i="5" l="1"/>
  <c r="E15" i="5" s="1"/>
  <c r="D9" i="5"/>
  <c r="D15" i="5" s="1"/>
  <c r="C9" i="5"/>
  <c r="C15" i="5" s="1"/>
  <c r="B9" i="5"/>
  <c r="B15" i="5" s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C176" i="3"/>
  <c r="C177" i="3"/>
  <c r="C178" i="3"/>
  <c r="U44" i="2"/>
  <c r="C45" i="3" s="1"/>
  <c r="U45" i="2"/>
  <c r="C46" i="3" s="1"/>
  <c r="U46" i="2"/>
  <c r="C47" i="3" s="1"/>
  <c r="U47" i="2"/>
  <c r="C48" i="3" s="1"/>
  <c r="U48" i="2"/>
  <c r="C49" i="3" s="1"/>
  <c r="U49" i="2"/>
  <c r="C50" i="3" s="1"/>
  <c r="U50" i="2"/>
  <c r="C51" i="3" s="1"/>
  <c r="U51" i="2"/>
  <c r="C52" i="3" s="1"/>
  <c r="U43" i="2"/>
  <c r="C44" i="3" s="1"/>
  <c r="U12" i="2"/>
  <c r="C9" i="3" s="1"/>
  <c r="U13" i="2"/>
  <c r="C10" i="3" s="1"/>
  <c r="U14" i="2"/>
  <c r="C11" i="3" s="1"/>
  <c r="U15" i="2"/>
  <c r="C12" i="3" s="1"/>
  <c r="U16" i="2"/>
  <c r="C13" i="3" s="1"/>
  <c r="U17" i="2"/>
  <c r="C14" i="3" s="1"/>
  <c r="U18" i="2"/>
  <c r="C15" i="3" s="1"/>
  <c r="U19" i="2"/>
  <c r="C16" i="3" s="1"/>
  <c r="U20" i="2"/>
  <c r="C17" i="3" s="1"/>
  <c r="U21" i="2"/>
  <c r="C18" i="3" s="1"/>
  <c r="U22" i="2"/>
  <c r="C19" i="3" s="1"/>
  <c r="U23" i="2"/>
  <c r="C20" i="3" s="1"/>
  <c r="U24" i="2"/>
  <c r="C21" i="3" s="1"/>
  <c r="U25" i="2"/>
  <c r="C22" i="3" s="1"/>
  <c r="U27" i="2"/>
  <c r="C28" i="3" s="1"/>
  <c r="U28" i="2"/>
  <c r="C29" i="3" s="1"/>
  <c r="U30" i="2"/>
  <c r="C31" i="3" s="1"/>
  <c r="U31" i="2"/>
  <c r="C32" i="3" s="1"/>
  <c r="U32" i="2"/>
  <c r="C33" i="3" s="1"/>
  <c r="U33" i="2"/>
  <c r="C34" i="3" s="1"/>
  <c r="U34" i="2"/>
  <c r="C35" i="3" s="1"/>
  <c r="U35" i="2"/>
  <c r="C36" i="3" s="1"/>
  <c r="U36" i="2"/>
  <c r="C37" i="3" s="1"/>
  <c r="U37" i="2"/>
  <c r="C38" i="3" s="1"/>
  <c r="U38" i="2"/>
  <c r="C39" i="3" s="1"/>
  <c r="U40" i="2"/>
  <c r="C41" i="3" s="1"/>
  <c r="U41" i="2"/>
  <c r="C42" i="3" s="1"/>
  <c r="U53" i="2"/>
  <c r="C54" i="3" s="1"/>
  <c r="U54" i="2"/>
  <c r="C55" i="3" s="1"/>
  <c r="U56" i="2"/>
  <c r="C57" i="3" s="1"/>
  <c r="U57" i="2"/>
  <c r="C58" i="3" s="1"/>
  <c r="U58" i="2"/>
  <c r="C59" i="3" s="1"/>
  <c r="U59" i="2"/>
  <c r="C60" i="3" s="1"/>
  <c r="U60" i="2"/>
  <c r="C61" i="3" s="1"/>
  <c r="U61" i="2"/>
  <c r="C62" i="3" s="1"/>
  <c r="U62" i="2"/>
  <c r="C63" i="3" s="1"/>
  <c r="U63" i="2"/>
  <c r="C64" i="3" s="1"/>
  <c r="U64" i="2"/>
  <c r="C65" i="3" s="1"/>
  <c r="U65" i="2"/>
  <c r="C66" i="3" s="1"/>
  <c r="U66" i="2"/>
  <c r="C67" i="3" s="1"/>
  <c r="U67" i="2"/>
  <c r="C68" i="3" s="1"/>
  <c r="U68" i="2"/>
  <c r="C69" i="3" s="1"/>
  <c r="U69" i="2"/>
  <c r="C70" i="3" s="1"/>
  <c r="U70" i="2"/>
  <c r="C71" i="3" s="1"/>
  <c r="U72" i="2"/>
  <c r="C77" i="3" s="1"/>
  <c r="U73" i="2"/>
  <c r="C78" i="3" s="1"/>
  <c r="U75" i="2"/>
  <c r="C80" i="3" s="1"/>
  <c r="U76" i="2"/>
  <c r="C81" i="3" s="1"/>
  <c r="U77" i="2"/>
  <c r="C82" i="3" s="1"/>
  <c r="U78" i="2"/>
  <c r="C83" i="3" s="1"/>
  <c r="U79" i="2"/>
  <c r="C84" i="3" s="1"/>
  <c r="U80" i="2"/>
  <c r="C85" i="3" s="1"/>
  <c r="U81" i="2"/>
  <c r="C86" i="3" s="1"/>
  <c r="U82" i="2"/>
  <c r="C87" i="3" s="1"/>
  <c r="U83" i="2"/>
  <c r="C88" i="3" s="1"/>
  <c r="U85" i="2"/>
  <c r="C90" i="3" s="1"/>
  <c r="U86" i="2"/>
  <c r="C91" i="3" s="1"/>
  <c r="U88" i="2"/>
  <c r="C93" i="3" s="1"/>
  <c r="U89" i="2"/>
  <c r="C94" i="3" s="1"/>
  <c r="U90" i="2"/>
  <c r="C95" i="3" s="1"/>
  <c r="U91" i="2"/>
  <c r="C96" i="3" s="1"/>
  <c r="U92" i="2"/>
  <c r="C97" i="3" s="1"/>
  <c r="U93" i="2"/>
  <c r="C98" i="3" s="1"/>
  <c r="U94" i="2"/>
  <c r="C99" i="3" s="1"/>
  <c r="U95" i="2"/>
  <c r="C100" i="3" s="1"/>
  <c r="U96" i="2"/>
  <c r="C101" i="3" s="1"/>
  <c r="U97" i="2"/>
  <c r="C102" i="3" s="1"/>
  <c r="U98" i="2"/>
  <c r="C103" i="3" s="1"/>
  <c r="U99" i="2"/>
  <c r="C104" i="3" s="1"/>
  <c r="U100" i="2"/>
  <c r="C105" i="3" s="1"/>
  <c r="U101" i="2"/>
  <c r="C106" i="3" s="1"/>
  <c r="U102" i="2"/>
  <c r="C107" i="3" s="1"/>
  <c r="U104" i="2"/>
  <c r="C113" i="3" s="1"/>
  <c r="U105" i="2"/>
  <c r="C114" i="3" s="1"/>
  <c r="U106" i="2"/>
  <c r="C115" i="3" s="1"/>
  <c r="U107" i="2"/>
  <c r="C116" i="3" s="1"/>
  <c r="U108" i="2"/>
  <c r="C117" i="3" s="1"/>
  <c r="U109" i="2"/>
  <c r="C118" i="3" s="1"/>
  <c r="U110" i="2"/>
  <c r="C119" i="3" s="1"/>
  <c r="U111" i="2"/>
  <c r="C120" i="3" s="1"/>
  <c r="U112" i="2"/>
  <c r="C121" i="3" s="1"/>
  <c r="U114" i="2"/>
  <c r="C123" i="3" s="1"/>
  <c r="U115" i="2"/>
  <c r="C124" i="3" s="1"/>
  <c r="U117" i="2"/>
  <c r="U118" i="2"/>
  <c r="U119" i="2"/>
  <c r="U11" i="2"/>
  <c r="C8" i="3" s="1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D176" i="3" l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A118" i="2"/>
  <c r="A119" i="2"/>
  <c r="R43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I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O12" i="2" s="1"/>
  <c r="D9" i="3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G91" i="2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P19" i="2" s="1"/>
  <c r="E16" i="3" s="1"/>
  <c r="A15" i="2"/>
  <c r="F15" i="2" s="1"/>
  <c r="H15" i="2" s="1"/>
  <c r="G15" i="2" s="1"/>
  <c r="A41" i="2"/>
  <c r="F41" i="2" s="1"/>
  <c r="H41" i="2" s="1"/>
  <c r="A73" i="2"/>
  <c r="G99" i="2"/>
  <c r="I91" i="2"/>
  <c r="H104" i="2"/>
  <c r="G104" i="2" s="1"/>
  <c r="K119" i="2"/>
  <c r="A83" i="2"/>
  <c r="P119" i="2"/>
  <c r="I75" i="2"/>
  <c r="J99" i="2"/>
  <c r="I98" i="2"/>
  <c r="J95" i="2"/>
  <c r="J91" i="2"/>
  <c r="H117" i="2"/>
  <c r="G117" i="2" s="1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A70" i="2"/>
  <c r="F70" i="2" s="1"/>
  <c r="A49" i="2"/>
  <c r="F49" i="2" s="1"/>
  <c r="I49" i="2" s="1"/>
  <c r="A45" i="2"/>
  <c r="F45" i="2" s="1"/>
  <c r="I45" i="2" s="1"/>
  <c r="O119" i="2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O117" i="2"/>
  <c r="P117" i="2"/>
  <c r="J117" i="2"/>
  <c r="I117" i="2"/>
  <c r="K117" i="2" s="1"/>
  <c r="H68" i="2"/>
  <c r="I68" i="2"/>
  <c r="I64" i="2"/>
  <c r="H60" i="2"/>
  <c r="G60" i="2" s="1"/>
  <c r="K60" i="2" s="1"/>
  <c r="H61" i="3" s="1"/>
  <c r="I60" i="2"/>
  <c r="N119" i="2"/>
  <c r="J69" i="2"/>
  <c r="H59" i="2"/>
  <c r="G59" i="2" s="1"/>
  <c r="I59" i="2"/>
  <c r="H70" i="2"/>
  <c r="I70" i="2"/>
  <c r="J70" i="2"/>
  <c r="I66" i="2"/>
  <c r="J66" i="2"/>
  <c r="H66" i="2"/>
  <c r="G66" i="2" s="1"/>
  <c r="K66" i="2" s="1"/>
  <c r="H67" i="3" s="1"/>
  <c r="I62" i="2"/>
  <c r="H62" i="2"/>
  <c r="J62" i="2"/>
  <c r="I58" i="2"/>
  <c r="J58" i="2"/>
  <c r="H58" i="2"/>
  <c r="H63" i="2"/>
  <c r="G63" i="2" s="1"/>
  <c r="K63" i="2" s="1"/>
  <c r="H64" i="3" s="1"/>
  <c r="I63" i="2"/>
  <c r="H57" i="2"/>
  <c r="H67" i="2"/>
  <c r="I67" i="2"/>
  <c r="J61" i="2"/>
  <c r="H65" i="2"/>
  <c r="G65" i="2" s="1"/>
  <c r="K65" i="2" s="1"/>
  <c r="H66" i="3" s="1"/>
  <c r="J68" i="2"/>
  <c r="J60" i="2"/>
  <c r="J67" i="2"/>
  <c r="J63" i="2"/>
  <c r="J59" i="2"/>
  <c r="I11" i="2"/>
  <c r="G114" i="2"/>
  <c r="O114" i="2" s="1"/>
  <c r="D123" i="3" s="1"/>
  <c r="J56" i="2"/>
  <c r="L24" i="2"/>
  <c r="F21" i="3" s="1"/>
  <c r="L23" i="2"/>
  <c r="F20" i="3" s="1"/>
  <c r="O16" i="2"/>
  <c r="D13" i="3" s="1"/>
  <c r="P93" i="2"/>
  <c r="E98" i="3" s="1"/>
  <c r="O93" i="2"/>
  <c r="D98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H18" i="2"/>
  <c r="G18" i="2" s="1"/>
  <c r="H51" i="2"/>
  <c r="H49" i="2"/>
  <c r="I47" i="2"/>
  <c r="J45" i="2"/>
  <c r="I53" i="2"/>
  <c r="J53" i="2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J17" i="2"/>
  <c r="J15" i="2"/>
  <c r="F24" i="2" s="1"/>
  <c r="H24" i="2" s="1"/>
  <c r="G24" i="2" s="1"/>
  <c r="O24" i="2" s="1"/>
  <c r="D21" i="3" s="1"/>
  <c r="J3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15" i="2"/>
  <c r="D12" i="3" s="1"/>
  <c r="P15" i="2"/>
  <c r="E12" i="3" s="1"/>
  <c r="G67" i="2"/>
  <c r="G57" i="2"/>
  <c r="G58" i="2"/>
  <c r="G76" i="2"/>
  <c r="G77" i="2"/>
  <c r="K106" i="2"/>
  <c r="H115" i="3" s="1"/>
  <c r="G44" i="2"/>
  <c r="O44" i="2" s="1"/>
  <c r="D45" i="3" s="1"/>
  <c r="G62" i="2"/>
  <c r="I54" i="2"/>
  <c r="J54" i="2"/>
  <c r="J72" i="2"/>
  <c r="J41" i="2"/>
  <c r="I41" i="2"/>
  <c r="H61" i="2" l="1"/>
  <c r="G61" i="2" s="1"/>
  <c r="K61" i="2" s="1"/>
  <c r="H62" i="3" s="1"/>
  <c r="H69" i="2"/>
  <c r="J65" i="2"/>
  <c r="J57" i="2"/>
  <c r="H64" i="2"/>
  <c r="G64" i="2" s="1"/>
  <c r="K64" i="2" s="1"/>
  <c r="H65" i="3" s="1"/>
  <c r="K58" i="2"/>
  <c r="H59" i="3" s="1"/>
  <c r="I56" i="2"/>
  <c r="K56" i="2" s="1"/>
  <c r="H57" i="3" s="1"/>
  <c r="H40" i="2"/>
  <c r="H23" i="2"/>
  <c r="G23" i="2" s="1"/>
  <c r="K23" i="2" s="1"/>
  <c r="H20" i="3" s="1"/>
  <c r="I14" i="2"/>
  <c r="K17" i="2"/>
  <c r="H14" i="3" s="1"/>
  <c r="O19" i="2"/>
  <c r="D16" i="3" s="1"/>
  <c r="I19" i="2"/>
  <c r="K19" i="2" s="1"/>
  <c r="H16" i="3" s="1"/>
  <c r="P12" i="2"/>
  <c r="E9" i="3" s="1"/>
  <c r="I12" i="2"/>
  <c r="K12" i="2" s="1"/>
  <c r="H9" i="3" s="1"/>
  <c r="J19" i="2"/>
  <c r="J12" i="2"/>
  <c r="F21" i="2" s="1"/>
  <c r="P95" i="2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95" i="2"/>
  <c r="P13" i="2"/>
  <c r="E10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D8" i="3" s="1"/>
  <c r="P11" i="2"/>
  <c r="E8" i="3" s="1"/>
  <c r="K100" i="2"/>
  <c r="H105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46" i="2"/>
  <c r="G33" i="2"/>
  <c r="G47" i="2"/>
  <c r="G78" i="2"/>
  <c r="G48" i="2"/>
  <c r="G69" i="2"/>
  <c r="K69" i="2" s="1"/>
  <c r="H70" i="3" s="1"/>
  <c r="N19" i="2" l="1"/>
  <c r="H25" i="2"/>
  <c r="G25" i="2" s="1"/>
  <c r="K25" i="2" s="1"/>
  <c r="H22" i="3" s="1"/>
  <c r="O23" i="2"/>
  <c r="P23" i="2"/>
  <c r="E20" i="3" s="1"/>
  <c r="I21" i="2"/>
  <c r="H21" i="2"/>
  <c r="G21" i="2" s="1"/>
  <c r="N24" i="2"/>
  <c r="J32" i="2"/>
  <c r="H32" i="2"/>
  <c r="G32" i="2" s="1"/>
  <c r="AM29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F29" i="2"/>
  <c r="K33" i="2"/>
  <c r="H34" i="3" s="1"/>
  <c r="AK29" i="2"/>
  <c r="K22" i="2"/>
  <c r="H19" i="3" s="1"/>
  <c r="K13" i="2"/>
  <c r="H10" i="3" s="1"/>
  <c r="O25" i="2"/>
  <c r="D22" i="3" s="1"/>
  <c r="P25" i="2"/>
  <c r="E22" i="3" s="1"/>
  <c r="N13" i="2"/>
  <c r="K40" i="2"/>
  <c r="H41" i="3" s="1"/>
  <c r="O40" i="2"/>
  <c r="D41" i="3" s="1"/>
  <c r="N18" i="2"/>
  <c r="N22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AN29" i="2" l="1"/>
  <c r="D20" i="3"/>
  <c r="N23" i="2"/>
  <c r="N14" i="2"/>
  <c r="K21" i="2"/>
  <c r="H18" i="3" s="1"/>
  <c r="O21" i="2"/>
  <c r="P21" i="2"/>
  <c r="E18" i="3" s="1"/>
  <c r="H35" i="3"/>
  <c r="AN31" i="2"/>
  <c r="AC31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P31" i="2"/>
  <c r="E32" i="3" s="1"/>
  <c r="X29" i="2"/>
  <c r="AE29" i="2"/>
  <c r="AP29" i="2"/>
  <c r="AO29" i="2"/>
  <c r="AA29" i="2"/>
  <c r="K31" i="2"/>
  <c r="AK28" i="2" s="1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N35" i="2"/>
  <c r="N34" i="2"/>
  <c r="N33" i="2"/>
  <c r="K28" i="2"/>
  <c r="H29" i="3" s="1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AH28" i="2" l="1"/>
  <c r="AJ28" i="2"/>
  <c r="D18" i="3"/>
  <c r="N21" i="2"/>
  <c r="H32" i="3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  <c r="E11" i="5"/>
  <c r="E7" i="5" s="1"/>
  <c r="D11" i="5" l="1"/>
  <c r="D7" i="5" s="1"/>
  <c r="C11" i="5"/>
  <c r="C7" i="5" s="1"/>
  <c r="I27" i="2"/>
  <c r="A27" i="2"/>
  <c r="F27" i="2"/>
  <c r="J27" i="2" s="1"/>
  <c r="H27" i="2" l="1"/>
  <c r="G27" i="2" s="1"/>
  <c r="K27" i="2" s="1"/>
  <c r="H28" i="3" s="1"/>
  <c r="X36" i="2" l="1"/>
  <c r="Y36" i="2"/>
  <c r="AB36" i="2"/>
  <c r="AA36" i="2"/>
  <c r="P27" i="2"/>
  <c r="E28" i="3" s="1"/>
  <c r="AD36" i="2"/>
  <c r="AM36" i="2"/>
  <c r="AE36" i="2"/>
  <c r="AF36" i="2"/>
  <c r="AL36" i="2"/>
  <c r="AJ36" i="2"/>
  <c r="AI36" i="2"/>
  <c r="AK36" i="2"/>
  <c r="Z36" i="2"/>
  <c r="AO36" i="2"/>
  <c r="O27" i="2"/>
  <c r="AH36" i="2"/>
  <c r="AP36" i="2"/>
  <c r="AG36" i="2"/>
  <c r="AC36" i="2"/>
  <c r="AN36" i="2"/>
  <c r="D28" i="3" l="1"/>
  <c r="N27" i="2"/>
  <c r="A43" i="2"/>
  <c r="F43" i="2"/>
  <c r="I43" i="2" s="1"/>
  <c r="H43" i="2"/>
  <c r="G43" i="2" s="1"/>
  <c r="P43" i="2" l="1"/>
  <c r="E44" i="3" s="1"/>
  <c r="O43" i="2"/>
  <c r="K43" i="2"/>
  <c r="H44" i="3" s="1"/>
  <c r="J43" i="2"/>
  <c r="N43" i="2" l="1"/>
  <c r="D44" i="3"/>
  <c r="A114" i="2"/>
</calcChain>
</file>

<file path=xl/sharedStrings.xml><?xml version="1.0" encoding="utf-8"?>
<sst xmlns="http://schemas.openxmlformats.org/spreadsheetml/2006/main" count="633" uniqueCount="276">
  <si>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</si>
  <si>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</si>
  <si>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</si>
  <si>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</si>
  <si>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</si>
  <si>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</si>
  <si>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</si>
  <si>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</si>
  <si>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</si>
  <si>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</si>
  <si>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</si>
  <si>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</si>
  <si>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</si>
  <si>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</si>
  <si>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</si>
  <si>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</si>
  <si>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</si>
  <si>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</si>
  <si>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</si>
  <si>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</si>
  <si>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</si>
  <si>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</si>
  <si>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</si>
  <si>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</si>
  <si>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</si>
  <si>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</si>
  <si>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</si>
  <si>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</si>
  <si>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</si>
  <si>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</si>
  <si>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</si>
  <si>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</si>
  <si>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</si>
  <si>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</si>
  <si>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</si>
  <si>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</si>
  <si>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</si>
  <si>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</si>
  <si>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</si>
  <si>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</si>
  <si>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</si>
  <si>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</si>
  <si>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</si>
  <si>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</si>
  <si>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</si>
  <si>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</si>
  <si>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</si>
  <si>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</si>
  <si>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</si>
  <si>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</si>
  <si>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</si>
  <si>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</si>
  <si>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</si>
  <si>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</si>
  <si>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</si>
  <si>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</si>
  <si>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</si>
  <si>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</si>
  <si>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</si>
  <si>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</si>
  <si>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</si>
  <si>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</si>
  <si>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</si>
  <si>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</si>
  <si>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</si>
  <si>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</si>
  <si>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</si>
  <si>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</si>
  <si>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</si>
  <si>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</si>
  <si>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</si>
  <si>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</si>
  <si>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</si>
  <si>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</si>
  <si>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</si>
  <si>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</si>
  <si>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</si>
  <si>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</si>
  <si>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</si>
  <si>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</si>
  <si>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</si>
  <si>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</si>
  <si>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</si>
  <si>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</si>
  <si>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</si>
  <si>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</si>
  <si>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</si>
  <si>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</si>
  <si>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</si>
  <si>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</si>
  <si>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</si>
  <si>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</si>
  <si>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</si>
  <si>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</si>
  <si>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</si>
  <si>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</si>
  <si>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</si>
  <si>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</si>
  <si>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</si>
  <si>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</si>
  <si>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</si>
  <si>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</si>
  <si>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</si>
  <si>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</si>
  <si>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</si>
  <si>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</si>
  <si>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</si>
  <si>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</si>
  <si>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</si>
  <si>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</si>
  <si>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</si>
  <si>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</si>
  <si>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</si>
  <si>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</si>
  <si>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</si>
  <si>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</si>
  <si>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</si>
  <si>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</si>
  <si>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</si>
  <si>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</si>
  <si>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</si>
  <si>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</si>
  <si>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</si>
  <si>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</si>
  <si>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</si>
  <si>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</si>
  <si>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</si>
  <si>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</si>
  <si>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</si>
  <si>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</si>
  <si>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</si>
  <si>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</si>
  <si>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</si>
  <si>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</si>
  <si>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</si>
  <si>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</si>
  <si>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</si>
  <si>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</si>
  <si>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</si>
  <si>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</si>
  <si>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</si>
  <si>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</si>
  <si>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</si>
  <si>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</si>
  <si>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</si>
  <si>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</si>
  <si>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</si>
  <si>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</si>
  <si>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</si>
  <si>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</si>
  <si>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</si>
  <si>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</si>
  <si>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</si>
  <si>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</si>
  <si>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</si>
  <si>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</si>
  <si>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</si>
  <si>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</si>
  <si>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</si>
  <si>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</si>
  <si>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</si>
  <si>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</si>
  <si>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</si>
  <si>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</si>
  <si>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</si>
  <si>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</si>
  <si>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</si>
  <si>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</si>
  <si>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</si>
  <si>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</si>
  <si>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</si>
  <si>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</si>
  <si>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</si>
  <si>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</si>
  <si>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</si>
  <si>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</si>
  <si>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</si>
  <si>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</si>
  <si>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</si>
  <si>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</si>
  <si>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</si>
  <si>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</si>
  <si>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</si>
  <si>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</si>
  <si>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</si>
  <si>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</si>
  <si>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</si>
  <si>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</si>
  <si>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</si>
  <si>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</si>
  <si>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</si>
  <si>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</si>
  <si>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</si>
  <si>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</si>
  <si>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</si>
  <si>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</si>
  <si>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</si>
  <si>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</si>
  <si>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</si>
  <si>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</si>
  <si>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</si>
  <si>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</si>
  <si>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</si>
  <si>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</si>
  <si>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</si>
  <si>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</si>
  <si>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</si>
  <si>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</si>
  <si>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</si>
  <si>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</si>
  <si>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</si>
  <si>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</si>
  <si>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</si>
  <si>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</si>
  <si>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</si>
  <si>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</si>
  <si>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</si>
  <si>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</si>
  <si>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</si>
  <si>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</si>
  <si>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</si>
  <si>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</si>
  <si>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</si>
  <si>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</si>
  <si>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</si>
  <si>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</si>
  <si>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</si>
  <si>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</si>
  <si>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</si>
  <si>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</si>
  <si>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</si>
  <si>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</si>
  <si>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</si>
  <si>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</si>
  <si>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</si>
  <si>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</si>
  <si>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</si>
  <si>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</si>
  <si>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</si>
  <si>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</si>
  <si>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</si>
  <si>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</si>
  <si>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</si>
  <si>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</si>
  <si>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</si>
  <si>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</si>
  <si>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</si>
  <si>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</si>
  <si>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</si>
  <si>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</si>
  <si>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</si>
  <si>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</si>
  <si>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</si>
  <si>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</si>
  <si>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</si>
  <si>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</si>
  <si>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</si>
  <si>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</si>
  <si>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</si>
  <si>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</si>
  <si>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</si>
  <si>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</si>
  <si>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</si>
  <si>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</si>
  <si>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</si>
  <si>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Armor Add</t>
  </si>
  <si>
    <t>Per Slot</t>
  </si>
  <si>
    <t>True Max Evasion</t>
  </si>
  <si>
    <t>Normal Max Armor</t>
  </si>
  <si>
    <t>Total Evasion</t>
  </si>
  <si>
    <t>Total Armor Needed</t>
  </si>
  <si>
    <t>Max Possible Armor</t>
  </si>
  <si>
    <t>Max Possible Armor %</t>
  </si>
  <si>
    <t>Normal Shield HP %</t>
  </si>
  <si>
    <t>HP</t>
  </si>
  <si>
    <t>Tier Range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</si>
</sst>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6.8587619784946234</c:v>
                </c:pt>
                <c:pt idx="1">
                  <c:v>7.4862196989247307</c:v>
                </c:pt>
                <c:pt idx="2">
                  <c:v>8.1136774193548398</c:v>
                </c:pt>
                <c:pt idx="3">
                  <c:v>8.7411351397849462</c:v>
                </c:pt>
                <c:pt idx="4">
                  <c:v>9.3685928602150543</c:v>
                </c:pt>
                <c:pt idx="5">
                  <c:v>9.9960505806451625</c:v>
                </c:pt>
                <c:pt idx="6">
                  <c:v>10.623508301075269</c:v>
                </c:pt>
                <c:pt idx="7">
                  <c:v>11.250966021505377</c:v>
                </c:pt>
                <c:pt idx="8">
                  <c:v>11.878423741935483</c:v>
                </c:pt>
                <c:pt idx="9">
                  <c:v>12.505881462365593</c:v>
                </c:pt>
                <c:pt idx="10">
                  <c:v>13.133339182795702</c:v>
                </c:pt>
                <c:pt idx="11">
                  <c:v>13.760796903225808</c:v>
                </c:pt>
                <c:pt idx="12">
                  <c:v>14.388254623655916</c:v>
                </c:pt>
                <c:pt idx="13">
                  <c:v>15.015712344086023</c:v>
                </c:pt>
                <c:pt idx="14">
                  <c:v>15.643170064516131</c:v>
                </c:pt>
                <c:pt idx="15">
                  <c:v>16.270627784946239</c:v>
                </c:pt>
                <c:pt idx="16">
                  <c:v>16.898085505376347</c:v>
                </c:pt>
                <c:pt idx="17">
                  <c:v>17.525543225806459</c:v>
                </c:pt>
                <c:pt idx="18">
                  <c:v>18.153000946236567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6.4016313978494628</c:v>
                </c:pt>
                <c:pt idx="1">
                  <c:v>7.3669995698924726</c:v>
                </c:pt>
                <c:pt idx="2">
                  <c:v>8.3323677419354834</c:v>
                </c:pt>
                <c:pt idx="3">
                  <c:v>9.2977359139784941</c:v>
                </c:pt>
                <c:pt idx="4">
                  <c:v>10.263104086021505</c:v>
                </c:pt>
                <c:pt idx="5">
                  <c:v>11.228472258064514</c:v>
                </c:pt>
                <c:pt idx="6">
                  <c:v>12.193840430107526</c:v>
                </c:pt>
                <c:pt idx="7">
                  <c:v>13.159208602150535</c:v>
                </c:pt>
                <c:pt idx="8">
                  <c:v>14.124576774193546</c:v>
                </c:pt>
                <c:pt idx="9">
                  <c:v>15.089944946236557</c:v>
                </c:pt>
                <c:pt idx="10">
                  <c:v>16.055313118279567</c:v>
                </c:pt>
                <c:pt idx="11">
                  <c:v>17.020681290322578</c:v>
                </c:pt>
                <c:pt idx="12">
                  <c:v>17.986049462365589</c:v>
                </c:pt>
                <c:pt idx="13">
                  <c:v>18.951417634408603</c:v>
                </c:pt>
                <c:pt idx="14">
                  <c:v>19.916785806451614</c:v>
                </c:pt>
                <c:pt idx="15">
                  <c:v>20.882153978494625</c:v>
                </c:pt>
                <c:pt idx="16">
                  <c:v>21.847522150537632</c:v>
                </c:pt>
                <c:pt idx="17">
                  <c:v>22.812890322580646</c:v>
                </c:pt>
                <c:pt idx="18">
                  <c:v>23.77825849462366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5.9470928172043012</c:v>
                </c:pt>
                <c:pt idx="1">
                  <c:v>7.2483554408602151</c:v>
                </c:pt>
                <c:pt idx="2">
                  <c:v>8.5496180645161299</c:v>
                </c:pt>
                <c:pt idx="3">
                  <c:v>9.8508806881720421</c:v>
                </c:pt>
                <c:pt idx="4">
                  <c:v>11.152143311827956</c:v>
                </c:pt>
                <c:pt idx="5">
                  <c:v>12.45340593548387</c:v>
                </c:pt>
                <c:pt idx="6">
                  <c:v>13.754668559139784</c:v>
                </c:pt>
                <c:pt idx="7">
                  <c:v>15.055931182795698</c:v>
                </c:pt>
                <c:pt idx="8">
                  <c:v>16.357193806451612</c:v>
                </c:pt>
                <c:pt idx="9">
                  <c:v>17.658456430107528</c:v>
                </c:pt>
                <c:pt idx="10">
                  <c:v>18.95971905376344</c:v>
                </c:pt>
                <c:pt idx="11">
                  <c:v>20.260981677419352</c:v>
                </c:pt>
                <c:pt idx="12">
                  <c:v>21.562244301075271</c:v>
                </c:pt>
                <c:pt idx="13">
                  <c:v>22.863506924731187</c:v>
                </c:pt>
                <c:pt idx="14">
                  <c:v>24.164769548387099</c:v>
                </c:pt>
                <c:pt idx="15">
                  <c:v>25.466032172043018</c:v>
                </c:pt>
                <c:pt idx="16">
                  <c:v>26.76729479569893</c:v>
                </c:pt>
                <c:pt idx="17">
                  <c:v>28.068557419354846</c:v>
                </c:pt>
                <c:pt idx="18">
                  <c:v>29.369820043010762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8.8660873333333345</c:v>
                </c:pt>
                <c:pt idx="1">
                  <c:v>9.7025106666666687</c:v>
                </c:pt>
                <c:pt idx="2">
                  <c:v>10.538934000000001</c:v>
                </c:pt>
                <c:pt idx="3">
                  <c:v>11.375357333333335</c:v>
                </c:pt>
                <c:pt idx="4">
                  <c:v>12.211780666666668</c:v>
                </c:pt>
                <c:pt idx="5">
                  <c:v>13.048204</c:v>
                </c:pt>
                <c:pt idx="6">
                  <c:v>13.884627333333333</c:v>
                </c:pt>
                <c:pt idx="7">
                  <c:v>14.721050666666669</c:v>
                </c:pt>
                <c:pt idx="8">
                  <c:v>15.557474000000001</c:v>
                </c:pt>
                <c:pt idx="9">
                  <c:v>16.393897333333332</c:v>
                </c:pt>
                <c:pt idx="10">
                  <c:v>17.230320666666664</c:v>
                </c:pt>
                <c:pt idx="11">
                  <c:v>18.066744</c:v>
                </c:pt>
                <c:pt idx="12">
                  <c:v>18.903167333333336</c:v>
                </c:pt>
                <c:pt idx="13">
                  <c:v>19.739590666666668</c:v>
                </c:pt>
                <c:pt idx="14">
                  <c:v>20.576014000000004</c:v>
                </c:pt>
                <c:pt idx="15">
                  <c:v>21.412437333333337</c:v>
                </c:pt>
                <c:pt idx="16">
                  <c:v>22.248860666666673</c:v>
                </c:pt>
                <c:pt idx="17">
                  <c:v>23.085284000000009</c:v>
                </c:pt>
                <c:pt idx="18">
                  <c:v>23.921707333333341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8.057759047619049</c:v>
                </c:pt>
                <c:pt idx="1">
                  <c:v>9.2497352380952389</c:v>
                </c:pt>
                <c:pt idx="2">
                  <c:v>10.441711428571431</c:v>
                </c:pt>
                <c:pt idx="3">
                  <c:v>11.633687619047619</c:v>
                </c:pt>
                <c:pt idx="4">
                  <c:v>12.82566380952381</c:v>
                </c:pt>
                <c:pt idx="5">
                  <c:v>14.017639999999998</c:v>
                </c:pt>
                <c:pt idx="6">
                  <c:v>15.209616190476192</c:v>
                </c:pt>
                <c:pt idx="7">
                  <c:v>16.40159238095238</c:v>
                </c:pt>
                <c:pt idx="8">
                  <c:v>17.59356857142857</c:v>
                </c:pt>
                <c:pt idx="9">
                  <c:v>18.785544761904763</c:v>
                </c:pt>
                <c:pt idx="10">
                  <c:v>19.977520952380949</c:v>
                </c:pt>
                <c:pt idx="11">
                  <c:v>21.169497142857143</c:v>
                </c:pt>
                <c:pt idx="12">
                  <c:v>22.361473333333336</c:v>
                </c:pt>
                <c:pt idx="13">
                  <c:v>23.553449523809526</c:v>
                </c:pt>
                <c:pt idx="14">
                  <c:v>24.745425714285716</c:v>
                </c:pt>
                <c:pt idx="15">
                  <c:v>25.937401904761909</c:v>
                </c:pt>
                <c:pt idx="16">
                  <c:v>27.129378095238099</c:v>
                </c:pt>
                <c:pt idx="17">
                  <c:v>28.321354285714289</c:v>
                </c:pt>
                <c:pt idx="18">
                  <c:v>29.513330476190479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7.25327761904762</c:v>
                </c:pt>
                <c:pt idx="1">
                  <c:v>8.7990580952380952</c:v>
                </c:pt>
                <c:pt idx="2">
                  <c:v>10.344838571428571</c:v>
                </c:pt>
                <c:pt idx="3">
                  <c:v>11.890619047619049</c:v>
                </c:pt>
                <c:pt idx="4">
                  <c:v>13.436399523809525</c:v>
                </c:pt>
                <c:pt idx="5">
                  <c:v>14.98218</c:v>
                </c:pt>
                <c:pt idx="6">
                  <c:v>16.527960476190476</c:v>
                </c:pt>
                <c:pt idx="7">
                  <c:v>18.073740952380952</c:v>
                </c:pt>
                <c:pt idx="8">
                  <c:v>19.619521428571428</c:v>
                </c:pt>
                <c:pt idx="9">
                  <c:v>21.165301904761904</c:v>
                </c:pt>
                <c:pt idx="10">
                  <c:v>22.71108238095238</c:v>
                </c:pt>
                <c:pt idx="11">
                  <c:v>24.256862857142856</c:v>
                </c:pt>
                <c:pt idx="12">
                  <c:v>25.802643333333336</c:v>
                </c:pt>
                <c:pt idx="13">
                  <c:v>27.348423809523815</c:v>
                </c:pt>
                <c:pt idx="14">
                  <c:v>28.894204285714292</c:v>
                </c:pt>
                <c:pt idx="15">
                  <c:v>30.439984761904771</c:v>
                </c:pt>
                <c:pt idx="16">
                  <c:v>31.985765238095247</c:v>
                </c:pt>
                <c:pt idx="17">
                  <c:v>33.531545714285727</c:v>
                </c:pt>
                <c:pt idx="18">
                  <c:v>35.077326190476199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10.677571797333334</c:v>
                </c:pt>
                <c:pt idx="1">
                  <c:v>11.733301674666667</c:v>
                </c:pt>
                <c:pt idx="2">
                  <c:v>12.789031551999999</c:v>
                </c:pt>
                <c:pt idx="3">
                  <c:v>13.844761429333333</c:v>
                </c:pt>
                <c:pt idx="4">
                  <c:v>14.900491306666666</c:v>
                </c:pt>
                <c:pt idx="5">
                  <c:v>15.956221183999999</c:v>
                </c:pt>
                <c:pt idx="6">
                  <c:v>17.011951061333331</c:v>
                </c:pt>
                <c:pt idx="7">
                  <c:v>18.067680938666665</c:v>
                </c:pt>
                <c:pt idx="8">
                  <c:v>19.123410815999996</c:v>
                </c:pt>
                <c:pt idx="9">
                  <c:v>20.179140693333331</c:v>
                </c:pt>
                <c:pt idx="10">
                  <c:v>21.234870570666661</c:v>
                </c:pt>
                <c:pt idx="11">
                  <c:v>22.290600447999996</c:v>
                </c:pt>
                <c:pt idx="12">
                  <c:v>23.346330325333334</c:v>
                </c:pt>
                <c:pt idx="13">
                  <c:v>24.402060202666664</c:v>
                </c:pt>
                <c:pt idx="14">
                  <c:v>25.457790079999999</c:v>
                </c:pt>
                <c:pt idx="15">
                  <c:v>26.513519957333333</c:v>
                </c:pt>
                <c:pt idx="16">
                  <c:v>27.569249834666667</c:v>
                </c:pt>
                <c:pt idx="17">
                  <c:v>28.624979712000005</c:v>
                </c:pt>
                <c:pt idx="18">
                  <c:v>29.680709589333336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9.4346917333333327</c:v>
                </c:pt>
                <c:pt idx="1">
                  <c:v>10.868231466666666</c:v>
                </c:pt>
                <c:pt idx="2">
                  <c:v>12.301771199999999</c:v>
                </c:pt>
                <c:pt idx="3">
                  <c:v>13.735310933333333</c:v>
                </c:pt>
                <c:pt idx="4">
                  <c:v>15.168850666666666</c:v>
                </c:pt>
                <c:pt idx="5">
                  <c:v>16.602390400000001</c:v>
                </c:pt>
                <c:pt idx="6">
                  <c:v>18.035930133333334</c:v>
                </c:pt>
                <c:pt idx="7">
                  <c:v>19.469469866666667</c:v>
                </c:pt>
                <c:pt idx="8">
                  <c:v>20.903009599999997</c:v>
                </c:pt>
                <c:pt idx="9">
                  <c:v>22.336549333333334</c:v>
                </c:pt>
                <c:pt idx="10">
                  <c:v>23.770089066666664</c:v>
                </c:pt>
                <c:pt idx="11">
                  <c:v>25.203628800000001</c:v>
                </c:pt>
                <c:pt idx="12">
                  <c:v>26.637168533333334</c:v>
                </c:pt>
                <c:pt idx="13">
                  <c:v>28.070708266666671</c:v>
                </c:pt>
                <c:pt idx="14">
                  <c:v>29.504248000000004</c:v>
                </c:pt>
                <c:pt idx="15">
                  <c:v>30.937787733333337</c:v>
                </c:pt>
                <c:pt idx="16">
                  <c:v>32.371327466666671</c:v>
                </c:pt>
                <c:pt idx="17">
                  <c:v>33.804867200000011</c:v>
                </c:pt>
                <c:pt idx="18">
                  <c:v>35.238406933333344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8.1970117973333334</c:v>
                </c:pt>
                <c:pt idx="1">
                  <c:v>10.006741674666667</c:v>
                </c:pt>
                <c:pt idx="2">
                  <c:v>11.816471552000001</c:v>
                </c:pt>
                <c:pt idx="3">
                  <c:v>13.626201429333335</c:v>
                </c:pt>
                <c:pt idx="4">
                  <c:v>15.435931306666667</c:v>
                </c:pt>
                <c:pt idx="5">
                  <c:v>17.245661183999999</c:v>
                </c:pt>
                <c:pt idx="6">
                  <c:v>19.055391061333331</c:v>
                </c:pt>
                <c:pt idx="7">
                  <c:v>20.865120938666667</c:v>
                </c:pt>
                <c:pt idx="8">
                  <c:v>22.674850815999999</c:v>
                </c:pt>
                <c:pt idx="9">
                  <c:v>24.484580693333331</c:v>
                </c:pt>
                <c:pt idx="10">
                  <c:v>26.294310570666667</c:v>
                </c:pt>
                <c:pt idx="11">
                  <c:v>28.104040447999999</c:v>
                </c:pt>
                <c:pt idx="12">
                  <c:v>29.913770325333331</c:v>
                </c:pt>
                <c:pt idx="13">
                  <c:v>31.723500202666671</c:v>
                </c:pt>
                <c:pt idx="14">
                  <c:v>33.53323008000001</c:v>
                </c:pt>
                <c:pt idx="15">
                  <c:v>35.342959957333342</c:v>
                </c:pt>
                <c:pt idx="16">
                  <c:v>37.152689834666681</c:v>
                </c:pt>
                <c:pt idx="17">
                  <c:v>38.962419712000013</c:v>
                </c:pt>
                <c:pt idx="18">
                  <c:v>40.772149589333353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7.2575911904761901</c:v>
                </c:pt>
                <c:pt idx="1">
                  <c:v>8.8042909523809527</c:v>
                </c:pt>
                <c:pt idx="2">
                  <c:v>10.350990714285714</c:v>
                </c:pt>
                <c:pt idx="3">
                  <c:v>11.897690476190476</c:v>
                </c:pt>
                <c:pt idx="4">
                  <c:v>13.444390238095236</c:v>
                </c:pt>
                <c:pt idx="5">
                  <c:v>14.991090000000002</c:v>
                </c:pt>
                <c:pt idx="6">
                  <c:v>16.537789761904762</c:v>
                </c:pt>
                <c:pt idx="7">
                  <c:v>18.084489523809523</c:v>
                </c:pt>
                <c:pt idx="8">
                  <c:v>19.631189285714285</c:v>
                </c:pt>
                <c:pt idx="9">
                  <c:v>21.177889047619047</c:v>
                </c:pt>
                <c:pt idx="10">
                  <c:v>22.724588809523809</c:v>
                </c:pt>
                <c:pt idx="11">
                  <c:v>24.271288571428578</c:v>
                </c:pt>
                <c:pt idx="12">
                  <c:v>25.817988333333336</c:v>
                </c:pt>
                <c:pt idx="13">
                  <c:v>27.364688095238098</c:v>
                </c:pt>
                <c:pt idx="14">
                  <c:v>28.911387857142863</c:v>
                </c:pt>
                <c:pt idx="15">
                  <c:v>30.458087619047625</c:v>
                </c:pt>
                <c:pt idx="16">
                  <c:v>32.004787380952394</c:v>
                </c:pt>
                <c:pt idx="17">
                  <c:v>33.551487142857155</c:v>
                </c:pt>
                <c:pt idx="18">
                  <c:v>35.098186904761917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8.2051725653333332</c:v>
                </c:pt>
                <c:pt idx="1">
                  <c:v>10.016704170666667</c:v>
                </c:pt>
                <c:pt idx="2">
                  <c:v>11.828235776</c:v>
                </c:pt>
                <c:pt idx="3">
                  <c:v>13.639767381333334</c:v>
                </c:pt>
                <c:pt idx="4">
                  <c:v>15.451298986666666</c:v>
                </c:pt>
                <c:pt idx="5">
                  <c:v>17.262830592</c:v>
                </c:pt>
                <c:pt idx="6">
                  <c:v>19.074362197333333</c:v>
                </c:pt>
                <c:pt idx="7">
                  <c:v>20.885893802666665</c:v>
                </c:pt>
                <c:pt idx="8">
                  <c:v>22.697425407999997</c:v>
                </c:pt>
                <c:pt idx="9">
                  <c:v>24.50895701333333</c:v>
                </c:pt>
                <c:pt idx="10">
                  <c:v>26.320488618666666</c:v>
                </c:pt>
                <c:pt idx="11">
                  <c:v>28.132020223999998</c:v>
                </c:pt>
                <c:pt idx="12">
                  <c:v>29.94355182933333</c:v>
                </c:pt>
                <c:pt idx="13">
                  <c:v>31.75508343466667</c:v>
                </c:pt>
                <c:pt idx="14">
                  <c:v>33.566615040000009</c:v>
                </c:pt>
                <c:pt idx="15">
                  <c:v>35.378146645333338</c:v>
                </c:pt>
                <c:pt idx="16">
                  <c:v>37.189678250666674</c:v>
                </c:pt>
                <c:pt idx="17">
                  <c:v>39.00120985600001</c:v>
                </c:pt>
                <c:pt idx="18">
                  <c:v>40.812741461333346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A82" workbookViewId="0">
      <selection activeCell="S120" sqref="S120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I3" t="s">
        <v>275</v>
      </c>
      <c r="J3">
        <f>0.12</f>
        <v>0.12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6" t="s">
        <v>141</v>
      </c>
      <c r="I8" s="26"/>
      <c r="J8" s="26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5.4359999999999992E-2</v>
      </c>
      <c r="C14">
        <v>2</v>
      </c>
      <c r="D14">
        <v>-1</v>
      </c>
      <c r="E14" s="5" t="s">
        <v>27</v>
      </c>
      <c r="F14" s="2">
        <f t="shared" si="10"/>
        <v>5.05436</v>
      </c>
      <c r="G14" s="2">
        <f t="shared" si="15"/>
        <v>5.5597960000000004</v>
      </c>
      <c r="H14" s="2">
        <f t="shared" si="11"/>
        <v>5.5597960000000004</v>
      </c>
      <c r="I14" s="2">
        <f t="shared" si="5"/>
        <v>3.6391391999999998</v>
      </c>
      <c r="J14" s="2">
        <f t="shared" si="5"/>
        <v>0.90978479999999995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5.5597960000000004</v>
      </c>
      <c r="O14" s="2">
        <f t="shared" si="7"/>
        <v>19.069422256097564</v>
      </c>
      <c r="P14" s="2">
        <f t="shared" si="8"/>
        <v>31.782370426829271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3.4199999999999994E-2</v>
      </c>
      <c r="C15">
        <v>2</v>
      </c>
      <c r="D15">
        <v>0</v>
      </c>
      <c r="E15" s="5" t="s">
        <v>28</v>
      </c>
      <c r="F15" s="2">
        <f t="shared" si="10"/>
        <v>5.0342000000000002</v>
      </c>
      <c r="G15" s="2">
        <f t="shared" si="15"/>
        <v>6.0410399999999997</v>
      </c>
      <c r="H15" s="2">
        <f t="shared" si="11"/>
        <v>6.0410399999999997</v>
      </c>
      <c r="I15" s="2">
        <f t="shared" si="5"/>
        <v>3.2218880000000003</v>
      </c>
      <c r="J15" s="2">
        <f t="shared" si="5"/>
        <v>0.80547200000000008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6.0410399999999997</v>
      </c>
      <c r="O15" s="2">
        <f t="shared" si="7"/>
        <v>42.476062499999998</v>
      </c>
      <c r="P15" s="2">
        <f t="shared" si="8"/>
        <v>70.793437499999996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1.4039999999999978E-2</v>
      </c>
      <c r="C16">
        <v>2</v>
      </c>
      <c r="D16">
        <v>1</v>
      </c>
      <c r="E16" s="5" t="s">
        <v>29</v>
      </c>
      <c r="F16" s="2">
        <f t="shared" si="10"/>
        <v>5.0140399999999996</v>
      </c>
      <c r="G16" s="2">
        <f t="shared" si="15"/>
        <v>6.5182519999999995</v>
      </c>
      <c r="H16" s="2">
        <f t="shared" si="11"/>
        <v>6.5182519999999995</v>
      </c>
      <c r="I16" s="2">
        <f t="shared" si="5"/>
        <v>2.8078623999999999</v>
      </c>
      <c r="J16" s="2">
        <f t="shared" si="5"/>
        <v>0.70196559999999997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6.5182519999999995</v>
      </c>
      <c r="O16" s="2">
        <f t="shared" si="7"/>
        <v>97.773779999999988</v>
      </c>
      <c r="P16" s="2">
        <f t="shared" si="8"/>
        <v>162.9563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4.5720000000000004E-2</v>
      </c>
      <c r="C17" s="2">
        <v>3</v>
      </c>
      <c r="D17" s="2">
        <v>-1</v>
      </c>
      <c r="E17" s="5" t="s">
        <v>30</v>
      </c>
      <c r="F17" s="2">
        <f t="shared" si="10"/>
        <v>7.5457200000000002</v>
      </c>
      <c r="G17" s="2">
        <f t="shared" si="15"/>
        <v>9.0548640000000002</v>
      </c>
      <c r="H17" s="2">
        <f t="shared" si="11"/>
        <v>9.0548640000000002</v>
      </c>
      <c r="I17" s="2">
        <f t="shared" si="5"/>
        <v>4.8292608000000001</v>
      </c>
      <c r="J17" s="2">
        <f t="shared" si="5"/>
        <v>1.2073152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9.0548640000000002</v>
      </c>
      <c r="O17" s="2">
        <f t="shared" si="7"/>
        <v>31.057079268292682</v>
      </c>
      <c r="P17" s="2">
        <f t="shared" si="8"/>
        <v>51.761798780487808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2.339999999999999E-2</v>
      </c>
      <c r="C18" s="2">
        <v>3</v>
      </c>
      <c r="D18" s="2">
        <v>0</v>
      </c>
      <c r="E18" s="5" t="s">
        <v>31</v>
      </c>
      <c r="F18" s="2">
        <f t="shared" si="10"/>
        <v>7.5233999999999996</v>
      </c>
      <c r="G18" s="2">
        <f t="shared" si="15"/>
        <v>9.7804199999999994</v>
      </c>
      <c r="H18" s="2">
        <f t="shared" si="11"/>
        <v>9.7804199999999994</v>
      </c>
      <c r="I18" s="2">
        <f t="shared" si="5"/>
        <v>4.2131040000000004</v>
      </c>
      <c r="J18" s="2">
        <f t="shared" si="5"/>
        <v>1.0532760000000001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9.7804199999999994</v>
      </c>
      <c r="O18" s="2">
        <f t="shared" si="7"/>
        <v>68.768578124999991</v>
      </c>
      <c r="P18" s="2">
        <f t="shared" si="8"/>
        <v>114.61429687499999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1.0799999999999983E-3</v>
      </c>
      <c r="C19" s="2">
        <v>3</v>
      </c>
      <c r="D19" s="2">
        <v>1</v>
      </c>
      <c r="E19" s="5" t="s">
        <v>32</v>
      </c>
      <c r="F19" s="2">
        <f t="shared" si="10"/>
        <v>7.50108</v>
      </c>
      <c r="G19" s="2">
        <f t="shared" si="15"/>
        <v>10.501512</v>
      </c>
      <c r="H19" s="2">
        <f t="shared" si="11"/>
        <v>10.501512</v>
      </c>
      <c r="I19" s="2">
        <f t="shared" si="5"/>
        <v>3.6005183999999999</v>
      </c>
      <c r="J19" s="2">
        <f t="shared" si="5"/>
        <v>0.90012959999999997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10.501511999999998</v>
      </c>
      <c r="O19" s="2">
        <f t="shared" si="7"/>
        <v>157.52268000000001</v>
      </c>
      <c r="P19" s="2">
        <f t="shared" si="8"/>
        <v>262.5378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3.7080000000000002E-2</v>
      </c>
      <c r="C20" s="2">
        <v>4</v>
      </c>
      <c r="D20" s="2">
        <v>-1</v>
      </c>
      <c r="E20" s="5" t="s">
        <v>33</v>
      </c>
      <c r="F20" s="2">
        <f t="shared" si="10"/>
        <v>10.03708</v>
      </c>
      <c r="G20" s="2">
        <f t="shared" si="15"/>
        <v>13.048204</v>
      </c>
      <c r="H20" s="2">
        <f t="shared" si="11"/>
        <v>13.048204</v>
      </c>
      <c r="I20" s="2">
        <f t="shared" si="5"/>
        <v>5.6207647999999999</v>
      </c>
      <c r="J20" s="2">
        <f t="shared" si="5"/>
        <v>1.4051912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13.048204000000002</v>
      </c>
      <c r="O20" s="2">
        <f t="shared" si="7"/>
        <v>44.753748475609761</v>
      </c>
      <c r="P20" s="2">
        <f t="shared" si="8"/>
        <v>74.589580792682938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1.2600000000000009E-2</v>
      </c>
      <c r="C21" s="2">
        <v>4</v>
      </c>
      <c r="D21" s="2">
        <v>0</v>
      </c>
      <c r="E21" s="5" t="s">
        <v>34</v>
      </c>
      <c r="F21" s="2">
        <f t="shared" si="10"/>
        <v>10.012600000000001</v>
      </c>
      <c r="G21" s="2">
        <f t="shared" si="15"/>
        <v>14.01764</v>
      </c>
      <c r="H21" s="2">
        <f t="shared" si="11"/>
        <v>14.01764</v>
      </c>
      <c r="I21" s="2">
        <f t="shared" si="5"/>
        <v>4.8060480000000005</v>
      </c>
      <c r="J21" s="2">
        <f t="shared" si="5"/>
        <v>1.2015120000000001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14.017639999999998</v>
      </c>
      <c r="O21" s="2">
        <f t="shared" si="7"/>
        <v>98.561531249999987</v>
      </c>
      <c r="P21" s="2">
        <f t="shared" si="8"/>
        <v>164.26921874999999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-1.1879999999999981E-2</v>
      </c>
      <c r="C22" s="2">
        <v>4</v>
      </c>
      <c r="D22" s="2">
        <v>1</v>
      </c>
      <c r="E22" s="5" t="s">
        <v>35</v>
      </c>
      <c r="F22" s="2">
        <f t="shared" si="10"/>
        <v>9.9881200000000003</v>
      </c>
      <c r="G22" s="2">
        <f t="shared" si="15"/>
        <v>14.98218</v>
      </c>
      <c r="H22" s="2">
        <f t="shared" si="11"/>
        <v>14.98218</v>
      </c>
      <c r="I22" s="2">
        <f t="shared" si="5"/>
        <v>3.9952479999999997</v>
      </c>
      <c r="J22" s="2">
        <f t="shared" si="5"/>
        <v>0.99881199999999992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14.98218</v>
      </c>
      <c r="O22" s="2">
        <f t="shared" si="7"/>
        <v>224.73269999999999</v>
      </c>
      <c r="P22" s="2">
        <f t="shared" si="8"/>
        <v>374.55449999999996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2.8440000000000014E-2</v>
      </c>
      <c r="C23" s="2">
        <v>5</v>
      </c>
      <c r="D23" s="2">
        <v>-1</v>
      </c>
      <c r="E23" s="5" t="s">
        <v>36</v>
      </c>
      <c r="F23" s="2">
        <f t="shared" si="10"/>
        <v>12.52844</v>
      </c>
      <c r="G23" s="2">
        <f t="shared" si="15"/>
        <v>17.539815999999998</v>
      </c>
      <c r="H23" s="2">
        <f t="shared" si="11"/>
        <v>17.539815999999998</v>
      </c>
      <c r="I23" s="2">
        <f t="shared" si="5"/>
        <v>6.0136512</v>
      </c>
      <c r="J23" s="2">
        <f t="shared" si="5"/>
        <v>1.5034128</v>
      </c>
      <c r="K23" s="10">
        <f t="shared" si="16"/>
        <v>-0.75238095238095215</v>
      </c>
      <c r="L23" s="10">
        <f t="shared" si="12"/>
        <v>8.3333333333333329E-2</v>
      </c>
      <c r="M23" s="10">
        <v>0</v>
      </c>
      <c r="N23" s="2">
        <f t="shared" si="13"/>
        <v>17.539815999999998</v>
      </c>
      <c r="O23" s="2">
        <f t="shared" si="7"/>
        <v>60.159429878048783</v>
      </c>
      <c r="P23" s="2">
        <f t="shared" si="8"/>
        <v>100.26571646341465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1.8000000000000043E-3</v>
      </c>
      <c r="C24" s="2">
        <v>5</v>
      </c>
      <c r="D24" s="2">
        <v>0</v>
      </c>
      <c r="E24" s="5" t="s">
        <v>37</v>
      </c>
      <c r="F24" s="2">
        <f t="shared" si="10"/>
        <v>12.501799999999999</v>
      </c>
      <c r="G24" s="2">
        <f t="shared" si="15"/>
        <v>18.752699999999997</v>
      </c>
      <c r="H24" s="2">
        <f t="shared" si="11"/>
        <v>18.752699999999997</v>
      </c>
      <c r="I24" s="2">
        <f t="shared" si="5"/>
        <v>5.0007199999999994</v>
      </c>
      <c r="J24" s="2">
        <f t="shared" si="5"/>
        <v>1.2501799999999998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18.752699999999997</v>
      </c>
      <c r="O24" s="2">
        <f t="shared" si="7"/>
        <v>131.85492187499997</v>
      </c>
      <c r="P24" s="2">
        <f t="shared" si="8"/>
        <v>219.75820312499994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-2.4840000000000004E-2</v>
      </c>
      <c r="C25" s="2">
        <v>5</v>
      </c>
      <c r="D25" s="2">
        <v>1</v>
      </c>
      <c r="E25" s="5" t="s">
        <v>38</v>
      </c>
      <c r="F25" s="2">
        <f t="shared" si="10"/>
        <v>12.475160000000001</v>
      </c>
      <c r="G25" s="2">
        <f t="shared" si="15"/>
        <v>19.960256000000001</v>
      </c>
      <c r="H25" s="2">
        <f t="shared" si="11"/>
        <v>19.960256000000001</v>
      </c>
      <c r="I25" s="2">
        <f t="shared" si="5"/>
        <v>3.9920511999999997</v>
      </c>
      <c r="J25" s="2">
        <f t="shared" si="5"/>
        <v>0.99801279999999992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19.960256000000001</v>
      </c>
      <c r="O25" s="2">
        <f t="shared" si="7"/>
        <v>299.40384</v>
      </c>
      <c r="P25" s="2">
        <f t="shared" si="8"/>
        <v>499.00640000000004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19.988119999999999</v>
      </c>
      <c r="G27" s="2">
        <f>IF(G$26=1,H27,H27/(1-INDEX($O$2:$O$6,C27)))</f>
        <v>11.421782857142855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29.98218</v>
      </c>
      <c r="J27" s="2">
        <f t="shared" ref="I27:J28" si="18">$F27*(INDEX($F$3:$F$5,J$26)+(($C27+($D27*$F$7))*INDEX($G$3:$G$5,J$26)))</f>
        <v>1.9988119999999996</v>
      </c>
      <c r="K27" s="10">
        <f>1-((1-(I27/G27))/INDEX($P$2:$P$6,C27))</f>
        <v>6.4166666666666687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11.421782857142855</v>
      </c>
      <c r="O27" s="2">
        <f>0.75*(((G27*INDEX($R$1:$R$3,$D27+2))*Q27)/R27)</f>
        <v>336.94259428571416</v>
      </c>
      <c r="P27" s="2">
        <f>1.25*(((G27*INDEX($R$1:$R$3,$D27+2))*Q27)/R27)</f>
        <v>561.57099047619022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6.8587619784946234</v>
      </c>
      <c r="Y27" s="2">
        <f t="shared" ref="Y27:AP27" si="19">$G30*(1-(Y$26*(1-$K30)))</f>
        <v>7.4862196989247307</v>
      </c>
      <c r="Z27" s="2">
        <f t="shared" si="19"/>
        <v>8.1136774193548398</v>
      </c>
      <c r="AA27" s="2">
        <f t="shared" si="19"/>
        <v>8.7411351397849462</v>
      </c>
      <c r="AB27" s="2">
        <f t="shared" si="19"/>
        <v>9.3685928602150543</v>
      </c>
      <c r="AC27" s="2">
        <f t="shared" si="19"/>
        <v>9.9960505806451625</v>
      </c>
      <c r="AD27" s="2">
        <f t="shared" si="19"/>
        <v>10.623508301075269</v>
      </c>
      <c r="AE27" s="2">
        <f t="shared" si="19"/>
        <v>11.250966021505377</v>
      </c>
      <c r="AF27" s="2">
        <f t="shared" si="19"/>
        <v>11.878423741935483</v>
      </c>
      <c r="AG27" s="2">
        <f t="shared" si="19"/>
        <v>12.505881462365593</v>
      </c>
      <c r="AH27" s="2">
        <f t="shared" si="19"/>
        <v>13.133339182795702</v>
      </c>
      <c r="AI27" s="2">
        <f t="shared" si="19"/>
        <v>13.760796903225808</v>
      </c>
      <c r="AJ27" s="2">
        <f t="shared" si="19"/>
        <v>14.388254623655916</v>
      </c>
      <c r="AK27" s="2">
        <f t="shared" si="19"/>
        <v>15.015712344086023</v>
      </c>
      <c r="AL27" s="2">
        <f t="shared" si="19"/>
        <v>15.643170064516131</v>
      </c>
      <c r="AM27" s="2">
        <f t="shared" si="19"/>
        <v>16.270627784946239</v>
      </c>
      <c r="AN27" s="2">
        <f t="shared" si="19"/>
        <v>16.898085505376347</v>
      </c>
      <c r="AO27" s="2">
        <f t="shared" si="19"/>
        <v>17.525543225806459</v>
      </c>
      <c r="AP27" s="2">
        <f t="shared" si="19"/>
        <v>18.153000946236567</v>
      </c>
    </row>
    <row r="28" spans="1:42" x14ac:dyDescent="0.25">
      <c r="A28" s="21">
        <f t="shared" si="9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24.975159999999999</v>
      </c>
      <c r="G28" s="2">
        <f>IF(G$26=1,H28,H28/(1-INDEX($O$2:$O$6,C28)))</f>
        <v>12.787281919999998</v>
      </c>
      <c r="H28" s="2">
        <f>$F28*(INDEX($F$3:$F$5,H$26)+(($C28+($D28*$F$7))*INDEX($G$3:$G$5,H$26)))</f>
        <v>7.9920511999999988</v>
      </c>
      <c r="I28" s="2">
        <f t="shared" si="18"/>
        <v>39.960256000000001</v>
      </c>
      <c r="J28" s="2">
        <f t="shared" si="18"/>
        <v>1.9980127999999997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12.787281919999998</v>
      </c>
      <c r="O28" s="2">
        <f>0.75*(((G28*INDEX($R$1:$R$3,$D28+2))*Q28)/R28)</f>
        <v>377.22481663999991</v>
      </c>
      <c r="P28" s="2">
        <f>1.25*(((G28*INDEX($R$1:$R$3,$D28+2))*Q28)/R28)</f>
        <v>628.70802773333321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6.4016313978494628</v>
      </c>
      <c r="Y28" s="2">
        <f t="shared" si="20"/>
        <v>7.3669995698924726</v>
      </c>
      <c r="Z28" s="2">
        <f t="shared" si="20"/>
        <v>8.3323677419354834</v>
      </c>
      <c r="AA28" s="2">
        <f t="shared" si="20"/>
        <v>9.2977359139784941</v>
      </c>
      <c r="AB28" s="2">
        <f t="shared" si="20"/>
        <v>10.263104086021505</v>
      </c>
      <c r="AC28" s="2">
        <f t="shared" si="20"/>
        <v>11.228472258064514</v>
      </c>
      <c r="AD28" s="2">
        <f t="shared" si="20"/>
        <v>12.193840430107526</v>
      </c>
      <c r="AE28" s="2">
        <f t="shared" si="20"/>
        <v>13.159208602150535</v>
      </c>
      <c r="AF28" s="2">
        <f t="shared" si="20"/>
        <v>14.124576774193546</v>
      </c>
      <c r="AG28" s="2">
        <f t="shared" si="20"/>
        <v>15.089944946236557</v>
      </c>
      <c r="AH28" s="2">
        <f t="shared" si="20"/>
        <v>16.055313118279567</v>
      </c>
      <c r="AI28" s="2">
        <f t="shared" si="20"/>
        <v>17.020681290322578</v>
      </c>
      <c r="AJ28" s="2">
        <f t="shared" si="20"/>
        <v>17.986049462365589</v>
      </c>
      <c r="AK28" s="2">
        <f t="shared" si="20"/>
        <v>18.951417634408603</v>
      </c>
      <c r="AL28" s="2">
        <f t="shared" si="20"/>
        <v>19.916785806451614</v>
      </c>
      <c r="AM28" s="2">
        <f t="shared" si="20"/>
        <v>20.882153978494625</v>
      </c>
      <c r="AN28" s="2">
        <f t="shared" si="20"/>
        <v>21.847522150537632</v>
      </c>
      <c r="AO28" s="2">
        <f t="shared" si="20"/>
        <v>22.812890322580646</v>
      </c>
      <c r="AP28" s="2">
        <f t="shared" si="20"/>
        <v>23.77825849462366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21">$S$9*(1+(D29*$F$8))</f>
        <v>30</v>
      </c>
      <c r="T29" s="2">
        <v>0</v>
      </c>
      <c r="U29" s="14"/>
      <c r="W29" s="14" t="s">
        <v>223</v>
      </c>
      <c r="X29" s="2">
        <f t="shared" ref="X29:AP29" si="22">$G32*(1-(X$26*(1-$K32)))</f>
        <v>5.9470928172043012</v>
      </c>
      <c r="Y29" s="2">
        <f t="shared" si="22"/>
        <v>7.2483554408602151</v>
      </c>
      <c r="Z29" s="2">
        <f t="shared" si="22"/>
        <v>8.5496180645161299</v>
      </c>
      <c r="AA29" s="2">
        <f t="shared" si="22"/>
        <v>9.8508806881720421</v>
      </c>
      <c r="AB29" s="2">
        <f t="shared" si="22"/>
        <v>11.152143311827956</v>
      </c>
      <c r="AC29" s="2">
        <f t="shared" si="22"/>
        <v>12.45340593548387</v>
      </c>
      <c r="AD29" s="2">
        <f t="shared" si="22"/>
        <v>13.754668559139784</v>
      </c>
      <c r="AE29" s="2">
        <f t="shared" si="22"/>
        <v>15.055931182795698</v>
      </c>
      <c r="AF29" s="2">
        <f t="shared" si="22"/>
        <v>16.357193806451612</v>
      </c>
      <c r="AG29" s="2">
        <f t="shared" si="22"/>
        <v>17.658456430107528</v>
      </c>
      <c r="AH29" s="2">
        <f t="shared" si="22"/>
        <v>18.95971905376344</v>
      </c>
      <c r="AI29" s="2">
        <f t="shared" si="22"/>
        <v>20.260981677419352</v>
      </c>
      <c r="AJ29" s="2">
        <f t="shared" si="22"/>
        <v>21.562244301075271</v>
      </c>
      <c r="AK29" s="2">
        <f t="shared" si="22"/>
        <v>22.863506924731187</v>
      </c>
      <c r="AL29" s="2">
        <f t="shared" si="22"/>
        <v>24.164769548387099</v>
      </c>
      <c r="AM29" s="2">
        <f t="shared" si="22"/>
        <v>25.466032172043018</v>
      </c>
      <c r="AN29" s="2">
        <f t="shared" si="22"/>
        <v>26.76729479569893</v>
      </c>
      <c r="AO29" s="2">
        <f t="shared" si="22"/>
        <v>28.068557419354846</v>
      </c>
      <c r="AP29" s="2">
        <f t="shared" si="22"/>
        <v>29.369820043010762</v>
      </c>
    </row>
    <row r="30" spans="1:42" x14ac:dyDescent="0.25">
      <c r="A30" s="21">
        <f t="shared" si="9"/>
        <v>4.5720000000000004E-2</v>
      </c>
      <c r="C30" s="2">
        <v>3</v>
      </c>
      <c r="D30">
        <v>-1</v>
      </c>
      <c r="E30" s="5" t="s">
        <v>43</v>
      </c>
      <c r="F30" s="2">
        <f t="shared" si="10"/>
        <v>7.5457200000000002</v>
      </c>
      <c r="G30" s="2">
        <f>IF(G$29=1,H30,H30/(1-INDEX($O$2:$O$6,C30)))</f>
        <v>6.2313042580645162</v>
      </c>
      <c r="H30" s="2">
        <f>$F30*(INDEX($F$3:$F$5,H$29)+(($C30+($D30*$F$7))*INDEX($G$3:$G$5,H$29)))</f>
        <v>4.8292608000000001</v>
      </c>
      <c r="I30" s="2">
        <f t="shared" ref="I30:J38" si="23">$F30*(INDEX($F$3:$F$5,I$29)+(($C30+($D30*$F$7))*INDEX($G$3:$G$5,I$29)))</f>
        <v>9.0548640000000002</v>
      </c>
      <c r="J30" s="2">
        <f t="shared" si="23"/>
        <v>1.2073152</v>
      </c>
      <c r="K30" s="10">
        <f t="shared" ref="K30:K89" si="24">1-((1-(I30/G30))/INDEX($P$2:$P$6,C30))</f>
        <v>3.0138888888888893</v>
      </c>
      <c r="L30" s="10">
        <f>(INDEX($Q$2:$Q$6,C30)/((1/INDEX($F$4:$F$6,J$29))-1))</f>
        <v>4.9999999999999996E-2</v>
      </c>
      <c r="M30" s="10">
        <v>0</v>
      </c>
      <c r="N30" s="2">
        <f t="shared" ref="N30:N38" si="25">((AVERAGE(O30,P30)*R30)/Q30)/INDEX($R$1:$R$3,D30+2)</f>
        <v>6.2313042580645162</v>
      </c>
      <c r="O30" s="2">
        <f t="shared" ref="O30:O38" si="26">0.75*(((G30*INDEX($R$1:$R$3,$D30+2))*Q30)/R30)</f>
        <v>24.792231880409126</v>
      </c>
      <c r="P30" s="2">
        <f t="shared" ref="P30:P38" si="27">1.25*(((G30*INDEX($R$1:$R$3,$D30+2))*Q30)/R30)</f>
        <v>41.320386467348548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8">$G33*(1-(X$26*(1-$K33)))</f>
        <v>8.8660873333333345</v>
      </c>
      <c r="Y30" s="2">
        <f t="shared" si="28"/>
        <v>9.7025106666666687</v>
      </c>
      <c r="Z30" s="2">
        <f t="shared" si="28"/>
        <v>10.538934000000001</v>
      </c>
      <c r="AA30" s="2">
        <f t="shared" si="28"/>
        <v>11.375357333333335</v>
      </c>
      <c r="AB30" s="2">
        <f t="shared" si="28"/>
        <v>12.211780666666668</v>
      </c>
      <c r="AC30" s="2">
        <f t="shared" si="28"/>
        <v>13.048204</v>
      </c>
      <c r="AD30" s="2">
        <f t="shared" si="28"/>
        <v>13.884627333333333</v>
      </c>
      <c r="AE30" s="2">
        <f t="shared" si="28"/>
        <v>14.721050666666669</v>
      </c>
      <c r="AF30" s="2">
        <f t="shared" si="28"/>
        <v>15.557474000000001</v>
      </c>
      <c r="AG30" s="2">
        <f t="shared" si="28"/>
        <v>16.393897333333332</v>
      </c>
      <c r="AH30" s="2">
        <f t="shared" si="28"/>
        <v>17.230320666666664</v>
      </c>
      <c r="AI30" s="2">
        <f t="shared" si="28"/>
        <v>18.066744</v>
      </c>
      <c r="AJ30" s="2">
        <f t="shared" si="28"/>
        <v>18.903167333333336</v>
      </c>
      <c r="AK30" s="2">
        <f t="shared" si="28"/>
        <v>19.739590666666668</v>
      </c>
      <c r="AL30" s="2">
        <f t="shared" si="28"/>
        <v>20.576014000000004</v>
      </c>
      <c r="AM30" s="2">
        <f t="shared" si="28"/>
        <v>21.412437333333337</v>
      </c>
      <c r="AN30" s="2">
        <f t="shared" si="28"/>
        <v>22.248860666666673</v>
      </c>
      <c r="AO30" s="2">
        <f t="shared" si="28"/>
        <v>23.085284000000009</v>
      </c>
      <c r="AP30" s="2">
        <f t="shared" si="28"/>
        <v>23.921707333333341</v>
      </c>
    </row>
    <row r="31" spans="1:42" x14ac:dyDescent="0.25">
      <c r="A31" s="21">
        <f t="shared" si="9"/>
        <v>2.339999999999999E-2</v>
      </c>
      <c r="C31" s="2">
        <v>3</v>
      </c>
      <c r="D31">
        <v>0</v>
      </c>
      <c r="E31" s="5" t="s">
        <v>44</v>
      </c>
      <c r="F31" s="2">
        <f t="shared" si="10"/>
        <v>7.5233999999999996</v>
      </c>
      <c r="G31" s="2">
        <f t="shared" ref="G31:G38" si="29">IF(G$29=1,H31,H31/(1-INDEX($O$2:$O$6,C31)))</f>
        <v>5.436263225806452</v>
      </c>
      <c r="H31" s="2">
        <f t="shared" ref="H31:H38" si="30">$F31*(INDEX($F$3:$F$5,H$29)+(($C31+($D31*$F$7))*INDEX($G$3:$G$5,H$29)))</f>
        <v>4.2131040000000004</v>
      </c>
      <c r="I31" s="2">
        <f t="shared" si="23"/>
        <v>9.7804199999999994</v>
      </c>
      <c r="J31" s="2">
        <f t="shared" si="23"/>
        <v>1.0532760000000001</v>
      </c>
      <c r="K31" s="10">
        <f t="shared" si="24"/>
        <v>4.5515873015873005</v>
      </c>
      <c r="L31" s="10">
        <f t="shared" ref="L31:L38" si="31">(INDEX($Q$2:$Q$6,C31)/((1/INDEX($F$4:$F$6,J$29))-1))</f>
        <v>4.9999999999999996E-2</v>
      </c>
      <c r="M31" s="10">
        <v>0</v>
      </c>
      <c r="N31" s="2">
        <f t="shared" si="25"/>
        <v>5.436263225806452</v>
      </c>
      <c r="O31" s="2">
        <f t="shared" si="26"/>
        <v>44.339521935483873</v>
      </c>
      <c r="P31" s="2">
        <f t="shared" si="27"/>
        <v>73.899203225806446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5">
        <f t="shared" ref="S31:S38" si="32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3">$G34*(1-(X$26*(1-$K34)))</f>
        <v>8.057759047619049</v>
      </c>
      <c r="Y31" s="2">
        <f t="shared" si="33"/>
        <v>9.2497352380952389</v>
      </c>
      <c r="Z31" s="2">
        <f t="shared" si="33"/>
        <v>10.441711428571431</v>
      </c>
      <c r="AA31" s="2">
        <f t="shared" si="33"/>
        <v>11.633687619047619</v>
      </c>
      <c r="AB31" s="2">
        <f t="shared" si="33"/>
        <v>12.82566380952381</v>
      </c>
      <c r="AC31" s="2">
        <f t="shared" si="33"/>
        <v>14.017639999999998</v>
      </c>
      <c r="AD31" s="2">
        <f t="shared" si="33"/>
        <v>15.209616190476192</v>
      </c>
      <c r="AE31" s="2">
        <f t="shared" si="33"/>
        <v>16.40159238095238</v>
      </c>
      <c r="AF31" s="2">
        <f t="shared" si="33"/>
        <v>17.59356857142857</v>
      </c>
      <c r="AG31" s="2">
        <f t="shared" si="33"/>
        <v>18.785544761904763</v>
      </c>
      <c r="AH31" s="2">
        <f t="shared" si="33"/>
        <v>19.977520952380949</v>
      </c>
      <c r="AI31" s="2">
        <f t="shared" si="33"/>
        <v>21.169497142857143</v>
      </c>
      <c r="AJ31" s="2">
        <f t="shared" si="33"/>
        <v>22.361473333333336</v>
      </c>
      <c r="AK31" s="2">
        <f t="shared" si="33"/>
        <v>23.553449523809526</v>
      </c>
      <c r="AL31" s="2">
        <f t="shared" si="33"/>
        <v>24.745425714285716</v>
      </c>
      <c r="AM31" s="2">
        <f t="shared" si="33"/>
        <v>25.937401904761909</v>
      </c>
      <c r="AN31" s="2">
        <f t="shared" si="33"/>
        <v>27.129378095238099</v>
      </c>
      <c r="AO31" s="2">
        <f t="shared" si="33"/>
        <v>28.321354285714289</v>
      </c>
      <c r="AP31" s="2">
        <f t="shared" si="33"/>
        <v>29.513330476190479</v>
      </c>
    </row>
    <row r="32" spans="1:42" x14ac:dyDescent="0.25">
      <c r="A32" s="21">
        <f t="shared" si="9"/>
        <v>1.0799999999999983E-3</v>
      </c>
      <c r="C32" s="2">
        <v>3</v>
      </c>
      <c r="D32">
        <v>1</v>
      </c>
      <c r="E32" s="5" t="s">
        <v>45</v>
      </c>
      <c r="F32" s="2">
        <f t="shared" si="10"/>
        <v>7.50108</v>
      </c>
      <c r="G32" s="2">
        <f t="shared" si="29"/>
        <v>4.6458301935483872</v>
      </c>
      <c r="H32" s="2">
        <f t="shared" si="30"/>
        <v>3.6005183999999999</v>
      </c>
      <c r="I32" s="2">
        <f t="shared" si="23"/>
        <v>10.501512</v>
      </c>
      <c r="J32" s="2">
        <f t="shared" si="23"/>
        <v>0.90012959999999997</v>
      </c>
      <c r="K32" s="10">
        <f t="shared" si="24"/>
        <v>6.6018518518518521</v>
      </c>
      <c r="L32" s="10">
        <f t="shared" si="31"/>
        <v>4.9999999999999996E-2</v>
      </c>
      <c r="M32" s="10">
        <v>0</v>
      </c>
      <c r="N32" s="2">
        <f t="shared" si="25"/>
        <v>4.6458301935483872</v>
      </c>
      <c r="O32" s="2">
        <f t="shared" si="26"/>
        <v>80.837445367741935</v>
      </c>
      <c r="P32" s="2">
        <f t="shared" si="27"/>
        <v>134.72907561290322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5">
        <f t="shared" si="32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4">$G35*(1-(X$26*(1-$K35)))</f>
        <v>7.25327761904762</v>
      </c>
      <c r="Y32" s="2">
        <f t="shared" si="34"/>
        <v>8.7990580952380952</v>
      </c>
      <c r="Z32" s="2">
        <f t="shared" si="34"/>
        <v>10.344838571428571</v>
      </c>
      <c r="AA32" s="2">
        <f t="shared" si="34"/>
        <v>11.890619047619049</v>
      </c>
      <c r="AB32" s="2">
        <f t="shared" si="34"/>
        <v>13.436399523809525</v>
      </c>
      <c r="AC32" s="2">
        <f t="shared" si="34"/>
        <v>14.98218</v>
      </c>
      <c r="AD32" s="2">
        <f t="shared" si="34"/>
        <v>16.527960476190476</v>
      </c>
      <c r="AE32" s="2">
        <f t="shared" si="34"/>
        <v>18.073740952380952</v>
      </c>
      <c r="AF32" s="2">
        <f t="shared" si="34"/>
        <v>19.619521428571428</v>
      </c>
      <c r="AG32" s="2">
        <f t="shared" si="34"/>
        <v>21.165301904761904</v>
      </c>
      <c r="AH32" s="2">
        <f t="shared" si="34"/>
        <v>22.71108238095238</v>
      </c>
      <c r="AI32" s="2">
        <f t="shared" si="34"/>
        <v>24.256862857142856</v>
      </c>
      <c r="AJ32" s="2">
        <f t="shared" si="34"/>
        <v>25.802643333333336</v>
      </c>
      <c r="AK32" s="2">
        <f t="shared" si="34"/>
        <v>27.348423809523815</v>
      </c>
      <c r="AL32" s="2">
        <f t="shared" si="34"/>
        <v>28.894204285714292</v>
      </c>
      <c r="AM32" s="2">
        <f t="shared" si="34"/>
        <v>30.439984761904771</v>
      </c>
      <c r="AN32" s="2">
        <f t="shared" si="34"/>
        <v>31.985765238095247</v>
      </c>
      <c r="AO32" s="2">
        <f t="shared" si="34"/>
        <v>33.531545714285727</v>
      </c>
      <c r="AP32" s="2">
        <f t="shared" si="34"/>
        <v>35.077326190476199</v>
      </c>
    </row>
    <row r="33" spans="1:42" x14ac:dyDescent="0.25">
      <c r="A33" s="21">
        <f t="shared" si="9"/>
        <v>3.7080000000000002E-2</v>
      </c>
      <c r="C33" s="2">
        <v>4</v>
      </c>
      <c r="D33">
        <v>-1</v>
      </c>
      <c r="E33" s="5" t="s">
        <v>46</v>
      </c>
      <c r="F33" s="2">
        <f t="shared" si="10"/>
        <v>10.03708</v>
      </c>
      <c r="G33" s="2">
        <f t="shared" si="29"/>
        <v>8.0296640000000004</v>
      </c>
      <c r="H33" s="2">
        <f t="shared" si="30"/>
        <v>5.6207647999999999</v>
      </c>
      <c r="I33" s="2">
        <f t="shared" si="23"/>
        <v>13.048204</v>
      </c>
      <c r="J33" s="2">
        <f t="shared" si="23"/>
        <v>1.4051912</v>
      </c>
      <c r="K33" s="10">
        <f t="shared" si="24"/>
        <v>3.0833333333333335</v>
      </c>
      <c r="L33" s="10">
        <f t="shared" si="31"/>
        <v>6.6666666666666666E-2</v>
      </c>
      <c r="M33" s="10">
        <v>0</v>
      </c>
      <c r="N33" s="2">
        <f t="shared" si="25"/>
        <v>8.0296640000000004</v>
      </c>
      <c r="O33" s="2">
        <f t="shared" si="26"/>
        <v>31.947291219512195</v>
      </c>
      <c r="P33" s="2">
        <f t="shared" si="27"/>
        <v>53.245485365853654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5">
        <f t="shared" si="32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5">$G36*(1-(X$26*(1-$K36)))</f>
        <v>10.677571797333334</v>
      </c>
      <c r="Y33" s="2">
        <f t="shared" si="35"/>
        <v>11.733301674666667</v>
      </c>
      <c r="Z33" s="2">
        <f t="shared" si="35"/>
        <v>12.789031551999999</v>
      </c>
      <c r="AA33" s="2">
        <f t="shared" si="35"/>
        <v>13.844761429333333</v>
      </c>
      <c r="AB33" s="2">
        <f t="shared" si="35"/>
        <v>14.900491306666666</v>
      </c>
      <c r="AC33" s="2">
        <f t="shared" si="35"/>
        <v>15.956221183999999</v>
      </c>
      <c r="AD33" s="2">
        <f t="shared" si="35"/>
        <v>17.011951061333331</v>
      </c>
      <c r="AE33" s="2">
        <f t="shared" si="35"/>
        <v>18.067680938666665</v>
      </c>
      <c r="AF33" s="2">
        <f t="shared" si="35"/>
        <v>19.123410815999996</v>
      </c>
      <c r="AG33" s="2">
        <f t="shared" si="35"/>
        <v>20.179140693333331</v>
      </c>
      <c r="AH33" s="2">
        <f t="shared" si="35"/>
        <v>21.234870570666661</v>
      </c>
      <c r="AI33" s="2">
        <f t="shared" si="35"/>
        <v>22.290600447999996</v>
      </c>
      <c r="AJ33" s="2">
        <f t="shared" si="35"/>
        <v>23.346330325333334</v>
      </c>
      <c r="AK33" s="2">
        <f t="shared" si="35"/>
        <v>24.402060202666664</v>
      </c>
      <c r="AL33" s="2">
        <f t="shared" si="35"/>
        <v>25.457790079999999</v>
      </c>
      <c r="AM33" s="2">
        <f t="shared" si="35"/>
        <v>26.513519957333333</v>
      </c>
      <c r="AN33" s="2">
        <f t="shared" si="35"/>
        <v>27.569249834666667</v>
      </c>
      <c r="AO33" s="2">
        <f t="shared" si="35"/>
        <v>28.624979712000005</v>
      </c>
      <c r="AP33" s="2">
        <f t="shared" si="35"/>
        <v>29.680709589333336</v>
      </c>
    </row>
    <row r="34" spans="1:42" x14ac:dyDescent="0.25">
      <c r="A34" s="21">
        <f t="shared" si="9"/>
        <v>1.2600000000000009E-2</v>
      </c>
      <c r="C34" s="2">
        <v>4</v>
      </c>
      <c r="D34">
        <v>0</v>
      </c>
      <c r="E34" s="5" t="s">
        <v>47</v>
      </c>
      <c r="F34" s="2">
        <f t="shared" si="10"/>
        <v>10.012600000000001</v>
      </c>
      <c r="G34" s="2">
        <f t="shared" si="29"/>
        <v>6.8657828571428583</v>
      </c>
      <c r="H34" s="2">
        <f t="shared" si="30"/>
        <v>4.8060480000000005</v>
      </c>
      <c r="I34" s="2">
        <f t="shared" si="23"/>
        <v>14.01764</v>
      </c>
      <c r="J34" s="2">
        <f t="shared" si="23"/>
        <v>1.2015120000000001</v>
      </c>
      <c r="K34" s="10">
        <f t="shared" si="24"/>
        <v>4.4722222222222214</v>
      </c>
      <c r="L34" s="10">
        <f t="shared" si="31"/>
        <v>6.6666666666666666E-2</v>
      </c>
      <c r="M34" s="10">
        <v>0</v>
      </c>
      <c r="N34" s="2">
        <f t="shared" si="25"/>
        <v>6.8657828571428583</v>
      </c>
      <c r="O34" s="2">
        <f t="shared" si="26"/>
        <v>55.999041428571431</v>
      </c>
      <c r="P34" s="2">
        <f t="shared" si="27"/>
        <v>93.331735714285728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5">
        <f t="shared" si="32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6">$G37*(1-(X$26*(1-$K37)))</f>
        <v>9.4346917333333327</v>
      </c>
      <c r="Y34" s="2">
        <f t="shared" si="36"/>
        <v>10.868231466666666</v>
      </c>
      <c r="Z34" s="2">
        <f t="shared" si="36"/>
        <v>12.301771199999999</v>
      </c>
      <c r="AA34" s="2">
        <f t="shared" si="36"/>
        <v>13.735310933333333</v>
      </c>
      <c r="AB34" s="2">
        <f t="shared" si="36"/>
        <v>15.168850666666666</v>
      </c>
      <c r="AC34" s="2">
        <f t="shared" si="36"/>
        <v>16.602390400000001</v>
      </c>
      <c r="AD34" s="2">
        <f t="shared" si="36"/>
        <v>18.035930133333334</v>
      </c>
      <c r="AE34" s="2">
        <f t="shared" si="36"/>
        <v>19.469469866666667</v>
      </c>
      <c r="AF34" s="2">
        <f t="shared" si="36"/>
        <v>20.903009599999997</v>
      </c>
      <c r="AG34" s="2">
        <f t="shared" si="36"/>
        <v>22.336549333333334</v>
      </c>
      <c r="AH34" s="2">
        <f t="shared" si="36"/>
        <v>23.770089066666664</v>
      </c>
      <c r="AI34" s="2">
        <f t="shared" si="36"/>
        <v>25.203628800000001</v>
      </c>
      <c r="AJ34" s="2">
        <f t="shared" si="36"/>
        <v>26.637168533333334</v>
      </c>
      <c r="AK34" s="2">
        <f t="shared" si="36"/>
        <v>28.070708266666671</v>
      </c>
      <c r="AL34" s="2">
        <f t="shared" si="36"/>
        <v>29.504248000000004</v>
      </c>
      <c r="AM34" s="2">
        <f t="shared" si="36"/>
        <v>30.937787733333337</v>
      </c>
      <c r="AN34" s="2">
        <f t="shared" si="36"/>
        <v>32.371327466666671</v>
      </c>
      <c r="AO34" s="2">
        <f t="shared" si="36"/>
        <v>33.804867200000011</v>
      </c>
      <c r="AP34" s="2">
        <f t="shared" si="36"/>
        <v>35.238406933333344</v>
      </c>
    </row>
    <row r="35" spans="1:42" x14ac:dyDescent="0.25">
      <c r="A35" s="21">
        <f t="shared" si="9"/>
        <v>-1.1879999999999981E-2</v>
      </c>
      <c r="C35" s="2">
        <v>4</v>
      </c>
      <c r="D35">
        <v>1</v>
      </c>
      <c r="E35" s="5" t="s">
        <v>48</v>
      </c>
      <c r="F35" s="2">
        <f t="shared" si="10"/>
        <v>9.9881200000000003</v>
      </c>
      <c r="G35" s="2">
        <f t="shared" si="29"/>
        <v>5.707497142857143</v>
      </c>
      <c r="H35" s="2">
        <f t="shared" si="30"/>
        <v>3.9952479999999997</v>
      </c>
      <c r="I35" s="2">
        <f t="shared" si="23"/>
        <v>14.98218</v>
      </c>
      <c r="J35" s="2">
        <f t="shared" si="23"/>
        <v>0.99881199999999992</v>
      </c>
      <c r="K35" s="10">
        <f t="shared" si="24"/>
        <v>6.416666666666667</v>
      </c>
      <c r="L35" s="10">
        <f t="shared" si="31"/>
        <v>6.6666666666666666E-2</v>
      </c>
      <c r="M35" s="10">
        <v>0</v>
      </c>
      <c r="N35" s="2">
        <f t="shared" si="25"/>
        <v>5.7074971428571439</v>
      </c>
      <c r="O35" s="2">
        <f t="shared" si="26"/>
        <v>99.310450285714296</v>
      </c>
      <c r="P35" s="2">
        <f t="shared" si="27"/>
        <v>165.51741714285714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5">
        <f t="shared" si="32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7">$G38*(1-(X$26*(1-$K38)))</f>
        <v>8.1970117973333334</v>
      </c>
      <c r="Y35" s="2">
        <f t="shared" si="37"/>
        <v>10.006741674666667</v>
      </c>
      <c r="Z35" s="2">
        <f t="shared" si="37"/>
        <v>11.816471552000001</v>
      </c>
      <c r="AA35" s="2">
        <f t="shared" si="37"/>
        <v>13.626201429333335</v>
      </c>
      <c r="AB35" s="2">
        <f t="shared" si="37"/>
        <v>15.435931306666667</v>
      </c>
      <c r="AC35" s="2">
        <f t="shared" si="37"/>
        <v>17.245661183999999</v>
      </c>
      <c r="AD35" s="2">
        <f t="shared" si="37"/>
        <v>19.055391061333331</v>
      </c>
      <c r="AE35" s="2">
        <f t="shared" si="37"/>
        <v>20.865120938666667</v>
      </c>
      <c r="AF35" s="2">
        <f t="shared" si="37"/>
        <v>22.674850815999999</v>
      </c>
      <c r="AG35" s="2">
        <f t="shared" si="37"/>
        <v>24.484580693333331</v>
      </c>
      <c r="AH35" s="2">
        <f t="shared" si="37"/>
        <v>26.294310570666667</v>
      </c>
      <c r="AI35" s="2">
        <f t="shared" si="37"/>
        <v>28.104040447999999</v>
      </c>
      <c r="AJ35" s="2">
        <f t="shared" si="37"/>
        <v>29.913770325333331</v>
      </c>
      <c r="AK35" s="2">
        <f t="shared" si="37"/>
        <v>31.723500202666671</v>
      </c>
      <c r="AL35" s="2">
        <f t="shared" si="37"/>
        <v>33.53323008000001</v>
      </c>
      <c r="AM35" s="2">
        <f t="shared" si="37"/>
        <v>35.342959957333342</v>
      </c>
      <c r="AN35" s="2">
        <f t="shared" si="37"/>
        <v>37.152689834666681</v>
      </c>
      <c r="AO35" s="2">
        <f t="shared" si="37"/>
        <v>38.962419712000013</v>
      </c>
      <c r="AP35" s="2">
        <f t="shared" si="37"/>
        <v>40.772149589333353</v>
      </c>
    </row>
    <row r="36" spans="1:42" x14ac:dyDescent="0.25">
      <c r="A36" s="21">
        <f t="shared" si="9"/>
        <v>2.8440000000000014E-2</v>
      </c>
      <c r="C36" s="2">
        <v>5</v>
      </c>
      <c r="D36">
        <v>-1</v>
      </c>
      <c r="E36" s="5" t="s">
        <v>49</v>
      </c>
      <c r="F36" s="2">
        <f t="shared" si="10"/>
        <v>12.52844</v>
      </c>
      <c r="G36" s="2">
        <f t="shared" si="29"/>
        <v>9.6218419199999996</v>
      </c>
      <c r="H36" s="2">
        <f t="shared" si="30"/>
        <v>6.0136512</v>
      </c>
      <c r="I36" s="2">
        <f t="shared" si="23"/>
        <v>17.539815999999998</v>
      </c>
      <c r="J36" s="2">
        <f t="shared" si="23"/>
        <v>1.5034128</v>
      </c>
      <c r="K36" s="10">
        <f t="shared" si="24"/>
        <v>3.1944444444444442</v>
      </c>
      <c r="L36" s="10">
        <f t="shared" si="31"/>
        <v>8.3333333333333329E-2</v>
      </c>
      <c r="M36" s="10">
        <v>0</v>
      </c>
      <c r="N36" s="2">
        <f t="shared" si="25"/>
        <v>9.6218419199999996</v>
      </c>
      <c r="O36" s="2">
        <f t="shared" si="26"/>
        <v>38.282023492682924</v>
      </c>
      <c r="P36" s="2">
        <f t="shared" si="27"/>
        <v>63.803372487804879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5">
        <f t="shared" si="32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7.2575911904761901</v>
      </c>
      <c r="Y36" s="2">
        <f t="shared" ref="Y36:AP36" si="38">($G27*(1-(Y$26*(1-$K27))))/2</f>
        <v>8.8042909523809527</v>
      </c>
      <c r="Z36" s="2">
        <f t="shared" si="38"/>
        <v>10.350990714285714</v>
      </c>
      <c r="AA36" s="2">
        <f t="shared" si="38"/>
        <v>11.897690476190476</v>
      </c>
      <c r="AB36" s="2">
        <f t="shared" si="38"/>
        <v>13.444390238095236</v>
      </c>
      <c r="AC36" s="2">
        <f t="shared" si="38"/>
        <v>14.991090000000002</v>
      </c>
      <c r="AD36" s="2">
        <f t="shared" si="38"/>
        <v>16.537789761904762</v>
      </c>
      <c r="AE36" s="2">
        <f t="shared" si="38"/>
        <v>18.084489523809523</v>
      </c>
      <c r="AF36" s="2">
        <f t="shared" si="38"/>
        <v>19.631189285714285</v>
      </c>
      <c r="AG36" s="2">
        <f t="shared" si="38"/>
        <v>21.177889047619047</v>
      </c>
      <c r="AH36" s="2">
        <f t="shared" si="38"/>
        <v>22.724588809523809</v>
      </c>
      <c r="AI36" s="2">
        <f t="shared" si="38"/>
        <v>24.271288571428578</v>
      </c>
      <c r="AJ36" s="2">
        <f t="shared" si="38"/>
        <v>25.817988333333336</v>
      </c>
      <c r="AK36" s="2">
        <f t="shared" si="38"/>
        <v>27.364688095238098</v>
      </c>
      <c r="AL36" s="2">
        <f t="shared" si="38"/>
        <v>28.911387857142863</v>
      </c>
      <c r="AM36" s="2">
        <f t="shared" si="38"/>
        <v>30.458087619047625</v>
      </c>
      <c r="AN36" s="2">
        <f t="shared" si="38"/>
        <v>32.004787380952394</v>
      </c>
      <c r="AO36" s="2">
        <f t="shared" si="38"/>
        <v>33.551487142857155</v>
      </c>
      <c r="AP36" s="2">
        <f t="shared" si="38"/>
        <v>35.098186904761917</v>
      </c>
    </row>
    <row r="37" spans="1:42" x14ac:dyDescent="0.25">
      <c r="A37" s="21">
        <f t="shared" si="9"/>
        <v>1.8000000000000043E-3</v>
      </c>
      <c r="C37" s="2">
        <v>5</v>
      </c>
      <c r="D37">
        <v>0</v>
      </c>
      <c r="E37" s="5" t="s">
        <v>50</v>
      </c>
      <c r="F37" s="2">
        <f t="shared" si="10"/>
        <v>12.501799999999999</v>
      </c>
      <c r="G37" s="2">
        <f t="shared" si="29"/>
        <v>8.0011519999999994</v>
      </c>
      <c r="H37" s="2">
        <f t="shared" si="30"/>
        <v>5.0007199999999994</v>
      </c>
      <c r="I37" s="2">
        <f t="shared" si="23"/>
        <v>18.752699999999997</v>
      </c>
      <c r="J37" s="2">
        <f t="shared" si="23"/>
        <v>1.2501799999999998</v>
      </c>
      <c r="K37" s="10">
        <f t="shared" si="24"/>
        <v>4.5833333333333339</v>
      </c>
      <c r="L37" s="10">
        <f t="shared" si="31"/>
        <v>8.3333333333333329E-2</v>
      </c>
      <c r="M37" s="10">
        <v>0</v>
      </c>
      <c r="N37" s="2">
        <f t="shared" si="25"/>
        <v>8.0011519999999994</v>
      </c>
      <c r="O37" s="2">
        <f t="shared" si="26"/>
        <v>65.259395999999995</v>
      </c>
      <c r="P37" s="2">
        <f t="shared" si="27"/>
        <v>108.76565999999998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5">
        <f t="shared" si="32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8.2051725653333332</v>
      </c>
      <c r="Y37" s="2">
        <f t="shared" ref="Y37:AP37" si="39">($G28*(1-(Y$26*(1-$K28))))/2</f>
        <v>10.016704170666667</v>
      </c>
      <c r="Z37" s="2">
        <f t="shared" si="39"/>
        <v>11.828235776</v>
      </c>
      <c r="AA37" s="2">
        <f t="shared" si="39"/>
        <v>13.639767381333334</v>
      </c>
      <c r="AB37" s="2">
        <f t="shared" si="39"/>
        <v>15.451298986666666</v>
      </c>
      <c r="AC37" s="2">
        <f t="shared" si="39"/>
        <v>17.262830592</v>
      </c>
      <c r="AD37" s="2">
        <f t="shared" si="39"/>
        <v>19.074362197333333</v>
      </c>
      <c r="AE37" s="2">
        <f t="shared" si="39"/>
        <v>20.885893802666665</v>
      </c>
      <c r="AF37" s="2">
        <f t="shared" si="39"/>
        <v>22.697425407999997</v>
      </c>
      <c r="AG37" s="2">
        <f t="shared" si="39"/>
        <v>24.50895701333333</v>
      </c>
      <c r="AH37" s="2">
        <f t="shared" si="39"/>
        <v>26.320488618666666</v>
      </c>
      <c r="AI37" s="2">
        <f t="shared" si="39"/>
        <v>28.132020223999998</v>
      </c>
      <c r="AJ37" s="2">
        <f t="shared" si="39"/>
        <v>29.94355182933333</v>
      </c>
      <c r="AK37" s="2">
        <f t="shared" si="39"/>
        <v>31.75508343466667</v>
      </c>
      <c r="AL37" s="2">
        <f t="shared" si="39"/>
        <v>33.566615040000009</v>
      </c>
      <c r="AM37" s="2">
        <f t="shared" si="39"/>
        <v>35.378146645333338</v>
      </c>
      <c r="AN37" s="2">
        <f t="shared" si="39"/>
        <v>37.189678250666674</v>
      </c>
      <c r="AO37" s="2">
        <f t="shared" si="39"/>
        <v>39.00120985600001</v>
      </c>
      <c r="AP37" s="2">
        <f t="shared" si="39"/>
        <v>40.812741461333346</v>
      </c>
    </row>
    <row r="38" spans="1:42" x14ac:dyDescent="0.25">
      <c r="A38" s="21">
        <f t="shared" si="9"/>
        <v>-2.4840000000000004E-2</v>
      </c>
      <c r="C38" s="2">
        <v>5</v>
      </c>
      <c r="D38">
        <v>1</v>
      </c>
      <c r="E38" s="5" t="s">
        <v>51</v>
      </c>
      <c r="F38" s="2">
        <f t="shared" si="10"/>
        <v>12.475160000000001</v>
      </c>
      <c r="G38" s="2">
        <f t="shared" si="29"/>
        <v>6.3872819199999995</v>
      </c>
      <c r="H38" s="2">
        <f t="shared" si="30"/>
        <v>3.9920511999999997</v>
      </c>
      <c r="I38" s="2">
        <f t="shared" si="23"/>
        <v>19.960256000000001</v>
      </c>
      <c r="J38" s="2">
        <f t="shared" si="23"/>
        <v>0.99801279999999992</v>
      </c>
      <c r="K38" s="10">
        <f t="shared" si="24"/>
        <v>6.6666666666666679</v>
      </c>
      <c r="L38" s="10">
        <f t="shared" si="31"/>
        <v>8.3333333333333329E-2</v>
      </c>
      <c r="M38" s="10">
        <v>0</v>
      </c>
      <c r="N38" s="2">
        <f t="shared" si="25"/>
        <v>6.3872819199999995</v>
      </c>
      <c r="O38" s="2">
        <f t="shared" si="26"/>
        <v>111.13870540799998</v>
      </c>
      <c r="P38" s="2">
        <f t="shared" si="27"/>
        <v>185.23117567999998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5">
        <f t="shared" si="32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19.988119999999999</v>
      </c>
      <c r="G40" s="2">
        <f>IF(G$39=1,H40,H40/(1-INDEX($O$2:$O$6,C40)))</f>
        <v>42.831685714285719</v>
      </c>
      <c r="H40" s="2">
        <f>$F40*(INDEX($F$3:$F$5,H$39)+(($C40+($D40*$F$7))*INDEX($G$3:$G$5,H$39)))</f>
        <v>29.98218</v>
      </c>
      <c r="I40" s="2">
        <f t="shared" ref="I40:J41" si="40">$F40*(INDEX($F$3:$F$5,I$39)+(($C40+($D40*$F$7))*INDEX($G$3:$G$5,I$39)))</f>
        <v>7.9952479999999984</v>
      </c>
      <c r="J40" s="2">
        <f t="shared" si="40"/>
        <v>1.9988119999999996</v>
      </c>
      <c r="K40" s="10">
        <f t="shared" si="24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42.831685714285719</v>
      </c>
      <c r="O40" s="2">
        <f>0.75*(((G40*INDEX($R$1:$R$3,$D40+2))*Q40)/R40)</f>
        <v>848.06737714285725</v>
      </c>
      <c r="P40" s="2">
        <f>1.25*(((G40*INDEX($R$1:$R$3,$D40+2))*Q40)/R40)</f>
        <v>1413.4456285714286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24.975159999999999</v>
      </c>
      <c r="G41" s="2">
        <f>IF(G$39=1,H41,H41/(1-INDEX($O$2:$O$6,C41)))</f>
        <v>63.936409600000005</v>
      </c>
      <c r="H41" s="2">
        <f>$F41*(INDEX($F$3:$F$5,H$39)+(($C41+($D41*$F$7))*INDEX($G$3:$G$5,H$39)))</f>
        <v>39.960256000000001</v>
      </c>
      <c r="I41" s="2">
        <f t="shared" si="40"/>
        <v>7.9920511999999988</v>
      </c>
      <c r="J41" s="2">
        <f t="shared" si="40"/>
        <v>1.9980127999999997</v>
      </c>
      <c r="K41" s="10">
        <f t="shared" si="24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63.936409600000005</v>
      </c>
      <c r="O41" s="2">
        <f>0.75*(((G41*INDEX($R$1:$R$3,$D41+2))*Q41)/R41)</f>
        <v>1265.9409100799999</v>
      </c>
      <c r="P41" s="2">
        <f>1.25*(((G41*INDEX($R$1:$R$3,$D41+2))*Q41)/R41)</f>
        <v>2109.9015168000001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6.8040000000000003E-2</v>
      </c>
      <c r="C43" s="2">
        <v>3</v>
      </c>
      <c r="D43" s="2">
        <v>1</v>
      </c>
      <c r="E43" s="5" t="s">
        <v>56</v>
      </c>
      <c r="F43" s="2">
        <f t="shared" si="10"/>
        <v>7.5680399999999999</v>
      </c>
      <c r="G43" s="2">
        <f>IF(G$42=1,H43,H43/(1-INDEX($O$2:$O$6,C43)))</f>
        <v>4.687302193548387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41">$F43*(INDEX($F$3:$F$5,J$42)+(($C43+($D43*$F$7))*INDEX($G$3:$G$5,J$42)))</f>
        <v>10.595255999999999</v>
      </c>
      <c r="K43" s="10">
        <f>1-((1-(I43/G43))/INDEX($P$2:$P$6,C43))</f>
        <v>-2.5833333333333339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18.749208774193551</v>
      </c>
      <c r="O43" s="2">
        <f>0.75*(((G43*INDEX($R$1:$R$3,$D43+2))*Q43)/R43)</f>
        <v>61.735199622344616</v>
      </c>
      <c r="P43" s="2">
        <f>1.25*(((G43*INDEX($R$1:$R$3,$D43+2))*Q43)/R43)</f>
        <v>102.89199937057435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5.6880000000000007E-2</v>
      </c>
      <c r="C44" s="2">
        <v>3</v>
      </c>
      <c r="D44" s="2">
        <v>2</v>
      </c>
      <c r="E44" s="5" t="s">
        <v>57</v>
      </c>
      <c r="F44" s="2">
        <f t="shared" si="10"/>
        <v>7.5568799999999996</v>
      </c>
      <c r="G44" s="2">
        <f t="shared" ref="G44:G51" si="42">IF(G$42=1,H44,H44/(1-INDEX($O$2:$O$6,C44)))</f>
        <v>3.900325161290322</v>
      </c>
      <c r="H44" s="2">
        <f t="shared" ref="H44:H51" si="43">$F44*(INDEX($F$3:$F$5,H$42)+(($C44+($D44*$F$7))*INDEX($G$3:$G$5,H$42)))</f>
        <v>3.0227519999999997</v>
      </c>
      <c r="I44" s="2">
        <f t="shared" si="41"/>
        <v>0.75568799999999992</v>
      </c>
      <c r="J44" s="2">
        <f t="shared" si="41"/>
        <v>11.335319999999999</v>
      </c>
      <c r="K44" s="10">
        <f t="shared" si="24"/>
        <v>-2.5833333333333339</v>
      </c>
      <c r="L44" s="10">
        <f t="shared" ref="L44:L51" si="44">(INDEX($Q$2:$Q$6,C44)/((1/INDEX($F$4:$F$6,J$42))-1))</f>
        <v>1.7999999999999998</v>
      </c>
      <c r="M44" s="10">
        <v>0</v>
      </c>
      <c r="N44" s="2">
        <f t="shared" ref="N44:N51" si="45">((AVERAGE(O44,P44)*R44)/Q44)/INDEX($R$1:$R$3,D44)</f>
        <v>3.9003251612903216</v>
      </c>
      <c r="O44" s="2">
        <f>0.75*(((G44*INDEX($R$1:$R$3,$D44))*Q44)/R44)</f>
        <v>26.327194838709673</v>
      </c>
      <c r="P44" s="2">
        <f>1.25*(((G44*INDEX($R$1:$R$3,$D44))*Q44)/R44)</f>
        <v>43.878658064516117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5">
        <f t="shared" ref="S44:S51" si="46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4.5720000000000004E-2</v>
      </c>
      <c r="C45" s="2">
        <v>3</v>
      </c>
      <c r="D45" s="2">
        <v>3</v>
      </c>
      <c r="E45" s="5" t="s">
        <v>58</v>
      </c>
      <c r="F45" s="2">
        <f t="shared" si="10"/>
        <v>7.5457200000000002</v>
      </c>
      <c r="G45" s="2">
        <f t="shared" si="42"/>
        <v>3.1156521290322576</v>
      </c>
      <c r="H45" s="2">
        <f t="shared" si="43"/>
        <v>2.4146303999999996</v>
      </c>
      <c r="I45" s="2">
        <f t="shared" si="41"/>
        <v>0.60365759999999991</v>
      </c>
      <c r="J45" s="2">
        <f t="shared" si="41"/>
        <v>12.073152</v>
      </c>
      <c r="K45" s="10">
        <f>1-((1-(I45/G45))/INDEX($P$2:$P$6,C45))</f>
        <v>-2.5833333333333339</v>
      </c>
      <c r="L45" s="10">
        <f t="shared" si="44"/>
        <v>1.7999999999999998</v>
      </c>
      <c r="M45" s="10">
        <v>0</v>
      </c>
      <c r="N45" s="2">
        <f t="shared" si="45"/>
        <v>3.1156521290322576</v>
      </c>
      <c r="O45" s="2">
        <f t="shared" ref="O45:O51" si="47">0.75*(((G45*INDEX($R$1:$R$3,$D45))*Q45)/R45)</f>
        <v>44.865390658064513</v>
      </c>
      <c r="P45" s="2">
        <f>1.25*(((G45*INDEX($R$1:$R$3,$D45))*Q45)/R45)</f>
        <v>74.775651096774183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5">
        <f t="shared" si="46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6.1560000000000011E-2</v>
      </c>
      <c r="C46" s="2">
        <v>4</v>
      </c>
      <c r="D46" s="2">
        <v>1</v>
      </c>
      <c r="E46" s="5" t="s">
        <v>59</v>
      </c>
      <c r="F46" s="2">
        <f t="shared" si="10"/>
        <v>10.06156</v>
      </c>
      <c r="G46" s="2">
        <f t="shared" si="42"/>
        <v>5.7494628571428565</v>
      </c>
      <c r="H46" s="2">
        <f t="shared" si="43"/>
        <v>4.0246239999999993</v>
      </c>
      <c r="I46" s="2">
        <f t="shared" si="41"/>
        <v>1.0061559999999998</v>
      </c>
      <c r="J46" s="2">
        <f t="shared" si="41"/>
        <v>15.09234</v>
      </c>
      <c r="K46" s="10">
        <f t="shared" si="24"/>
        <v>-1.75</v>
      </c>
      <c r="L46" s="10">
        <f t="shared" si="44"/>
        <v>2.4</v>
      </c>
      <c r="M46" s="10">
        <v>0</v>
      </c>
      <c r="N46" s="2">
        <f t="shared" si="45"/>
        <v>5.7494628571428565</v>
      </c>
      <c r="O46" s="2">
        <f t="shared" si="47"/>
        <v>18.931158188153312</v>
      </c>
      <c r="P46" s="2">
        <f t="shared" ref="P46:P51" si="48">1.25*(((G46*INDEX($R$1:$R$3,$D46))*Q46)/R46)</f>
        <v>31.551930313588848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5">
        <f t="shared" si="46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4.9320000000000003E-2</v>
      </c>
      <c r="C47" s="2">
        <v>4</v>
      </c>
      <c r="D47" s="2">
        <v>2</v>
      </c>
      <c r="E47" s="5" t="s">
        <v>60</v>
      </c>
      <c r="F47" s="2">
        <f t="shared" si="10"/>
        <v>10.04932</v>
      </c>
      <c r="G47" s="2">
        <f t="shared" si="42"/>
        <v>4.5939748571428565</v>
      </c>
      <c r="H47" s="2">
        <f t="shared" si="43"/>
        <v>3.2157823999999993</v>
      </c>
      <c r="I47" s="2">
        <f t="shared" si="41"/>
        <v>0.80394559999999982</v>
      </c>
      <c r="J47" s="2">
        <f t="shared" si="41"/>
        <v>16.078911999999999</v>
      </c>
      <c r="K47" s="10">
        <f t="shared" si="24"/>
        <v>-1.75</v>
      </c>
      <c r="L47" s="10">
        <f t="shared" si="44"/>
        <v>2.4</v>
      </c>
      <c r="M47" s="10">
        <v>0</v>
      </c>
      <c r="N47" s="2">
        <f t="shared" si="45"/>
        <v>4.5939748571428565</v>
      </c>
      <c r="O47" s="2">
        <f t="shared" si="47"/>
        <v>31.009330285714277</v>
      </c>
      <c r="P47" s="2">
        <f t="shared" si="48"/>
        <v>51.682217142857134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5">
        <f t="shared" si="46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3.7080000000000002E-2</v>
      </c>
      <c r="C48" s="2">
        <v>4</v>
      </c>
      <c r="D48" s="2">
        <v>3</v>
      </c>
      <c r="E48" s="5" t="s">
        <v>61</v>
      </c>
      <c r="F48" s="2">
        <f t="shared" si="10"/>
        <v>10.03708</v>
      </c>
      <c r="G48" s="2">
        <f t="shared" si="42"/>
        <v>3.4412845714285716</v>
      </c>
      <c r="H48" s="2">
        <f t="shared" si="43"/>
        <v>2.4088992</v>
      </c>
      <c r="I48" s="2">
        <f t="shared" si="41"/>
        <v>0.6022248</v>
      </c>
      <c r="J48" s="2">
        <f t="shared" si="41"/>
        <v>17.063036</v>
      </c>
      <c r="K48" s="10">
        <f t="shared" si="24"/>
        <v>-1.75</v>
      </c>
      <c r="L48" s="10">
        <f t="shared" si="44"/>
        <v>2.4</v>
      </c>
      <c r="M48" s="10">
        <v>0</v>
      </c>
      <c r="N48" s="2">
        <f t="shared" si="45"/>
        <v>3.4412845714285716</v>
      </c>
      <c r="O48" s="2">
        <f t="shared" si="47"/>
        <v>49.554497828571435</v>
      </c>
      <c r="P48" s="2">
        <f t="shared" si="48"/>
        <v>82.590829714285718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5">
        <f t="shared" si="46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5.5079999999999997E-2</v>
      </c>
      <c r="C49" s="2">
        <v>5</v>
      </c>
      <c r="D49" s="2">
        <v>1</v>
      </c>
      <c r="E49" s="5" t="s">
        <v>62</v>
      </c>
      <c r="F49" s="2">
        <f t="shared" si="10"/>
        <v>12.55508</v>
      </c>
      <c r="G49" s="2">
        <f t="shared" si="42"/>
        <v>6.4282009599999999</v>
      </c>
      <c r="H49" s="2">
        <f t="shared" si="43"/>
        <v>4.0176255999999997</v>
      </c>
      <c r="I49" s="2">
        <f t="shared" si="41"/>
        <v>1.0044063999999999</v>
      </c>
      <c r="J49" s="2">
        <f t="shared" si="41"/>
        <v>20.088128000000001</v>
      </c>
      <c r="K49" s="10">
        <f t="shared" si="24"/>
        <v>-1.25</v>
      </c>
      <c r="L49" s="10">
        <f t="shared" si="44"/>
        <v>3</v>
      </c>
      <c r="M49" s="10">
        <v>0</v>
      </c>
      <c r="N49" s="2">
        <f t="shared" si="45"/>
        <v>6.4282009599999999</v>
      </c>
      <c r="O49" s="2">
        <f t="shared" si="47"/>
        <v>21.166027551219514</v>
      </c>
      <c r="P49" s="2">
        <f t="shared" si="48"/>
        <v>35.276712585365857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5">
        <f t="shared" si="46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4.1760000000000005E-2</v>
      </c>
      <c r="C50" s="2">
        <v>5</v>
      </c>
      <c r="D50" s="2">
        <v>2</v>
      </c>
      <c r="E50" s="5" t="s">
        <v>63</v>
      </c>
      <c r="F50" s="2">
        <f t="shared" si="10"/>
        <v>12.54176</v>
      </c>
      <c r="G50" s="2">
        <f t="shared" si="42"/>
        <v>4.8160358399999996</v>
      </c>
      <c r="H50" s="2">
        <f t="shared" si="43"/>
        <v>3.0100224</v>
      </c>
      <c r="I50" s="2">
        <f t="shared" si="41"/>
        <v>0.7525056</v>
      </c>
      <c r="J50" s="2">
        <f t="shared" si="41"/>
        <v>21.320992000000004</v>
      </c>
      <c r="K50" s="10">
        <f t="shared" si="24"/>
        <v>-1.25</v>
      </c>
      <c r="L50" s="10">
        <f t="shared" si="44"/>
        <v>3</v>
      </c>
      <c r="M50" s="10">
        <v>0</v>
      </c>
      <c r="N50" s="2">
        <f t="shared" si="45"/>
        <v>4.8160358399999996</v>
      </c>
      <c r="O50" s="2">
        <f t="shared" si="47"/>
        <v>32.508241919999996</v>
      </c>
      <c r="P50" s="2">
        <f t="shared" si="48"/>
        <v>54.180403199999994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5">
        <f t="shared" si="46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2.8440000000000014E-2</v>
      </c>
      <c r="C51" s="2">
        <v>5</v>
      </c>
      <c r="D51" s="2">
        <v>3</v>
      </c>
      <c r="E51" s="5" t="s">
        <v>64</v>
      </c>
      <c r="F51" s="2">
        <f t="shared" si="10"/>
        <v>12.52844</v>
      </c>
      <c r="G51" s="2">
        <f t="shared" si="42"/>
        <v>3.2072806399999982</v>
      </c>
      <c r="H51" s="2">
        <f t="shared" si="43"/>
        <v>2.004550399999999</v>
      </c>
      <c r="I51" s="2">
        <f t="shared" si="41"/>
        <v>0.50113759999999974</v>
      </c>
      <c r="J51" s="2">
        <f t="shared" si="41"/>
        <v>22.551192</v>
      </c>
      <c r="K51" s="10">
        <f>1-((1-(I51/G51))/INDEX($P$2:$P$6,C51))</f>
        <v>-1.25</v>
      </c>
      <c r="L51" s="10">
        <f t="shared" si="44"/>
        <v>3</v>
      </c>
      <c r="M51" s="10">
        <v>0</v>
      </c>
      <c r="N51" s="2">
        <f t="shared" si="45"/>
        <v>3.2072806399999978</v>
      </c>
      <c r="O51" s="2">
        <f t="shared" si="47"/>
        <v>46.184841215999974</v>
      </c>
      <c r="P51" s="2">
        <f t="shared" si="48"/>
        <v>76.974735359999954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5">
        <f t="shared" si="46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19.841239999999999</v>
      </c>
      <c r="G53" s="2">
        <f>IF(G$52=1,H53,H53/(1-INDEX($O$2:$O$6,C53)))</f>
        <v>29.761859999999999</v>
      </c>
      <c r="H53" s="2">
        <f>$F53*(INDEX($F$3:$F$5,H$9)+(($C53+($D53*$F$7))*INDEX($G$3:$G$5,H$9)))</f>
        <v>29.761859999999999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9">(AVERAGE(O53,P53)*R53)/Q53</f>
        <v>119.04744000000001</v>
      </c>
      <c r="O53" s="2">
        <f>0.75*(((G53*INDEX($R$1:$R$3,$D53+2))*Q53)/R53)</f>
        <v>634.39754210526314</v>
      </c>
      <c r="P53" s="2">
        <f>1.25*(((G53*INDEX($R$1:$R$3,$D53+2))*Q53)/R53)</f>
        <v>1057.3292368421053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5">
        <f>($S$52)*(1+(D53*$F$8))*(1+((C53-1)*$J$3))</f>
        <v>97.919999999999987</v>
      </c>
      <c r="T53" s="2">
        <f>INDEX($T$2:$T$6,C53)</f>
        <v>7.5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24.81532</v>
      </c>
      <c r="G54" s="2">
        <f>IF(G$52=1,H54,H54/(1-INDEX($O$2:$O$6,C54)))</f>
        <v>39.704512000000001</v>
      </c>
      <c r="H54" s="2">
        <f t="shared" ref="H54:J75" si="50">$F54*(INDEX($F$3:$F$5,H$9)+(($C54+($D54*$F$7))*INDEX($G$3:$G$5,H$9)))</f>
        <v>39.704512000000001</v>
      </c>
      <c r="I54" s="2">
        <f t="shared" si="50"/>
        <v>7.9409023999999988</v>
      </c>
      <c r="J54" s="2">
        <f t="shared" si="50"/>
        <v>1.9852255999999997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9"/>
        <v>158.81804799999998</v>
      </c>
      <c r="O54" s="2">
        <f>0.75*(((G54*INDEX($R$1:$R$3,$D54+2))*Q54)/R54)</f>
        <v>846.33301894736837</v>
      </c>
      <c r="P54" s="2">
        <f>1.25*(((G54*INDEX($R$1:$R$3,$D54+2))*Q54)/R54)</f>
        <v>1410.5550315789471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5">
        <f>($S$52)*(1+(D54*$F$8))*(1+((C54-1)*$J$3))</f>
        <v>106.56</v>
      </c>
      <c r="T54" s="2">
        <f>INDEX($T$2:$T$6,C54)</f>
        <v>10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1">1-((1-(I56/G56))/INDEX($P$2:$P$6,C56))</f>
        <v>-9.2500000000000018</v>
      </c>
      <c r="L56" s="10">
        <v>0</v>
      </c>
      <c r="M56" s="10">
        <v>1</v>
      </c>
      <c r="N56" s="2">
        <f t="shared" si="49"/>
        <v>2.1855135135135138</v>
      </c>
      <c r="O56" s="2">
        <f t="shared" ref="O56:O70" si="52">0.75*(((G56*INDEX($R$1:$R$3,$D56+2))*Q56)/R56)</f>
        <v>8.0878378378378386</v>
      </c>
      <c r="P56" s="2">
        <f t="shared" ref="P56:P70" si="53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4">IF(G$55=1,H57,H57/(1-INDEX($O$2:$O$6,C57)))</f>
        <v>1.8378378378378379</v>
      </c>
      <c r="H57" s="2">
        <f>$F57*(0.68-(0.12*$D57))</f>
        <v>1.7000000000000002</v>
      </c>
      <c r="I57" s="2">
        <f t="shared" ref="I57:I70" si="55">$F57*(0.32+(0.12*D57))</f>
        <v>0.8</v>
      </c>
      <c r="J57" s="2">
        <f t="shared" ref="J57:J70" si="56">F57</f>
        <v>2.5</v>
      </c>
      <c r="K57" s="10">
        <f t="shared" si="51"/>
        <v>-6.5294117647058822</v>
      </c>
      <c r="L57" s="10">
        <v>0</v>
      </c>
      <c r="M57" s="10">
        <v>1</v>
      </c>
      <c r="N57" s="2">
        <f t="shared" si="49"/>
        <v>3.6756756756756759</v>
      </c>
      <c r="O57" s="2">
        <f t="shared" si="52"/>
        <v>14.358108108108109</v>
      </c>
      <c r="P57" s="2">
        <f t="shared" si="53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5">
        <f t="shared" ref="S57:S69" si="57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4"/>
        <v>1.4971675675675675</v>
      </c>
      <c r="H58" s="2">
        <f t="shared" ref="H58:H70" si="58">$F58*(0.68-(0.12*$D58))</f>
        <v>1.3848800000000001</v>
      </c>
      <c r="I58" s="2">
        <f t="shared" si="55"/>
        <v>1.08812</v>
      </c>
      <c r="J58" s="2">
        <f t="shared" si="56"/>
        <v>2.4729999999999999</v>
      </c>
      <c r="K58" s="10">
        <f t="shared" si="51"/>
        <v>-2.6428571428571432</v>
      </c>
      <c r="L58" s="10">
        <v>0</v>
      </c>
      <c r="M58" s="10">
        <v>1</v>
      </c>
      <c r="N58" s="2">
        <f t="shared" si="49"/>
        <v>5.9886702702702701</v>
      </c>
      <c r="O58" s="2">
        <f t="shared" si="52"/>
        <v>25.139007664380795</v>
      </c>
      <c r="P58" s="2">
        <f t="shared" si="53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5">
        <f t="shared" si="57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1.4039999999999978E-2</v>
      </c>
      <c r="C59" s="2">
        <v>2</v>
      </c>
      <c r="D59" s="2">
        <v>-1</v>
      </c>
      <c r="E59" s="16" t="s">
        <v>72</v>
      </c>
      <c r="F59" s="2">
        <f t="shared" si="10"/>
        <v>5.0140399999999996</v>
      </c>
      <c r="G59" s="2">
        <f t="shared" si="54"/>
        <v>4.7190964705882354</v>
      </c>
      <c r="H59" s="2">
        <f t="shared" si="58"/>
        <v>4.0112319999999997</v>
      </c>
      <c r="I59" s="2">
        <f t="shared" si="55"/>
        <v>1.0028079999999999</v>
      </c>
      <c r="J59" s="2">
        <f t="shared" si="56"/>
        <v>5.0140399999999996</v>
      </c>
      <c r="K59" s="10">
        <f t="shared" si="51"/>
        <v>-4.2500000000000009</v>
      </c>
      <c r="L59" s="10">
        <v>0</v>
      </c>
      <c r="M59" s="10">
        <v>1</v>
      </c>
      <c r="N59" s="2">
        <f t="shared" si="49"/>
        <v>4.7190964705882354</v>
      </c>
      <c r="O59" s="2">
        <f t="shared" si="52"/>
        <v>17.46376160990712</v>
      </c>
      <c r="P59" s="2">
        <f t="shared" si="53"/>
        <v>29.106269349845203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5">
        <f t="shared" si="57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-1.6200000000000016E-2</v>
      </c>
      <c r="C60" s="2">
        <v>2</v>
      </c>
      <c r="D60" s="2">
        <v>0</v>
      </c>
      <c r="E60" s="16" t="s">
        <v>73</v>
      </c>
      <c r="F60" s="2">
        <f t="shared" si="10"/>
        <v>4.9837999999999996</v>
      </c>
      <c r="G60" s="2">
        <f t="shared" si="54"/>
        <v>3.9870399999999999</v>
      </c>
      <c r="H60" s="2">
        <f t="shared" si="58"/>
        <v>3.3889839999999998</v>
      </c>
      <c r="I60" s="2">
        <f t="shared" si="55"/>
        <v>1.5948159999999998</v>
      </c>
      <c r="J60" s="2">
        <f t="shared" si="56"/>
        <v>4.9837999999999996</v>
      </c>
      <c r="K60" s="10">
        <f t="shared" si="51"/>
        <v>-3.0000000000000009</v>
      </c>
      <c r="L60" s="10">
        <v>0</v>
      </c>
      <c r="M60" s="10">
        <v>1</v>
      </c>
      <c r="N60" s="2">
        <f t="shared" si="49"/>
        <v>7.9740799999999998</v>
      </c>
      <c r="O60" s="2">
        <f t="shared" si="52"/>
        <v>31.14875</v>
      </c>
      <c r="P60" s="2">
        <f t="shared" si="53"/>
        <v>51.914583333333333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5">
        <f t="shared" si="57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-4.6440000000000016E-2</v>
      </c>
      <c r="C61" s="2">
        <v>2</v>
      </c>
      <c r="D61" s="2">
        <v>1</v>
      </c>
      <c r="E61" s="16" t="s">
        <v>74</v>
      </c>
      <c r="F61" s="2">
        <f t="shared" si="10"/>
        <v>4.9535600000000004</v>
      </c>
      <c r="G61" s="2">
        <f t="shared" si="54"/>
        <v>3.2635218823529417</v>
      </c>
      <c r="H61" s="2">
        <f t="shared" si="58"/>
        <v>2.7739936000000003</v>
      </c>
      <c r="I61" s="2">
        <f t="shared" si="55"/>
        <v>2.1795664000000001</v>
      </c>
      <c r="J61" s="2">
        <f t="shared" si="56"/>
        <v>4.9535600000000004</v>
      </c>
      <c r="K61" s="10">
        <f t="shared" si="51"/>
        <v>-1.2142857142857149</v>
      </c>
      <c r="L61" s="10">
        <v>0</v>
      </c>
      <c r="M61" s="10">
        <v>1</v>
      </c>
      <c r="N61" s="2">
        <f t="shared" si="49"/>
        <v>13.054087529411767</v>
      </c>
      <c r="O61" s="2">
        <f t="shared" si="52"/>
        <v>54.797942054433719</v>
      </c>
      <c r="P61" s="2">
        <f t="shared" si="53"/>
        <v>91.329903424056198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5">
        <f t="shared" si="57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1.0799999999999983E-3</v>
      </c>
      <c r="C62" s="2">
        <v>3</v>
      </c>
      <c r="D62" s="2">
        <v>-1</v>
      </c>
      <c r="E62" s="16" t="s">
        <v>75</v>
      </c>
      <c r="F62" s="2">
        <f t="shared" si="10"/>
        <v>7.50108</v>
      </c>
      <c r="G62" s="2">
        <f t="shared" si="54"/>
        <v>7.7430503225806451</v>
      </c>
      <c r="H62" s="2">
        <f t="shared" si="58"/>
        <v>6.000864</v>
      </c>
      <c r="I62" s="2">
        <f t="shared" si="55"/>
        <v>1.500216</v>
      </c>
      <c r="J62" s="2">
        <f t="shared" si="56"/>
        <v>7.50108</v>
      </c>
      <c r="K62" s="10">
        <f t="shared" si="51"/>
        <v>-2.5833333333333339</v>
      </c>
      <c r="L62" s="10">
        <v>0</v>
      </c>
      <c r="M62" s="10">
        <v>1</v>
      </c>
      <c r="N62" s="2">
        <f t="shared" si="49"/>
        <v>7.7430503225806451</v>
      </c>
      <c r="O62" s="2">
        <f t="shared" si="52"/>
        <v>28.654380305602718</v>
      </c>
      <c r="P62" s="2">
        <f t="shared" si="53"/>
        <v>47.757300509337867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5">
        <f t="shared" si="57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-3.2399999999999991E-2</v>
      </c>
      <c r="C63" s="2">
        <v>3</v>
      </c>
      <c r="D63" s="2">
        <v>0</v>
      </c>
      <c r="E63" s="16" t="s">
        <v>76</v>
      </c>
      <c r="F63" s="2">
        <f t="shared" si="10"/>
        <v>7.4676</v>
      </c>
      <c r="G63" s="2">
        <f t="shared" si="54"/>
        <v>6.5522167741935489</v>
      </c>
      <c r="H63" s="2">
        <f t="shared" si="58"/>
        <v>5.0779680000000003</v>
      </c>
      <c r="I63" s="2">
        <f t="shared" si="55"/>
        <v>2.3896320000000002</v>
      </c>
      <c r="J63" s="2">
        <f t="shared" si="56"/>
        <v>7.4676</v>
      </c>
      <c r="K63" s="10">
        <f t="shared" si="51"/>
        <v>-1.8235294117647061</v>
      </c>
      <c r="L63" s="10">
        <v>0</v>
      </c>
      <c r="M63" s="10">
        <v>1</v>
      </c>
      <c r="N63" s="2">
        <f t="shared" si="49"/>
        <v>13.104433548387096</v>
      </c>
      <c r="O63" s="2">
        <f t="shared" si="52"/>
        <v>51.189193548387095</v>
      </c>
      <c r="P63" s="2">
        <f t="shared" si="53"/>
        <v>85.315322580645159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5">
        <f t="shared" si="57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-6.587999999999998E-2</v>
      </c>
      <c r="C64" s="2">
        <v>3</v>
      </c>
      <c r="D64" s="2">
        <v>1</v>
      </c>
      <c r="E64" s="16" t="s">
        <v>77</v>
      </c>
      <c r="F64" s="2">
        <f t="shared" si="10"/>
        <v>7.4341200000000001</v>
      </c>
      <c r="G64" s="2">
        <f t="shared" si="54"/>
        <v>5.3717512258064524</v>
      </c>
      <c r="H64" s="2">
        <f t="shared" si="58"/>
        <v>4.1631072000000007</v>
      </c>
      <c r="I64" s="2">
        <f t="shared" si="55"/>
        <v>3.2710127999999998</v>
      </c>
      <c r="J64" s="2">
        <f t="shared" si="56"/>
        <v>7.4341200000000001</v>
      </c>
      <c r="K64" s="10">
        <f t="shared" si="51"/>
        <v>-0.73809523809523903</v>
      </c>
      <c r="L64" s="10">
        <v>0</v>
      </c>
      <c r="M64" s="10">
        <v>1</v>
      </c>
      <c r="N64" s="2">
        <f t="shared" si="49"/>
        <v>21.487004903225809</v>
      </c>
      <c r="O64" s="2">
        <f t="shared" si="52"/>
        <v>90.197315358690432</v>
      </c>
      <c r="P64" s="2">
        <f t="shared" si="53"/>
        <v>150.32885893115071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5">
        <f t="shared" si="57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-1.1879999999999981E-2</v>
      </c>
      <c r="C65" s="2">
        <v>4</v>
      </c>
      <c r="D65" s="2">
        <v>-1</v>
      </c>
      <c r="E65" s="16" t="s">
        <v>78</v>
      </c>
      <c r="F65" s="2">
        <f t="shared" si="10"/>
        <v>9.9881200000000003</v>
      </c>
      <c r="G65" s="2">
        <f t="shared" si="54"/>
        <v>11.414994285714286</v>
      </c>
      <c r="H65" s="2">
        <f t="shared" si="58"/>
        <v>7.9904960000000003</v>
      </c>
      <c r="I65" s="2">
        <f t="shared" si="55"/>
        <v>1.9976240000000001</v>
      </c>
      <c r="J65" s="2">
        <f t="shared" si="56"/>
        <v>9.9881200000000003</v>
      </c>
      <c r="K65" s="10">
        <f t="shared" si="51"/>
        <v>-1.75</v>
      </c>
      <c r="L65" s="10">
        <v>0</v>
      </c>
      <c r="M65" s="10">
        <v>1</v>
      </c>
      <c r="N65" s="2">
        <f t="shared" si="49"/>
        <v>11.414994285714284</v>
      </c>
      <c r="O65" s="2">
        <f t="shared" si="52"/>
        <v>42.242988721804515</v>
      </c>
      <c r="P65" s="2">
        <f t="shared" si="53"/>
        <v>70.404981203007523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5">
        <f t="shared" si="57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-4.859999999999999E-2</v>
      </c>
      <c r="C66" s="2">
        <v>4</v>
      </c>
      <c r="D66" s="2">
        <v>0</v>
      </c>
      <c r="E66" s="16" t="s">
        <v>79</v>
      </c>
      <c r="F66" s="2">
        <f t="shared" si="10"/>
        <v>9.9513999999999996</v>
      </c>
      <c r="G66" s="2">
        <f t="shared" si="54"/>
        <v>9.6670742857142855</v>
      </c>
      <c r="H66" s="2">
        <f t="shared" si="58"/>
        <v>6.7669519999999999</v>
      </c>
      <c r="I66" s="2">
        <f t="shared" si="55"/>
        <v>3.1844479999999997</v>
      </c>
      <c r="J66" s="2">
        <f t="shared" si="56"/>
        <v>9.9513999999999996</v>
      </c>
      <c r="K66" s="10">
        <f t="shared" si="51"/>
        <v>-1.2352941176470593</v>
      </c>
      <c r="L66" s="10">
        <v>0</v>
      </c>
      <c r="M66" s="10">
        <v>1</v>
      </c>
      <c r="N66" s="2">
        <f t="shared" si="49"/>
        <v>19.334148571428571</v>
      </c>
      <c r="O66" s="2">
        <f t="shared" si="52"/>
        <v>75.524017857142866</v>
      </c>
      <c r="P66" s="2">
        <f t="shared" si="53"/>
        <v>125.87336309523809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5">
        <f t="shared" si="57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-8.5319999999999993E-2</v>
      </c>
      <c r="C67" s="2">
        <v>4</v>
      </c>
      <c r="D67" s="2">
        <v>1</v>
      </c>
      <c r="E67" s="16" t="s">
        <v>80</v>
      </c>
      <c r="F67" s="2">
        <f t="shared" si="10"/>
        <v>9.9146800000000006</v>
      </c>
      <c r="G67" s="2">
        <f t="shared" si="54"/>
        <v>7.931744000000001</v>
      </c>
      <c r="H67" s="2">
        <f t="shared" si="58"/>
        <v>5.5522208000000006</v>
      </c>
      <c r="I67" s="2">
        <f t="shared" si="55"/>
        <v>4.3624592</v>
      </c>
      <c r="J67" s="2">
        <f t="shared" si="56"/>
        <v>9.9146800000000006</v>
      </c>
      <c r="K67" s="10">
        <f t="shared" si="51"/>
        <v>-0.50000000000000022</v>
      </c>
      <c r="L67" s="10">
        <v>0</v>
      </c>
      <c r="M67" s="10">
        <v>1</v>
      </c>
      <c r="N67" s="2">
        <f t="shared" si="49"/>
        <v>31.726976000000004</v>
      </c>
      <c r="O67" s="2">
        <f t="shared" si="52"/>
        <v>133.18226865671642</v>
      </c>
      <c r="P67" s="2">
        <f t="shared" si="53"/>
        <v>221.97044776119407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5">
        <f t="shared" si="57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-2.4840000000000004E-2</v>
      </c>
      <c r="C68" s="2">
        <v>5</v>
      </c>
      <c r="D68" s="2">
        <v>-1</v>
      </c>
      <c r="E68" s="16" t="s">
        <v>81</v>
      </c>
      <c r="F68" s="2">
        <f t="shared" si="10"/>
        <v>12.475160000000001</v>
      </c>
      <c r="G68" s="2">
        <f t="shared" si="54"/>
        <v>15.968204800000001</v>
      </c>
      <c r="H68" s="2">
        <f t="shared" si="58"/>
        <v>9.9801280000000006</v>
      </c>
      <c r="I68" s="2">
        <f t="shared" si="55"/>
        <v>2.4950320000000001</v>
      </c>
      <c r="J68" s="2">
        <f t="shared" si="56"/>
        <v>12.475160000000001</v>
      </c>
      <c r="K68" s="10">
        <f t="shared" si="51"/>
        <v>-1.25</v>
      </c>
      <c r="L68" s="10">
        <v>0</v>
      </c>
      <c r="M68" s="10">
        <v>1</v>
      </c>
      <c r="N68" s="2">
        <f t="shared" si="49"/>
        <v>15.968204800000001</v>
      </c>
      <c r="O68" s="2">
        <f t="shared" si="52"/>
        <v>59.09286315789474</v>
      </c>
      <c r="P68" s="2">
        <f t="shared" si="53"/>
        <v>98.488105263157891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5">
        <f t="shared" si="57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-6.4799999999999983E-2</v>
      </c>
      <c r="C69" s="2">
        <v>5</v>
      </c>
      <c r="D69" s="2">
        <v>0</v>
      </c>
      <c r="E69" s="16" t="s">
        <v>82</v>
      </c>
      <c r="F69" s="2">
        <f t="shared" si="10"/>
        <v>12.4352</v>
      </c>
      <c r="G69" s="2">
        <f t="shared" si="54"/>
        <v>13.529497600000003</v>
      </c>
      <c r="H69" s="2">
        <f>$F69*(0.68-(0.12*$D69))</f>
        <v>8.4559360000000012</v>
      </c>
      <c r="I69" s="2">
        <f t="shared" si="55"/>
        <v>3.9792640000000001</v>
      </c>
      <c r="J69" s="2">
        <f t="shared" si="56"/>
        <v>12.4352</v>
      </c>
      <c r="K69" s="10">
        <f t="shared" si="51"/>
        <v>-0.88235294117647078</v>
      </c>
      <c r="L69" s="10">
        <v>0</v>
      </c>
      <c r="M69" s="10">
        <v>1</v>
      </c>
      <c r="N69" s="2">
        <f t="shared" si="49"/>
        <v>27.058995200000005</v>
      </c>
      <c r="O69" s="2">
        <f t="shared" si="52"/>
        <v>105.69920000000002</v>
      </c>
      <c r="P69" s="2">
        <f t="shared" si="53"/>
        <v>176.16533333333336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5">
        <f t="shared" si="57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-0.10476000000000001</v>
      </c>
      <c r="C70" s="2">
        <v>5</v>
      </c>
      <c r="D70" s="2">
        <v>1</v>
      </c>
      <c r="E70" s="16" t="s">
        <v>83</v>
      </c>
      <c r="F70" s="2">
        <f t="shared" si="10"/>
        <v>12.395239999999999</v>
      </c>
      <c r="G70" s="2">
        <f t="shared" si="54"/>
        <v>11.106135040000002</v>
      </c>
      <c r="H70" s="2">
        <f t="shared" si="58"/>
        <v>6.9413344000000006</v>
      </c>
      <c r="I70" s="2">
        <f t="shared" si="55"/>
        <v>5.4539055999999997</v>
      </c>
      <c r="J70" s="2">
        <f t="shared" si="56"/>
        <v>12.395239999999999</v>
      </c>
      <c r="K70" s="10">
        <f t="shared" si="51"/>
        <v>-0.35714285714285743</v>
      </c>
      <c r="L70" s="10">
        <v>0</v>
      </c>
      <c r="M70" s="10">
        <v>1</v>
      </c>
      <c r="N70" s="2">
        <f t="shared" si="49"/>
        <v>44.424540160000006</v>
      </c>
      <c r="O70" s="2">
        <f t="shared" si="52"/>
        <v>186.48361074626865</v>
      </c>
      <c r="P70" s="2">
        <f t="shared" si="53"/>
        <v>310.80601791044779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14"/>
    </row>
    <row r="72" spans="1:21" x14ac:dyDescent="0.25">
      <c r="A72" s="21">
        <f t="shared" si="9"/>
        <v>-0.15875999999999996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9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50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5">
        <f>($S$71)*(1+(D72*$F$8))*(1+((C72-1)*$J$3))</f>
        <v>97.919999999999987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-0.18468000000000001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50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9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5">
        <f>($S$71)*(1+(D73*$F$8))*(1+((C73-1)*$J$3))</f>
        <v>106.56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1.0799999999999983E-3</v>
      </c>
      <c r="C75" s="2">
        <v>3</v>
      </c>
      <c r="D75" s="2">
        <v>-1</v>
      </c>
      <c r="E75" s="16" t="s">
        <v>88</v>
      </c>
      <c r="F75" s="2">
        <f t="shared" si="59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50"/>
        <v>1.2</v>
      </c>
      <c r="K75" s="10">
        <f t="shared" si="24"/>
        <v>0.93939393939393978</v>
      </c>
      <c r="L75" s="10">
        <v>0</v>
      </c>
      <c r="M75" s="10">
        <v>1</v>
      </c>
      <c r="N75" s="2">
        <f t="shared" si="49"/>
        <v>4.258064516129032</v>
      </c>
      <c r="O75" s="2">
        <f t="shared" ref="O75:O83" si="60">0.75*(((G75*INDEX($R$1:$R$3,$D75+2))*Q75)/R75)</f>
        <v>12.267899291896143</v>
      </c>
      <c r="P75" s="2">
        <f t="shared" ref="P75:P83" si="61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2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3">($F$2+(C76*$F$1))*(B76+1)</f>
        <v>7.5</v>
      </c>
      <c r="G76" s="2">
        <f t="shared" ref="G76:G83" si="64">IF(G$74=1,H76,H76/(1-INDEX($O$2:$O$6,C76)))</f>
        <v>3.096774193548387</v>
      </c>
      <c r="H76" s="2">
        <f t="shared" ref="H76:H83" si="65">$F76*(0.32-(0.12*$D76))</f>
        <v>2.4</v>
      </c>
      <c r="I76" s="2">
        <f t="shared" ref="I76:I83" si="66">$F76*(0.68+(0.12*D76))</f>
        <v>5.1000000000000005</v>
      </c>
      <c r="J76" s="2">
        <f t="shared" ref="H76:J86" si="67">$F76*(INDEX($F$3:$F$5,J$9)+(($C76+($D76*$F$7))*INDEX($G$3:$G$5,J$9)))</f>
        <v>1.05</v>
      </c>
      <c r="K76" s="10">
        <f t="shared" si="24"/>
        <v>3.8750000000000018</v>
      </c>
      <c r="L76" s="10">
        <v>0</v>
      </c>
      <c r="M76" s="10">
        <v>1</v>
      </c>
      <c r="N76" s="2">
        <f t="shared" si="49"/>
        <v>6.193548387096774</v>
      </c>
      <c r="O76" s="2">
        <f t="shared" si="60"/>
        <v>18.29032258064516</v>
      </c>
      <c r="P76" s="2">
        <f t="shared" si="61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5">
        <f t="shared" ref="S76:S83" si="68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2"/>
        <v>-6.587999999999998E-2</v>
      </c>
      <c r="C77" s="2">
        <v>3</v>
      </c>
      <c r="D77" s="2">
        <v>1</v>
      </c>
      <c r="E77" s="16" t="s">
        <v>90</v>
      </c>
      <c r="F77" s="2">
        <f t="shared" si="63"/>
        <v>7.5</v>
      </c>
      <c r="G77" s="2">
        <f t="shared" si="64"/>
        <v>1.9354838709677418</v>
      </c>
      <c r="H77" s="2">
        <f t="shared" si="65"/>
        <v>1.5</v>
      </c>
      <c r="I77" s="2">
        <f t="shared" si="66"/>
        <v>6</v>
      </c>
      <c r="J77" s="2">
        <f t="shared" si="67"/>
        <v>0.89999999999999991</v>
      </c>
      <c r="K77" s="10">
        <f t="shared" si="24"/>
        <v>10.333333333333334</v>
      </c>
      <c r="L77" s="10">
        <v>0</v>
      </c>
      <c r="M77" s="10">
        <v>1</v>
      </c>
      <c r="N77" s="2">
        <f t="shared" si="49"/>
        <v>7.7419354838709671</v>
      </c>
      <c r="O77" s="2">
        <f t="shared" si="60"/>
        <v>24.387096774193544</v>
      </c>
      <c r="P77" s="2">
        <f t="shared" si="61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5">
        <f t="shared" si="68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2"/>
        <v>-1.1879999999999981E-2</v>
      </c>
      <c r="C78" s="2">
        <v>4</v>
      </c>
      <c r="D78" s="2">
        <v>-1</v>
      </c>
      <c r="E78" s="16" t="s">
        <v>91</v>
      </c>
      <c r="F78" s="2">
        <f t="shared" si="63"/>
        <v>10</v>
      </c>
      <c r="G78" s="2">
        <f t="shared" si="64"/>
        <v>6.2857142857142865</v>
      </c>
      <c r="H78" s="2">
        <f t="shared" si="65"/>
        <v>4.4000000000000004</v>
      </c>
      <c r="I78" s="2">
        <f t="shared" si="66"/>
        <v>5.6000000000000005</v>
      </c>
      <c r="J78" s="2">
        <f t="shared" si="67"/>
        <v>1.4000000000000001</v>
      </c>
      <c r="K78" s="10">
        <f t="shared" si="24"/>
        <v>0.63636363636363624</v>
      </c>
      <c r="L78" s="10">
        <v>0</v>
      </c>
      <c r="M78" s="10">
        <v>1</v>
      </c>
      <c r="N78" s="2">
        <f t="shared" si="49"/>
        <v>6.2857142857142865</v>
      </c>
      <c r="O78" s="2">
        <f t="shared" si="60"/>
        <v>18.109756097560975</v>
      </c>
      <c r="P78" s="2">
        <f t="shared" si="61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5">
        <f t="shared" si="68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2"/>
        <v>-4.859999999999999E-2</v>
      </c>
      <c r="C79" s="2">
        <v>4</v>
      </c>
      <c r="D79" s="2">
        <v>0</v>
      </c>
      <c r="E79" s="16" t="s">
        <v>92</v>
      </c>
      <c r="F79" s="2">
        <f t="shared" si="63"/>
        <v>10</v>
      </c>
      <c r="G79" s="2">
        <f t="shared" si="64"/>
        <v>4.5714285714285721</v>
      </c>
      <c r="H79" s="2">
        <f t="shared" si="65"/>
        <v>3.2</v>
      </c>
      <c r="I79" s="2">
        <f t="shared" si="66"/>
        <v>6.8000000000000007</v>
      </c>
      <c r="J79" s="2">
        <f t="shared" si="67"/>
        <v>1.2</v>
      </c>
      <c r="K79" s="10">
        <f t="shared" si="24"/>
        <v>2.625</v>
      </c>
      <c r="L79" s="10">
        <v>0</v>
      </c>
      <c r="M79" s="10">
        <v>1</v>
      </c>
      <c r="N79" s="2">
        <f t="shared" si="49"/>
        <v>9.1428571428571441</v>
      </c>
      <c r="O79" s="2">
        <f t="shared" si="60"/>
        <v>27</v>
      </c>
      <c r="P79" s="2">
        <f t="shared" si="61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5">
        <f t="shared" si="68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2"/>
        <v>-8.5319999999999993E-2</v>
      </c>
      <c r="C80" s="2">
        <v>4</v>
      </c>
      <c r="D80" s="2">
        <v>1</v>
      </c>
      <c r="E80" s="16" t="s">
        <v>93</v>
      </c>
      <c r="F80" s="2">
        <f t="shared" si="63"/>
        <v>10</v>
      </c>
      <c r="G80" s="2">
        <f t="shared" si="64"/>
        <v>2.8571428571428572</v>
      </c>
      <c r="H80" s="2">
        <f t="shared" si="65"/>
        <v>2</v>
      </c>
      <c r="I80" s="2">
        <f t="shared" si="66"/>
        <v>8</v>
      </c>
      <c r="J80" s="2">
        <f t="shared" si="67"/>
        <v>0.99999999999999989</v>
      </c>
      <c r="K80" s="10">
        <f t="shared" si="24"/>
        <v>7</v>
      </c>
      <c r="L80" s="10">
        <v>0</v>
      </c>
      <c r="M80" s="10">
        <v>1</v>
      </c>
      <c r="N80" s="2">
        <f t="shared" si="49"/>
        <v>11.428571428571429</v>
      </c>
      <c r="O80" s="2">
        <f t="shared" si="60"/>
        <v>36</v>
      </c>
      <c r="P80" s="2">
        <f t="shared" si="61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5">
        <f t="shared" si="68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2"/>
        <v>-2.4840000000000004E-2</v>
      </c>
      <c r="C81" s="2">
        <v>5</v>
      </c>
      <c r="D81" s="2">
        <v>-1</v>
      </c>
      <c r="E81" s="16" t="s">
        <v>94</v>
      </c>
      <c r="F81" s="2">
        <f t="shared" si="63"/>
        <v>12.5</v>
      </c>
      <c r="G81" s="2">
        <f t="shared" si="64"/>
        <v>8.8000000000000007</v>
      </c>
      <c r="H81" s="2">
        <f t="shared" si="65"/>
        <v>5.5</v>
      </c>
      <c r="I81" s="2">
        <f t="shared" si="66"/>
        <v>7.0000000000000009</v>
      </c>
      <c r="J81" s="2">
        <f t="shared" si="67"/>
        <v>1.5</v>
      </c>
      <c r="K81" s="10">
        <f t="shared" si="24"/>
        <v>0.4545454545454547</v>
      </c>
      <c r="L81" s="10">
        <v>0</v>
      </c>
      <c r="M81" s="10">
        <v>1</v>
      </c>
      <c r="N81" s="2">
        <f t="shared" si="49"/>
        <v>8.8000000000000007</v>
      </c>
      <c r="O81" s="2">
        <f t="shared" si="60"/>
        <v>25.353658536585371</v>
      </c>
      <c r="P81" s="2">
        <f t="shared" si="61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5">
        <f t="shared" si="68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2"/>
        <v>-6.4799999999999983E-2</v>
      </c>
      <c r="C82" s="2">
        <v>5</v>
      </c>
      <c r="D82" s="2">
        <v>0</v>
      </c>
      <c r="E82" s="16" t="s">
        <v>95</v>
      </c>
      <c r="F82" s="2">
        <f t="shared" si="63"/>
        <v>12.5</v>
      </c>
      <c r="G82" s="2">
        <f t="shared" si="64"/>
        <v>6.4</v>
      </c>
      <c r="H82" s="2">
        <f t="shared" si="65"/>
        <v>4</v>
      </c>
      <c r="I82" s="2">
        <f t="shared" si="66"/>
        <v>8.5</v>
      </c>
      <c r="J82" s="2">
        <f t="shared" si="67"/>
        <v>1.25</v>
      </c>
      <c r="K82" s="10">
        <f t="shared" si="24"/>
        <v>1.875</v>
      </c>
      <c r="L82" s="10">
        <v>0</v>
      </c>
      <c r="M82" s="10">
        <v>1</v>
      </c>
      <c r="N82" s="2">
        <f t="shared" si="49"/>
        <v>12.8</v>
      </c>
      <c r="O82" s="2">
        <f t="shared" si="60"/>
        <v>37.799999999999997</v>
      </c>
      <c r="P82" s="2">
        <f t="shared" si="61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5">
        <f t="shared" si="68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2"/>
        <v>-0.10476000000000001</v>
      </c>
      <c r="C83" s="2">
        <v>5</v>
      </c>
      <c r="D83" s="2">
        <v>1</v>
      </c>
      <c r="E83" s="16" t="s">
        <v>96</v>
      </c>
      <c r="F83" s="2">
        <f t="shared" si="63"/>
        <v>12.5</v>
      </c>
      <c r="G83" s="2">
        <f t="shared" si="64"/>
        <v>4</v>
      </c>
      <c r="H83" s="2">
        <f t="shared" si="65"/>
        <v>2.5</v>
      </c>
      <c r="I83" s="2">
        <f t="shared" si="66"/>
        <v>10</v>
      </c>
      <c r="J83" s="2">
        <f t="shared" si="67"/>
        <v>0.99999999999999989</v>
      </c>
      <c r="K83" s="10">
        <f t="shared" si="24"/>
        <v>5</v>
      </c>
      <c r="L83" s="10">
        <v>0</v>
      </c>
      <c r="M83" s="10">
        <v>1</v>
      </c>
      <c r="N83" s="2">
        <f t="shared" si="49"/>
        <v>16.000000000000004</v>
      </c>
      <c r="O83" s="2">
        <f t="shared" si="60"/>
        <v>50.400000000000006</v>
      </c>
      <c r="P83" s="2">
        <f t="shared" si="61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5">
        <f t="shared" si="68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2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2"/>
        <v>0.09</v>
      </c>
      <c r="C85">
        <v>4</v>
      </c>
      <c r="D85">
        <v>1</v>
      </c>
      <c r="E85" s="5" t="s">
        <v>98</v>
      </c>
      <c r="F85" s="2">
        <f t="shared" si="63"/>
        <v>10</v>
      </c>
      <c r="G85" s="2">
        <f>IF(G$84=1,H85,H85/(1-INDEX($O$2:$O$6,C85)))</f>
        <v>21.428571428571431</v>
      </c>
      <c r="H85" s="2">
        <f t="shared" si="67"/>
        <v>15</v>
      </c>
      <c r="I85" s="2">
        <f t="shared" si="67"/>
        <v>3.9999999999999996</v>
      </c>
      <c r="J85" s="2">
        <f t="shared" si="67"/>
        <v>0.99999999999999989</v>
      </c>
      <c r="K85" s="10">
        <v>-1</v>
      </c>
      <c r="L85" s="10">
        <f t="shared" ref="L85" si="69">J85/F85</f>
        <v>9.9999999999999992E-2</v>
      </c>
      <c r="M85" s="10">
        <v>0</v>
      </c>
      <c r="N85" s="2">
        <f t="shared" si="49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2"/>
        <v>7.4999999999999997E-2</v>
      </c>
      <c r="C86">
        <v>5</v>
      </c>
      <c r="D86">
        <v>1</v>
      </c>
      <c r="E86" s="5" t="s">
        <v>99</v>
      </c>
      <c r="F86" s="2">
        <f t="shared" si="63"/>
        <v>12.5</v>
      </c>
      <c r="G86" s="2">
        <f>IF(G$84=1,H86,H86/(1-INDEX($O$2:$O$6,C86)))</f>
        <v>32</v>
      </c>
      <c r="H86" s="2">
        <f t="shared" si="67"/>
        <v>20</v>
      </c>
      <c r="I86" s="2">
        <f t="shared" si="67"/>
        <v>3.9999999999999996</v>
      </c>
      <c r="J86" s="2">
        <f t="shared" si="67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2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2"/>
        <v>-9.0000000000000011E-3</v>
      </c>
      <c r="C88" s="2">
        <v>1</v>
      </c>
      <c r="D88" s="2">
        <v>-1</v>
      </c>
      <c r="E88" s="5" t="s">
        <v>101</v>
      </c>
      <c r="F88" s="2">
        <f t="shared" si="63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70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4"/>
        <v>-1.6666666666666661</v>
      </c>
      <c r="L88" s="10">
        <v>0</v>
      </c>
      <c r="M88" s="10">
        <v>1</v>
      </c>
      <c r="N88" s="2">
        <f t="shared" si="49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2"/>
        <v>-4.4999999999999998E-2</v>
      </c>
      <c r="C89" s="2">
        <v>1</v>
      </c>
      <c r="D89" s="2">
        <v>0</v>
      </c>
      <c r="E89" s="5" t="s">
        <v>102</v>
      </c>
      <c r="F89" s="2">
        <f t="shared" si="63"/>
        <v>2.5</v>
      </c>
      <c r="G89" s="2">
        <f t="shared" ref="G89:G102" si="71">IF(G$87=1,H89,H89/(1-INDEX($O$2:$O$6,C89)))</f>
        <v>2.75</v>
      </c>
      <c r="H89" s="2">
        <f t="shared" si="70"/>
        <v>2.75</v>
      </c>
      <c r="I89" s="2">
        <f t="shared" si="70"/>
        <v>1.7999999999999998</v>
      </c>
      <c r="J89" s="2">
        <f t="shared" si="70"/>
        <v>2.4500000000000002</v>
      </c>
      <c r="K89" s="10">
        <f t="shared" si="24"/>
        <v>-3.6060606060606082</v>
      </c>
      <c r="L89" s="10">
        <v>0</v>
      </c>
      <c r="M89" s="10">
        <v>1</v>
      </c>
      <c r="N89" s="2">
        <f t="shared" si="49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5">
        <f t="shared" ref="S89:S102" si="72">($S$87)*(1+(D89*$F$8))*(1+((C89-1)*$J$3))</f>
        <v>60</v>
      </c>
      <c r="T89" s="2">
        <f t="shared" ref="T89:T115" si="73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2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1"/>
        <v>3</v>
      </c>
      <c r="H90" s="2">
        <f t="shared" si="70"/>
        <v>3</v>
      </c>
      <c r="I90" s="2">
        <f t="shared" si="70"/>
        <v>1.6</v>
      </c>
      <c r="J90" s="2">
        <f t="shared" si="70"/>
        <v>2.4</v>
      </c>
      <c r="K90" s="10">
        <f t="shared" ref="K90:K102" si="74">1-((1-(I90/G90))/INDEX($P$2:$P$6,C90))</f>
        <v>-5.2222222222222223</v>
      </c>
      <c r="L90" s="10">
        <v>0</v>
      </c>
      <c r="M90" s="10">
        <v>1</v>
      </c>
      <c r="N90" s="2">
        <f t="shared" ref="N90:N115" si="75">(AVERAGE(O90,P90)*R90)/Q90</f>
        <v>12</v>
      </c>
      <c r="O90" s="2">
        <f t="shared" ref="O90:O115" si="76">0.75*(((G90*INDEX($R$1:$R$3,$D90+2))*Q90)/R90)</f>
        <v>49.5</v>
      </c>
      <c r="P90" s="2">
        <f t="shared" ref="P90:P115" si="77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5">
        <f t="shared" si="72"/>
        <v>72</v>
      </c>
      <c r="T90" s="2">
        <f t="shared" si="73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2"/>
        <v>-2.6280000000000015E-2</v>
      </c>
      <c r="C91" s="2">
        <v>2</v>
      </c>
      <c r="D91" s="2">
        <v>-1</v>
      </c>
      <c r="E91" s="5" t="s">
        <v>104</v>
      </c>
      <c r="F91" s="2">
        <f t="shared" si="63"/>
        <v>5</v>
      </c>
      <c r="G91" s="2">
        <f t="shared" si="71"/>
        <v>5.5</v>
      </c>
      <c r="H91" s="2">
        <f t="shared" si="70"/>
        <v>5.5</v>
      </c>
      <c r="I91" s="2">
        <f t="shared" si="70"/>
        <v>3.5999999999999996</v>
      </c>
      <c r="J91" s="2">
        <f t="shared" si="70"/>
        <v>4.9000000000000004</v>
      </c>
      <c r="K91" s="10">
        <f t="shared" si="74"/>
        <v>-1.3030303030303041</v>
      </c>
      <c r="L91" s="10">
        <v>0</v>
      </c>
      <c r="M91" s="10">
        <v>1</v>
      </c>
      <c r="N91" s="2">
        <f t="shared" si="75"/>
        <v>5.5</v>
      </c>
      <c r="O91" s="2">
        <f t="shared" si="76"/>
        <v>22.6875</v>
      </c>
      <c r="P91" s="2">
        <f t="shared" si="77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5">
        <f t="shared" si="72"/>
        <v>53.760000000000005</v>
      </c>
      <c r="T91" s="2">
        <f t="shared" si="73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2"/>
        <v>-6.6600000000000006E-2</v>
      </c>
      <c r="C92" s="2">
        <v>2</v>
      </c>
      <c r="D92" s="2">
        <v>0</v>
      </c>
      <c r="E92" s="5" t="s">
        <v>105</v>
      </c>
      <c r="F92" s="2">
        <f t="shared" si="63"/>
        <v>5</v>
      </c>
      <c r="G92" s="2">
        <f t="shared" si="71"/>
        <v>6</v>
      </c>
      <c r="H92" s="2">
        <f t="shared" si="70"/>
        <v>6</v>
      </c>
      <c r="I92" s="2">
        <f t="shared" si="70"/>
        <v>3.2</v>
      </c>
      <c r="J92" s="2">
        <f t="shared" si="70"/>
        <v>4.8</v>
      </c>
      <c r="K92" s="10">
        <f t="shared" si="74"/>
        <v>-2.1111111111111112</v>
      </c>
      <c r="L92" s="10">
        <v>0</v>
      </c>
      <c r="M92" s="10">
        <v>1</v>
      </c>
      <c r="N92" s="2">
        <f t="shared" si="75"/>
        <v>12</v>
      </c>
      <c r="O92" s="2">
        <f t="shared" si="76"/>
        <v>49.5</v>
      </c>
      <c r="P92" s="2">
        <f t="shared" si="77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5">
        <f t="shared" si="72"/>
        <v>67.2</v>
      </c>
      <c r="T92" s="2">
        <f t="shared" si="73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2"/>
        <v>-0.10692000000000004</v>
      </c>
      <c r="C93" s="2">
        <v>2</v>
      </c>
      <c r="D93" s="2">
        <v>1</v>
      </c>
      <c r="E93" s="5" t="s">
        <v>106</v>
      </c>
      <c r="F93" s="2">
        <f t="shared" si="63"/>
        <v>5</v>
      </c>
      <c r="G93" s="2">
        <f t="shared" si="71"/>
        <v>6.5</v>
      </c>
      <c r="H93" s="2">
        <f t="shared" si="70"/>
        <v>6.5</v>
      </c>
      <c r="I93" s="2">
        <f t="shared" si="70"/>
        <v>2.8000000000000003</v>
      </c>
      <c r="J93" s="2">
        <f t="shared" si="70"/>
        <v>4.6999999999999993</v>
      </c>
      <c r="K93" s="10">
        <f t="shared" si="74"/>
        <v>-2.7948717948717947</v>
      </c>
      <c r="L93" s="10">
        <v>0</v>
      </c>
      <c r="M93" s="10">
        <v>1</v>
      </c>
      <c r="N93" s="2">
        <f t="shared" si="75"/>
        <v>26</v>
      </c>
      <c r="O93" s="2">
        <f t="shared" si="76"/>
        <v>107.25</v>
      </c>
      <c r="P93" s="2">
        <f t="shared" si="77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5">
        <f t="shared" si="72"/>
        <v>80.640000000000015</v>
      </c>
      <c r="T93" s="2">
        <f t="shared" si="73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2"/>
        <v>-4.3559999999999988E-2</v>
      </c>
      <c r="C94" s="2">
        <v>3</v>
      </c>
      <c r="D94" s="2">
        <v>-1</v>
      </c>
      <c r="E94" s="5" t="s">
        <v>107</v>
      </c>
      <c r="F94" s="2">
        <f t="shared" si="63"/>
        <v>7.5</v>
      </c>
      <c r="G94" s="2">
        <f t="shared" si="71"/>
        <v>9</v>
      </c>
      <c r="H94" s="2">
        <f t="shared" si="70"/>
        <v>9</v>
      </c>
      <c r="I94" s="2">
        <f t="shared" si="70"/>
        <v>4.8</v>
      </c>
      <c r="J94" s="2">
        <f t="shared" si="70"/>
        <v>7.1999999999999993</v>
      </c>
      <c r="K94" s="10">
        <f t="shared" si="74"/>
        <v>-1.0740740740740744</v>
      </c>
      <c r="L94" s="10">
        <v>0</v>
      </c>
      <c r="M94" s="10">
        <v>1</v>
      </c>
      <c r="N94" s="2">
        <f t="shared" si="75"/>
        <v>9</v>
      </c>
      <c r="O94" s="2">
        <f t="shared" si="76"/>
        <v>37.125</v>
      </c>
      <c r="P94" s="2">
        <f t="shared" si="77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5">
        <f t="shared" si="72"/>
        <v>59.519999999999996</v>
      </c>
      <c r="T94" s="2">
        <f t="shared" si="73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2"/>
        <v>-8.8200000000000014E-2</v>
      </c>
      <c r="C95" s="2">
        <v>3</v>
      </c>
      <c r="D95" s="2">
        <v>0</v>
      </c>
      <c r="E95" s="5" t="s">
        <v>108</v>
      </c>
      <c r="F95" s="2">
        <f t="shared" si="63"/>
        <v>7.5</v>
      </c>
      <c r="G95" s="2">
        <f t="shared" si="71"/>
        <v>9.75</v>
      </c>
      <c r="H95" s="2">
        <f t="shared" si="70"/>
        <v>9.75</v>
      </c>
      <c r="I95" s="2">
        <f t="shared" si="70"/>
        <v>4.2</v>
      </c>
      <c r="J95" s="2">
        <f t="shared" si="70"/>
        <v>7.05</v>
      </c>
      <c r="K95" s="10">
        <f t="shared" si="74"/>
        <v>-1.5299145299145303</v>
      </c>
      <c r="L95" s="10">
        <v>0</v>
      </c>
      <c r="M95" s="10">
        <v>1</v>
      </c>
      <c r="N95" s="2">
        <f t="shared" si="75"/>
        <v>19.5</v>
      </c>
      <c r="O95" s="2">
        <f t="shared" si="76"/>
        <v>80.4375</v>
      </c>
      <c r="P95" s="2">
        <f t="shared" si="77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5">
        <f t="shared" si="72"/>
        <v>74.400000000000006</v>
      </c>
      <c r="T95" s="2">
        <f t="shared" si="73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2"/>
        <v>-0.13284000000000001</v>
      </c>
      <c r="C96" s="2">
        <v>3</v>
      </c>
      <c r="D96" s="2">
        <v>1</v>
      </c>
      <c r="E96" s="5" t="s">
        <v>109</v>
      </c>
      <c r="F96" s="2">
        <f t="shared" si="63"/>
        <v>7.5</v>
      </c>
      <c r="G96" s="2">
        <f t="shared" si="71"/>
        <v>10.5</v>
      </c>
      <c r="H96" s="2">
        <f t="shared" si="70"/>
        <v>10.5</v>
      </c>
      <c r="I96" s="2">
        <f t="shared" si="70"/>
        <v>3.5999999999999996</v>
      </c>
      <c r="J96" s="2">
        <f t="shared" si="70"/>
        <v>6.8999999999999995</v>
      </c>
      <c r="K96" s="10">
        <f t="shared" si="74"/>
        <v>-1.9206349206349214</v>
      </c>
      <c r="L96" s="10">
        <v>0</v>
      </c>
      <c r="M96" s="10">
        <v>1</v>
      </c>
      <c r="N96" s="2">
        <f t="shared" si="75"/>
        <v>42</v>
      </c>
      <c r="O96" s="2">
        <f t="shared" si="76"/>
        <v>173.25</v>
      </c>
      <c r="P96" s="2">
        <f t="shared" si="77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5">
        <f t="shared" si="72"/>
        <v>89.28</v>
      </c>
      <c r="T96" s="2">
        <f t="shared" si="73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2"/>
        <v>-6.0840000000000005E-2</v>
      </c>
      <c r="C97" s="2">
        <v>4</v>
      </c>
      <c r="D97" s="2">
        <v>-1</v>
      </c>
      <c r="E97" s="5" t="s">
        <v>110</v>
      </c>
      <c r="F97" s="2">
        <f t="shared" si="63"/>
        <v>10</v>
      </c>
      <c r="G97" s="2">
        <f t="shared" si="71"/>
        <v>13</v>
      </c>
      <c r="H97" s="2">
        <f t="shared" si="70"/>
        <v>13</v>
      </c>
      <c r="I97" s="2">
        <f t="shared" si="70"/>
        <v>5.6000000000000005</v>
      </c>
      <c r="J97" s="2">
        <f t="shared" si="70"/>
        <v>9.3999999999999986</v>
      </c>
      <c r="K97" s="10">
        <f t="shared" si="74"/>
        <v>-0.89743589743589736</v>
      </c>
      <c r="L97" s="10">
        <v>0</v>
      </c>
      <c r="M97" s="10">
        <v>1</v>
      </c>
      <c r="N97" s="2">
        <f t="shared" si="75"/>
        <v>13</v>
      </c>
      <c r="O97" s="2">
        <f t="shared" si="76"/>
        <v>53.625</v>
      </c>
      <c r="P97" s="2">
        <f t="shared" si="77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5">
        <f t="shared" si="72"/>
        <v>65.28</v>
      </c>
      <c r="T97" s="2">
        <f t="shared" si="73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2"/>
        <v>-0.10979999999999998</v>
      </c>
      <c r="C98" s="2">
        <v>4</v>
      </c>
      <c r="D98" s="2">
        <v>0</v>
      </c>
      <c r="E98" s="5" t="s">
        <v>111</v>
      </c>
      <c r="F98" s="2">
        <f t="shared" si="63"/>
        <v>10</v>
      </c>
      <c r="G98" s="2">
        <f t="shared" si="71"/>
        <v>14</v>
      </c>
      <c r="H98" s="2">
        <f t="shared" si="70"/>
        <v>14</v>
      </c>
      <c r="I98" s="2">
        <f t="shared" si="70"/>
        <v>4.8</v>
      </c>
      <c r="J98" s="2">
        <f t="shared" si="70"/>
        <v>9.1999999999999993</v>
      </c>
      <c r="K98" s="10">
        <f t="shared" si="74"/>
        <v>-1.1904761904761907</v>
      </c>
      <c r="L98" s="10">
        <v>0</v>
      </c>
      <c r="M98" s="10">
        <v>1</v>
      </c>
      <c r="N98" s="2">
        <f t="shared" si="75"/>
        <v>28</v>
      </c>
      <c r="O98" s="2">
        <f t="shared" si="76"/>
        <v>115.5</v>
      </c>
      <c r="P98" s="2">
        <f t="shared" si="77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5">
        <f t="shared" si="72"/>
        <v>81.599999999999994</v>
      </c>
      <c r="T98" s="2">
        <f t="shared" si="73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2"/>
        <v>-0.15875999999999996</v>
      </c>
      <c r="C99" s="2">
        <v>4</v>
      </c>
      <c r="D99" s="2">
        <v>1</v>
      </c>
      <c r="E99" s="5" t="s">
        <v>112</v>
      </c>
      <c r="F99" s="2">
        <f t="shared" si="63"/>
        <v>10</v>
      </c>
      <c r="G99" s="2">
        <f t="shared" si="71"/>
        <v>15</v>
      </c>
      <c r="H99" s="2">
        <f t="shared" si="70"/>
        <v>15</v>
      </c>
      <c r="I99" s="2">
        <f t="shared" si="70"/>
        <v>3.9999999999999996</v>
      </c>
      <c r="J99" s="2">
        <f t="shared" si="70"/>
        <v>9</v>
      </c>
      <c r="K99" s="10">
        <f t="shared" si="74"/>
        <v>-1.4444444444444446</v>
      </c>
      <c r="L99" s="10">
        <v>0</v>
      </c>
      <c r="M99" s="10">
        <v>1</v>
      </c>
      <c r="N99" s="2">
        <f t="shared" si="75"/>
        <v>60</v>
      </c>
      <c r="O99" s="2">
        <f t="shared" si="76"/>
        <v>247.5</v>
      </c>
      <c r="P99" s="2">
        <f t="shared" si="77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5">
        <f t="shared" si="72"/>
        <v>97.919999999999987</v>
      </c>
      <c r="T99" s="2">
        <f t="shared" si="73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2"/>
        <v>-7.8119999999999981E-2</v>
      </c>
      <c r="C100" s="2">
        <v>5</v>
      </c>
      <c r="D100" s="2">
        <v>-1</v>
      </c>
      <c r="E100" s="5" t="s">
        <v>113</v>
      </c>
      <c r="F100" s="2">
        <f t="shared" si="63"/>
        <v>12.5</v>
      </c>
      <c r="G100" s="2">
        <f t="shared" si="71"/>
        <v>17.5</v>
      </c>
      <c r="H100" s="2">
        <f t="shared" si="70"/>
        <v>17.5</v>
      </c>
      <c r="I100" s="2">
        <f t="shared" si="70"/>
        <v>6</v>
      </c>
      <c r="J100" s="2">
        <f t="shared" si="70"/>
        <v>11.5</v>
      </c>
      <c r="K100" s="10">
        <f t="shared" si="74"/>
        <v>-0.75238095238095237</v>
      </c>
      <c r="L100" s="10">
        <v>0</v>
      </c>
      <c r="M100" s="10">
        <v>1</v>
      </c>
      <c r="N100" s="2">
        <f t="shared" si="75"/>
        <v>17.5</v>
      </c>
      <c r="O100" s="2">
        <f t="shared" si="76"/>
        <v>72.1875</v>
      </c>
      <c r="P100" s="2">
        <f t="shared" si="77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5">
        <f t="shared" si="72"/>
        <v>71.039999999999992</v>
      </c>
      <c r="T100" s="2">
        <f t="shared" si="73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2"/>
        <v>-0.13139999999999999</v>
      </c>
      <c r="C101" s="2">
        <v>5</v>
      </c>
      <c r="D101" s="2">
        <v>0</v>
      </c>
      <c r="E101" s="5" t="s">
        <v>114</v>
      </c>
      <c r="F101" s="2">
        <f t="shared" si="63"/>
        <v>12.5</v>
      </c>
      <c r="G101" s="2">
        <f t="shared" si="71"/>
        <v>18.75</v>
      </c>
      <c r="H101" s="2">
        <f t="shared" si="70"/>
        <v>18.75</v>
      </c>
      <c r="I101" s="2">
        <f t="shared" si="70"/>
        <v>5</v>
      </c>
      <c r="J101" s="2">
        <f t="shared" si="70"/>
        <v>11.25</v>
      </c>
      <c r="K101" s="10">
        <f t="shared" si="74"/>
        <v>-0.95555555555555571</v>
      </c>
      <c r="L101" s="10">
        <v>0</v>
      </c>
      <c r="M101" s="10">
        <v>1</v>
      </c>
      <c r="N101" s="2">
        <f t="shared" si="75"/>
        <v>37.5</v>
      </c>
      <c r="O101" s="2">
        <f t="shared" si="76"/>
        <v>154.6875</v>
      </c>
      <c r="P101" s="2">
        <f t="shared" si="77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5">
        <f t="shared" si="72"/>
        <v>88.8</v>
      </c>
      <c r="T101" s="2">
        <f t="shared" si="73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2"/>
        <v>-0.18468000000000001</v>
      </c>
      <c r="C102" s="2">
        <v>5</v>
      </c>
      <c r="D102" s="2">
        <v>1</v>
      </c>
      <c r="E102" s="5" t="s">
        <v>115</v>
      </c>
      <c r="F102" s="2">
        <f t="shared" si="63"/>
        <v>12.5</v>
      </c>
      <c r="G102" s="2">
        <f t="shared" si="71"/>
        <v>20</v>
      </c>
      <c r="H102" s="2">
        <f t="shared" si="70"/>
        <v>20</v>
      </c>
      <c r="I102" s="2">
        <f t="shared" si="70"/>
        <v>3.9999999999999996</v>
      </c>
      <c r="J102" s="2">
        <f t="shared" si="70"/>
        <v>11</v>
      </c>
      <c r="K102" s="10">
        <f t="shared" si="74"/>
        <v>-1.1333333333333333</v>
      </c>
      <c r="L102" s="10">
        <v>0</v>
      </c>
      <c r="M102" s="10">
        <v>1</v>
      </c>
      <c r="N102" s="2">
        <f t="shared" si="75"/>
        <v>80</v>
      </c>
      <c r="O102" s="2">
        <f t="shared" si="76"/>
        <v>330</v>
      </c>
      <c r="P102" s="2">
        <f t="shared" si="77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5">
        <f t="shared" si="72"/>
        <v>106.56</v>
      </c>
      <c r="T102" s="2">
        <f t="shared" si="73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2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2"/>
        <v>-4.3559999999999988E-2</v>
      </c>
      <c r="C104">
        <v>3</v>
      </c>
      <c r="D104" s="2">
        <v>-1</v>
      </c>
      <c r="E104" s="5" t="s">
        <v>117</v>
      </c>
      <c r="F104" s="2">
        <f t="shared" si="63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8">1-((1-(I104/G104))/INDEX($P$2:$P$6,C104))</f>
        <v>-0.3333333333333337</v>
      </c>
      <c r="L104" s="10">
        <v>0</v>
      </c>
      <c r="M104" s="10">
        <v>1</v>
      </c>
      <c r="N104" s="2">
        <f t="shared" si="75"/>
        <v>9</v>
      </c>
      <c r="O104" s="2">
        <f t="shared" si="76"/>
        <v>56.362499999999997</v>
      </c>
      <c r="P104" s="2">
        <f t="shared" si="77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5">
        <f>($S$103)*(1+(D104*$F$8))*(1+((C104-1)*$J$3))</f>
        <v>59.519999999999996</v>
      </c>
      <c r="T104" s="2">
        <f t="shared" si="73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2"/>
        <v>-8.8200000000000014E-2</v>
      </c>
      <c r="C105">
        <v>3</v>
      </c>
      <c r="D105" s="2">
        <v>0</v>
      </c>
      <c r="E105" s="5" t="s">
        <v>118</v>
      </c>
      <c r="F105" s="2">
        <f t="shared" si="63"/>
        <v>7.5</v>
      </c>
      <c r="G105" s="2">
        <f t="shared" ref="G105:G112" si="79">H105</f>
        <v>9.75</v>
      </c>
      <c r="H105" s="2">
        <f t="shared" ref="H105:H112" si="80">$F105*(INDEX($F$3:$F$5,H$103)+(($C105+($D105*$F$7))*INDEX($G$3:$G$5,H$9)))</f>
        <v>9.75</v>
      </c>
      <c r="I105" s="2">
        <f t="shared" ref="I105:J112" si="81">$F105*(INDEX($F$3:$F$5,I$103)+(($C105+($D105*$F$7))*INDEX($G$3:$G$5,I$9)))</f>
        <v>5.7</v>
      </c>
      <c r="J105" s="2">
        <f t="shared" si="81"/>
        <v>5.55</v>
      </c>
      <c r="K105" s="10">
        <f t="shared" si="78"/>
        <v>-0.84615384615384626</v>
      </c>
      <c r="L105" s="10">
        <v>0</v>
      </c>
      <c r="M105" s="10">
        <v>1</v>
      </c>
      <c r="N105" s="2">
        <f t="shared" si="75"/>
        <v>19.5</v>
      </c>
      <c r="O105" s="2">
        <f t="shared" si="76"/>
        <v>122.11874999999999</v>
      </c>
      <c r="P105" s="2">
        <f t="shared" si="77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5">
        <f t="shared" ref="S105:S112" si="82">($S$103)*(1+(D105*$F$8))*(1+((C105-1)*$J$3))</f>
        <v>74.400000000000006</v>
      </c>
      <c r="T105" s="2">
        <f t="shared" si="73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2"/>
        <v>-0.13284000000000001</v>
      </c>
      <c r="C106">
        <v>3</v>
      </c>
      <c r="D106" s="2">
        <v>1</v>
      </c>
      <c r="E106" s="5" t="s">
        <v>119</v>
      </c>
      <c r="F106" s="2">
        <f t="shared" si="63"/>
        <v>7.5</v>
      </c>
      <c r="G106" s="2">
        <f t="shared" si="79"/>
        <v>10.5</v>
      </c>
      <c r="H106" s="2">
        <f t="shared" si="80"/>
        <v>10.5</v>
      </c>
      <c r="I106" s="2">
        <f t="shared" si="81"/>
        <v>5.0999999999999996</v>
      </c>
      <c r="J106" s="2">
        <f t="shared" si="81"/>
        <v>5.3999999999999995</v>
      </c>
      <c r="K106" s="10">
        <f t="shared" si="78"/>
        <v>-1.285714285714286</v>
      </c>
      <c r="L106" s="10">
        <v>0</v>
      </c>
      <c r="M106" s="10">
        <v>1</v>
      </c>
      <c r="N106" s="2">
        <f t="shared" si="75"/>
        <v>42</v>
      </c>
      <c r="O106" s="2">
        <f t="shared" si="76"/>
        <v>263.02499999999998</v>
      </c>
      <c r="P106" s="2">
        <f t="shared" si="77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5">
        <f t="shared" si="82"/>
        <v>89.28</v>
      </c>
      <c r="T106" s="2">
        <f t="shared" si="73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2"/>
        <v>-6.0840000000000005E-2</v>
      </c>
      <c r="C107">
        <v>4</v>
      </c>
      <c r="D107" s="2">
        <v>-1</v>
      </c>
      <c r="E107" s="5" t="s">
        <v>120</v>
      </c>
      <c r="F107" s="2">
        <f t="shared" si="63"/>
        <v>10</v>
      </c>
      <c r="G107" s="2">
        <f t="shared" si="79"/>
        <v>13</v>
      </c>
      <c r="H107" s="2">
        <f t="shared" si="80"/>
        <v>13</v>
      </c>
      <c r="I107" s="2">
        <f t="shared" si="81"/>
        <v>7.6</v>
      </c>
      <c r="J107" s="2">
        <f t="shared" si="81"/>
        <v>7.4</v>
      </c>
      <c r="K107" s="10">
        <f t="shared" si="78"/>
        <v>-0.38461538461538503</v>
      </c>
      <c r="L107" s="10">
        <v>0</v>
      </c>
      <c r="M107" s="10">
        <v>1</v>
      </c>
      <c r="N107" s="2">
        <f t="shared" si="75"/>
        <v>13</v>
      </c>
      <c r="O107" s="2">
        <f t="shared" si="76"/>
        <v>81.412499999999994</v>
      </c>
      <c r="P107" s="2">
        <f t="shared" si="77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5">
        <f t="shared" si="82"/>
        <v>65.28</v>
      </c>
      <c r="T107" s="2">
        <f t="shared" si="73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2"/>
        <v>-0.10979999999999998</v>
      </c>
      <c r="C108">
        <v>4</v>
      </c>
      <c r="D108" s="2">
        <v>0</v>
      </c>
      <c r="E108" s="5" t="s">
        <v>121</v>
      </c>
      <c r="F108" s="2">
        <f t="shared" si="63"/>
        <v>10</v>
      </c>
      <c r="G108" s="2">
        <f t="shared" si="79"/>
        <v>14</v>
      </c>
      <c r="H108" s="2">
        <f t="shared" si="80"/>
        <v>14</v>
      </c>
      <c r="I108" s="2">
        <f t="shared" si="81"/>
        <v>6.7999999999999989</v>
      </c>
      <c r="J108" s="2">
        <f t="shared" si="81"/>
        <v>7.1999999999999993</v>
      </c>
      <c r="K108" s="10">
        <f t="shared" si="78"/>
        <v>-0.71428571428571463</v>
      </c>
      <c r="L108" s="10">
        <v>0</v>
      </c>
      <c r="M108" s="10">
        <v>1</v>
      </c>
      <c r="N108" s="2">
        <f t="shared" si="75"/>
        <v>28.000000000000004</v>
      </c>
      <c r="O108" s="2">
        <f t="shared" si="76"/>
        <v>175.35</v>
      </c>
      <c r="P108" s="2">
        <f t="shared" si="77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5">
        <f t="shared" si="82"/>
        <v>81.599999999999994</v>
      </c>
      <c r="T108" s="2">
        <f t="shared" si="73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2"/>
        <v>-0.15875999999999996</v>
      </c>
      <c r="C109">
        <v>4</v>
      </c>
      <c r="D109" s="2">
        <v>1</v>
      </c>
      <c r="E109" s="5" t="s">
        <v>122</v>
      </c>
      <c r="F109" s="2">
        <f t="shared" si="63"/>
        <v>10</v>
      </c>
      <c r="G109" s="2">
        <f t="shared" si="79"/>
        <v>15</v>
      </c>
      <c r="H109" s="2">
        <f t="shared" si="80"/>
        <v>15</v>
      </c>
      <c r="I109" s="2">
        <f t="shared" si="81"/>
        <v>5.9999999999999982</v>
      </c>
      <c r="J109" s="2">
        <f t="shared" si="81"/>
        <v>7.0000000000000009</v>
      </c>
      <c r="K109" s="10">
        <f t="shared" si="78"/>
        <v>-1.0000000000000004</v>
      </c>
      <c r="L109" s="10">
        <v>0</v>
      </c>
      <c r="M109" s="10">
        <v>1</v>
      </c>
      <c r="N109" s="2">
        <f t="shared" si="75"/>
        <v>60</v>
      </c>
      <c r="O109" s="2">
        <f t="shared" si="76"/>
        <v>375.75</v>
      </c>
      <c r="P109" s="2">
        <f t="shared" si="77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5">
        <f t="shared" si="82"/>
        <v>97.919999999999987</v>
      </c>
      <c r="T109" s="2">
        <f t="shared" si="73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2"/>
        <v>-7.8119999999999981E-2</v>
      </c>
      <c r="C110">
        <v>5</v>
      </c>
      <c r="D110" s="2">
        <v>-1</v>
      </c>
      <c r="E110" s="5" t="s">
        <v>123</v>
      </c>
      <c r="F110" s="2">
        <f t="shared" si="63"/>
        <v>12.5</v>
      </c>
      <c r="G110" s="2">
        <f t="shared" si="79"/>
        <v>17.5</v>
      </c>
      <c r="H110" s="2">
        <f t="shared" si="80"/>
        <v>17.5</v>
      </c>
      <c r="I110" s="2">
        <f t="shared" si="81"/>
        <v>8.5</v>
      </c>
      <c r="J110" s="2">
        <f t="shared" si="81"/>
        <v>9</v>
      </c>
      <c r="K110" s="10">
        <f t="shared" si="78"/>
        <v>-0.37142857142857122</v>
      </c>
      <c r="L110" s="10">
        <v>0</v>
      </c>
      <c r="M110" s="10">
        <v>1</v>
      </c>
      <c r="N110" s="2">
        <f t="shared" si="75"/>
        <v>17.5</v>
      </c>
      <c r="O110" s="2">
        <f t="shared" si="76"/>
        <v>109.59375</v>
      </c>
      <c r="P110" s="2">
        <f t="shared" si="77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5">
        <f t="shared" si="82"/>
        <v>71.039999999999992</v>
      </c>
      <c r="T110" s="2">
        <f t="shared" si="73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2"/>
        <v>-0.13139999999999999</v>
      </c>
      <c r="C111">
        <v>5</v>
      </c>
      <c r="D111" s="2">
        <v>0</v>
      </c>
      <c r="E111" s="5" t="s">
        <v>124</v>
      </c>
      <c r="F111" s="2">
        <f t="shared" si="63"/>
        <v>12.5</v>
      </c>
      <c r="G111" s="2">
        <f t="shared" si="79"/>
        <v>18.75</v>
      </c>
      <c r="H111" s="2">
        <f t="shared" si="80"/>
        <v>18.75</v>
      </c>
      <c r="I111" s="2">
        <f t="shared" si="81"/>
        <v>7.4999999999999982</v>
      </c>
      <c r="J111" s="2">
        <f t="shared" si="81"/>
        <v>8.75</v>
      </c>
      <c r="K111" s="10">
        <f t="shared" si="78"/>
        <v>-0.60000000000000031</v>
      </c>
      <c r="L111" s="10">
        <v>0</v>
      </c>
      <c r="M111" s="10">
        <v>1</v>
      </c>
      <c r="N111" s="2">
        <f t="shared" si="75"/>
        <v>37.5</v>
      </c>
      <c r="O111" s="2">
        <f t="shared" si="76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5">
        <f t="shared" si="82"/>
        <v>88.8</v>
      </c>
      <c r="T111" s="2">
        <f t="shared" si="73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2"/>
        <v>-0.18468000000000001</v>
      </c>
      <c r="C112">
        <v>5</v>
      </c>
      <c r="D112" s="2">
        <v>1</v>
      </c>
      <c r="E112" s="5" t="s">
        <v>125</v>
      </c>
      <c r="F112" s="2">
        <f t="shared" si="63"/>
        <v>12.5</v>
      </c>
      <c r="G112" s="2">
        <f t="shared" si="79"/>
        <v>20</v>
      </c>
      <c r="H112" s="2">
        <f t="shared" si="80"/>
        <v>20</v>
      </c>
      <c r="I112" s="2">
        <f t="shared" si="81"/>
        <v>6.4999999999999991</v>
      </c>
      <c r="J112" s="2">
        <f t="shared" si="81"/>
        <v>8.5</v>
      </c>
      <c r="K112" s="10">
        <f t="shared" si="78"/>
        <v>-0.8</v>
      </c>
      <c r="L112" s="10">
        <v>0</v>
      </c>
      <c r="M112" s="10">
        <v>1</v>
      </c>
      <c r="N112" s="2">
        <f t="shared" si="75"/>
        <v>80</v>
      </c>
      <c r="O112" s="2">
        <f t="shared" si="76"/>
        <v>501</v>
      </c>
      <c r="P112" s="2">
        <f t="shared" si="77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5">
        <f t="shared" si="82"/>
        <v>106.56</v>
      </c>
      <c r="T112" s="2">
        <f t="shared" si="73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2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2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3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3">$F114*(INDEX($F$3:$F$5,I$113)+(($C114+($D114*$F$7))*INDEX($G$3:$G$5,I$113)))</f>
        <v>9.6</v>
      </c>
      <c r="J114" s="2">
        <f t="shared" si="83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5"/>
        <v>56</v>
      </c>
      <c r="O114" s="2">
        <f t="shared" si="76"/>
        <v>105</v>
      </c>
      <c r="P114" s="2">
        <f t="shared" si="77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5">
        <f>($S$113)*(1+(D114*$F$8))*(1+((C114-1)*$J$3))</f>
        <v>81.599999999999994</v>
      </c>
      <c r="T114" s="2">
        <f t="shared" si="73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2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3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3"/>
        <v>10</v>
      </c>
      <c r="J115" s="2">
        <f t="shared" si="83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5"/>
        <v>75</v>
      </c>
      <c r="O115" s="2">
        <f t="shared" si="76"/>
        <v>140.625</v>
      </c>
      <c r="P115" s="2">
        <f t="shared" si="77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5">
        <f>($S$113)*(1+(D115*$F$8))*(1+((C115-1)*$J$3))</f>
        <v>88.8</v>
      </c>
      <c r="T115" s="2">
        <f t="shared" si="73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2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2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4">($F$2+(C117*$F$1))*(B117+1)</f>
        <v>15</v>
      </c>
      <c r="G117" s="2">
        <f t="shared" ref="G117:G119" si="85">IF(G$116=1,H117,H117/(1-INDEX($O$2:$O$6,C117)))</f>
        <v>9.2903225806451601</v>
      </c>
      <c r="H117" s="2">
        <f t="shared" ref="H117:H119" si="86">$F117*(INDEX($F$3:$F$5,H$116)+(($C117+($D117*$F$7))*INDEX($G$3:$G$5,H$116)))</f>
        <v>7.1999999999999993</v>
      </c>
      <c r="I117" s="2">
        <f t="shared" ref="I117:J119" si="87">$F117*(INDEX($F$3:$F$5,I$116)+(($C117+($D117*$F$7))*INDEX($G$3:$G$5,I$116)))</f>
        <v>21</v>
      </c>
      <c r="J117" s="2">
        <f t="shared" si="87"/>
        <v>21</v>
      </c>
      <c r="K117" s="10">
        <f t="shared" ref="K117:K119" si="88">1-((1-(I117/G117))/INDEX($P$2:$P$6,C117))</f>
        <v>6.6018518518518539</v>
      </c>
      <c r="L117" s="10">
        <v>0</v>
      </c>
      <c r="M117" s="10">
        <v>1</v>
      </c>
      <c r="N117" s="2">
        <f t="shared" ref="N117:N119" si="89">(AVERAGE(O117,P117)*R117)/Q117</f>
        <v>9.2903225806451584</v>
      </c>
      <c r="O117" s="2">
        <f t="shared" ref="O117:O118" si="90">0.75*(((G117*INDEX($R$1:$R$3,$D117+2))*Q117)/R117)/4</f>
        <v>92.903225806451601</v>
      </c>
      <c r="P117" s="2">
        <f t="shared" ref="P117:P118" si="91">1.25*(((G117*INDEX($R$1:$R$3,$D117+2))*Q117)/R117)/4</f>
        <v>154.83870967741933</v>
      </c>
      <c r="Q117" s="2">
        <v>10</v>
      </c>
      <c r="R117" s="2">
        <v>0.75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2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4"/>
        <v>20</v>
      </c>
      <c r="G118" s="2">
        <f t="shared" si="85"/>
        <v>11.428571428571429</v>
      </c>
      <c r="H118" s="2">
        <f t="shared" si="86"/>
        <v>7.9999999999999991</v>
      </c>
      <c r="I118" s="2">
        <f t="shared" si="87"/>
        <v>30</v>
      </c>
      <c r="J118" s="2">
        <f t="shared" si="87"/>
        <v>30</v>
      </c>
      <c r="K118" s="10">
        <f t="shared" si="88"/>
        <v>6.416666666666667</v>
      </c>
      <c r="L118" s="10">
        <v>0</v>
      </c>
      <c r="M118" s="10">
        <v>1</v>
      </c>
      <c r="N118" s="2">
        <f t="shared" si="89"/>
        <v>11.428571428571427</v>
      </c>
      <c r="O118" s="2">
        <f t="shared" si="90"/>
        <v>114.28571428571428</v>
      </c>
      <c r="P118" s="2">
        <f t="shared" si="91"/>
        <v>190.47619047619048</v>
      </c>
      <c r="Q118" s="2">
        <v>10</v>
      </c>
      <c r="R118" s="2">
        <v>0.75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2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4"/>
        <v>25</v>
      </c>
      <c r="G119" s="2">
        <f t="shared" si="85"/>
        <v>12.799999999999999</v>
      </c>
      <c r="H119" s="2">
        <f t="shared" si="86"/>
        <v>7.9999999999999991</v>
      </c>
      <c r="I119" s="2">
        <f t="shared" si="87"/>
        <v>40</v>
      </c>
      <c r="J119" s="2">
        <f t="shared" si="87"/>
        <v>40</v>
      </c>
      <c r="K119" s="10">
        <f t="shared" si="88"/>
        <v>6.6666666666666679</v>
      </c>
      <c r="L119" s="10">
        <v>0</v>
      </c>
      <c r="M119" s="10">
        <v>1</v>
      </c>
      <c r="N119" s="2">
        <f t="shared" si="89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B12" sqref="B12"/>
    </sheetView>
  </sheetViews>
  <sheetFormatPr defaultRowHeight="15" x14ac:dyDescent="0.25"/>
  <cols>
    <col min="1" max="1" width="20.425781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266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N3/$B5</f>
        <v>2.3333333333333334E-2</v>
      </c>
      <c r="O5" s="12">
        <v>40</v>
      </c>
      <c r="P5" s="12">
        <v>2.25</v>
      </c>
    </row>
    <row r="6" spans="1:19" x14ac:dyDescent="0.25">
      <c r="A6" s="14" t="s">
        <v>274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I6">
        <v>5</v>
      </c>
      <c r="J6" s="22">
        <f t="shared" si="2"/>
        <v>80</v>
      </c>
      <c r="K6" s="22">
        <f t="shared" si="0"/>
        <v>53.333333333333329</v>
      </c>
    </row>
    <row r="7" spans="1:19" s="23" customFormat="1" x14ac:dyDescent="0.25">
      <c r="A7" s="14" t="s">
        <v>264</v>
      </c>
      <c r="B7" s="23">
        <v>1</v>
      </c>
      <c r="C7" s="23">
        <f>(C11/C8)-1</f>
        <v>-0.625</v>
      </c>
      <c r="D7" s="23">
        <f t="shared" ref="D7:E7" si="5">(D11/D8)-1</f>
        <v>-0.875</v>
      </c>
      <c r="E7" s="23">
        <f t="shared" si="5"/>
        <v>-0.96875</v>
      </c>
    </row>
    <row r="8" spans="1:19" s="23" customFormat="1" x14ac:dyDescent="0.25">
      <c r="A8" s="14" t="s">
        <v>269</v>
      </c>
      <c r="B8" s="23">
        <f>B3*$N$5</f>
        <v>0.18666666666666668</v>
      </c>
      <c r="C8" s="23">
        <f>C3*$N$5</f>
        <v>0.37333333333333335</v>
      </c>
      <c r="D8" s="23">
        <f>D3*$N$5</f>
        <v>0.7466666666666667</v>
      </c>
      <c r="E8" s="23">
        <f>E3*$N$5</f>
        <v>1.4933333333333334</v>
      </c>
      <c r="O8" s="23">
        <f>O5/5</f>
        <v>8</v>
      </c>
    </row>
    <row r="9" spans="1:19" x14ac:dyDescent="0.25">
      <c r="A9" s="14" t="s">
        <v>265</v>
      </c>
      <c r="B9" s="23">
        <f t="shared" ref="B9:D9" si="6">(B13-B14)</f>
        <v>0.11963190184049211</v>
      </c>
      <c r="C9" s="23">
        <f t="shared" si="6"/>
        <v>8.2380952380952337</v>
      </c>
      <c r="D9" s="23">
        <f t="shared" si="6"/>
        <v>20.831460674157285</v>
      </c>
      <c r="E9" s="23">
        <f>(E13-E14)</f>
        <v>62.769230769230745</v>
      </c>
      <c r="P9">
        <f>P5/5</f>
        <v>0.45</v>
      </c>
    </row>
    <row r="10" spans="1:19" x14ac:dyDescent="0.25">
      <c r="A10" s="14"/>
      <c r="B10" s="24"/>
      <c r="C10" s="24"/>
      <c r="D10" s="24"/>
      <c r="E10" s="24"/>
      <c r="I10" t="s">
        <v>144</v>
      </c>
    </row>
    <row r="11" spans="1:19" x14ac:dyDescent="0.25">
      <c r="A11" s="14" t="s">
        <v>267</v>
      </c>
      <c r="B11" s="24">
        <f>B3*$N$5*B7</f>
        <v>0.18666666666666668</v>
      </c>
      <c r="C11" s="24">
        <f>B11*(3/4)</f>
        <v>0.14000000000000001</v>
      </c>
      <c r="D11" s="24">
        <f>B11*(2/4)</f>
        <v>9.3333333333333338E-2</v>
      </c>
      <c r="E11" s="24">
        <f>B11/4</f>
        <v>4.6666666666666669E-2</v>
      </c>
      <c r="I11" t="s">
        <v>130</v>
      </c>
      <c r="J11">
        <f>B3</f>
        <v>8</v>
      </c>
      <c r="K11">
        <v>12</v>
      </c>
      <c r="L11">
        <v>24</v>
      </c>
      <c r="M11">
        <v>48</v>
      </c>
    </row>
    <row r="12" spans="1:19" x14ac:dyDescent="0.25">
      <c r="A12" s="14" t="s">
        <v>268</v>
      </c>
      <c r="B12" s="10">
        <v>0.185</v>
      </c>
      <c r="C12" s="10">
        <f>B12*2</f>
        <v>0.37</v>
      </c>
      <c r="D12" s="10">
        <f>B12*3</f>
        <v>0.55499999999999994</v>
      </c>
      <c r="E12" s="10">
        <f>B12*4</f>
        <v>0.74</v>
      </c>
      <c r="I12">
        <v>1</v>
      </c>
      <c r="J12" s="10">
        <f>(($P$5*$I12)*J$11)/((($P$5*$I12)*J$11)+60)</f>
        <v>0.23076923076923078</v>
      </c>
      <c r="K12" s="10">
        <f t="shared" ref="K12:M16" si="7">(($P$5*$I12)*K$11)/((($P$5*$I12)*K$11)+60)</f>
        <v>0.31034482758620691</v>
      </c>
      <c r="L12" s="10">
        <f t="shared" si="7"/>
        <v>0.47368421052631576</v>
      </c>
      <c r="M12" s="10">
        <f t="shared" si="7"/>
        <v>0.6428571428571429</v>
      </c>
    </row>
    <row r="13" spans="1:19" x14ac:dyDescent="0.25">
      <c r="A13" s="14" t="s">
        <v>270</v>
      </c>
      <c r="B13" s="23">
        <f>-((60*B12)/(B12-1))</f>
        <v>13.619631901840492</v>
      </c>
      <c r="C13" s="23">
        <f t="shared" ref="C13:D13" si="8">-((60*C12)/(C12-1))</f>
        <v>35.238095238095234</v>
      </c>
      <c r="D13" s="23">
        <f t="shared" si="8"/>
        <v>74.831460674157285</v>
      </c>
      <c r="E13" s="23">
        <f>-((60*E12)/(E12-1))</f>
        <v>170.76923076923075</v>
      </c>
      <c r="F13" s="23"/>
      <c r="I13">
        <v>2</v>
      </c>
      <c r="J13" s="10">
        <f t="shared" ref="J13:J16" si="9">(($P$5*$I13)*J$11)/((($P$5*$I13)*J$11)+60)</f>
        <v>0.375</v>
      </c>
      <c r="K13" s="10">
        <f t="shared" si="7"/>
        <v>0.47368421052631576</v>
      </c>
      <c r="L13" s="10">
        <f t="shared" si="7"/>
        <v>0.6428571428571429</v>
      </c>
      <c r="M13" s="10">
        <f t="shared" si="7"/>
        <v>0.78260869565217395</v>
      </c>
    </row>
    <row r="14" spans="1:19" x14ac:dyDescent="0.25">
      <c r="A14" s="14" t="s">
        <v>271</v>
      </c>
      <c r="B14" s="23">
        <f>$P$5*B5</f>
        <v>13.5</v>
      </c>
      <c r="C14" s="23">
        <f>$P$5*C5</f>
        <v>27</v>
      </c>
      <c r="D14" s="23">
        <f>$P$5*D5</f>
        <v>54</v>
      </c>
      <c r="E14" s="23">
        <f>$P$5*E5</f>
        <v>108</v>
      </c>
      <c r="I14">
        <v>3</v>
      </c>
      <c r="J14" s="10">
        <f t="shared" si="9"/>
        <v>0.47368421052631576</v>
      </c>
      <c r="K14" s="10">
        <f t="shared" si="7"/>
        <v>0.57446808510638303</v>
      </c>
      <c r="L14" s="10">
        <f t="shared" si="7"/>
        <v>0.72972972972972971</v>
      </c>
      <c r="M14" s="10">
        <f t="shared" si="7"/>
        <v>0.84375</v>
      </c>
    </row>
    <row r="15" spans="1:19" x14ac:dyDescent="0.25">
      <c r="A15" s="14" t="s">
        <v>272</v>
      </c>
      <c r="B15" s="10">
        <f>((B3*$P$5)+B9)/((B3*$P$5)+60+B9)</f>
        <v>0.23194722582165156</v>
      </c>
      <c r="C15" s="10">
        <f>((C3*$P$5)+C9)/((C3*$P$5)+60+C9)</f>
        <v>0.42439470077661029</v>
      </c>
      <c r="D15" s="10">
        <f>((D3*$P$5)+D9)/((D3*$P$5)+60+D9)</f>
        <v>0.60741067490074985</v>
      </c>
      <c r="E15" s="10">
        <f>((E3*$P$5)+E9)/((E3*$P$5)+60+E9)</f>
        <v>0.77508650519031153</v>
      </c>
      <c r="I15">
        <v>4</v>
      </c>
      <c r="J15" s="10">
        <f t="shared" si="9"/>
        <v>0.54545454545454541</v>
      </c>
      <c r="K15" s="10">
        <f t="shared" si="7"/>
        <v>0.6428571428571429</v>
      </c>
      <c r="L15" s="10">
        <f t="shared" si="7"/>
        <v>0.78260869565217395</v>
      </c>
      <c r="M15" s="10">
        <f t="shared" si="7"/>
        <v>0.87804878048780488</v>
      </c>
    </row>
    <row r="16" spans="1:19" x14ac:dyDescent="0.25">
      <c r="A16" s="14" t="s">
        <v>273</v>
      </c>
      <c r="B16">
        <f>(B5*$O$5)/B6</f>
        <v>0.8</v>
      </c>
      <c r="C16" s="23">
        <f t="shared" ref="C16:E16" si="10">(C5*$O$5)/C6</f>
        <v>0.8</v>
      </c>
      <c r="D16" s="23">
        <f t="shared" si="10"/>
        <v>0.8</v>
      </c>
      <c r="E16" s="23">
        <f t="shared" si="10"/>
        <v>0.8</v>
      </c>
      <c r="F16" s="23"/>
      <c r="I16">
        <v>5</v>
      </c>
      <c r="J16" s="10">
        <f t="shared" si="9"/>
        <v>0.6</v>
      </c>
      <c r="K16" s="10">
        <f t="shared" si="7"/>
        <v>0.69230769230769229</v>
      </c>
      <c r="L16" s="10">
        <f t="shared" si="7"/>
        <v>0.81818181818181823</v>
      </c>
      <c r="M16" s="10">
        <f t="shared" si="7"/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138" workbookViewId="0">
      <selection activeCell="W139" sqref="W139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7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8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8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8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Formulas'!$E$10:$Z$115,15,0),weapon_components!L8),1)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Formulas'!$E$10:$Z$115,15,0),weapon_components!L9),1)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Formulas'!$E$10:$Z$115,15,0),weapon_components!L10),1)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19.07</v>
      </c>
      <c r="E11" s="5">
        <f>ROUND(_xlfn.IFNA(VLOOKUP(A11,'Weapon Formulas'!$E$10:$Q$115,12,0),weapon_components!E11),2)</f>
        <v>31.78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Formulas'!$E$10:$Z$115,15,0),weapon_components!L11),1)</f>
        <v>26.9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42.48</v>
      </c>
      <c r="E12" s="5">
        <f>ROUND(_xlfn.IFNA(VLOOKUP(A12,'Weapon Formulas'!$E$10:$Q$115,12,0),weapon_components!E12),2)</f>
        <v>70.790000000000006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Formulas'!$E$10:$Z$115,15,0),weapon_components!L12),1)</f>
        <v>33.6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97.77</v>
      </c>
      <c r="E13" s="5">
        <f>ROUND(_xlfn.IFNA(VLOOKUP(A13,'Weapon Formulas'!$E$10:$Q$115,12,0),weapon_components!E13),2)</f>
        <v>162.96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Formulas'!$E$10:$Z$115,15,0),weapon_components!L13),1)</f>
        <v>40.299999999999997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31.06</v>
      </c>
      <c r="E14" s="5">
        <f>ROUND(_xlfn.IFNA(VLOOKUP(A14,'Weapon Formulas'!$E$10:$Q$115,12,0),weapon_components!E14),2)</f>
        <v>51.76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Formulas'!$E$10:$Z$115,15,0),weapon_components!L14),1)</f>
        <v>29.8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68.77</v>
      </c>
      <c r="E15" s="5">
        <f>ROUND(_xlfn.IFNA(VLOOKUP(A15,'Weapon Formulas'!$E$10:$Q$115,12,0),weapon_components!E15),2)</f>
        <v>114.61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Formulas'!$E$10:$Z$115,15,0),weapon_components!L15),1)</f>
        <v>37.200000000000003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157.52000000000001</v>
      </c>
      <c r="E16" s="5">
        <f>ROUND(_xlfn.IFNA(VLOOKUP(A16,'Weapon Formulas'!$E$10:$Q$115,12,0),weapon_components!E16),2)</f>
        <v>262.54000000000002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Formulas'!$E$10:$Z$115,15,0),weapon_components!L16),1)</f>
        <v>44.6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44.75</v>
      </c>
      <c r="E17" s="5">
        <f>ROUND(_xlfn.IFNA(VLOOKUP(A17,'Weapon Formulas'!$E$10:$Q$115,12,0),weapon_components!E17),2)</f>
        <v>74.59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Formulas'!$E$10:$Z$115,15,0),weapon_components!L17),1)</f>
        <v>32.6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98.56</v>
      </c>
      <c r="E18" s="5">
        <f>ROUND(_xlfn.IFNA(VLOOKUP(A18,'Weapon Formulas'!$E$10:$Q$115,12,0),weapon_components!E18),2)</f>
        <v>164.27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Formulas'!$E$10:$Z$115,15,0),weapon_components!L18),1)</f>
        <v>40.799999999999997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224.73</v>
      </c>
      <c r="E19" s="5">
        <f>ROUND(_xlfn.IFNA(VLOOKUP(A19,'Weapon Formulas'!$E$10:$Q$115,12,0),weapon_components!E19),2)</f>
        <v>374.55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Formulas'!$E$10:$Z$115,15,0),weapon_components!L19),1)</f>
        <v>49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60.16</v>
      </c>
      <c r="E20" s="5">
        <f>ROUND(_xlfn.IFNA(VLOOKUP(A20,'Weapon Formulas'!$E$10:$Q$115,12,0),weapon_components!E20),2)</f>
        <v>100.27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Formulas'!$E$10:$Z$115,15,0),weapon_components!L20),1)</f>
        <v>35.5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131.85</v>
      </c>
      <c r="E21" s="5">
        <f>ROUND(_xlfn.IFNA(VLOOKUP(A21,'Weapon Formulas'!$E$10:$Q$115,12,0),weapon_components!E21),2)</f>
        <v>219.76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Formulas'!$E$10:$Z$115,15,0),weapon_components!L21),1)</f>
        <v>44.4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299.39999999999998</v>
      </c>
      <c r="E22" s="5">
        <f>ROUND(_xlfn.IFNA(VLOOKUP(A22,'Weapon Formulas'!$E$10:$Q$115,12,0),weapon_components!E22),2)</f>
        <v>499.01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Formulas'!$E$10:$Z$115,15,0),weapon_components!L22),1)</f>
        <v>53.3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Formulas'!$E$10:$Z$115,15,0),weapon_components!L24),1)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Formulas'!$E$10:$Z$115,15,0),weapon_components!L25),1)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Formulas'!$E$10:$Z$115,15,0),weapon_components!L26),1)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336.94</v>
      </c>
      <c r="E28" s="5">
        <f>ROUND(_xlfn.IFNA(VLOOKUP(A28,'Weapon Formulas'!$E$10:$Q$115,12,0),weapon_components!E28),2)</f>
        <v>561.57000000000005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Formulas'!$E$10:$Z$115,15,0),weapon_components!L28),1)</f>
        <v>49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377.22</v>
      </c>
      <c r="E29" s="5">
        <f>ROUND(_xlfn.IFNA(VLOOKUP(A29,'Weapon Formulas'!$E$10:$Q$115,12,0),weapon_components!E29),2)</f>
        <v>628.71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Formulas'!$E$10:$Z$115,15,0),weapon_components!L29),1)</f>
        <v>53.3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24.79</v>
      </c>
      <c r="E31" s="5">
        <f>ROUND(_xlfn.IFNA(VLOOKUP(A31,'Weapon Formulas'!$E$10:$Q$115,12,0),weapon_components!E31),2)</f>
        <v>41.32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Formulas'!$E$10:$Z$115,15,0),weapon_components!L31),1)</f>
        <v>29.8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44.34</v>
      </c>
      <c r="E32" s="5">
        <f>ROUND(_xlfn.IFNA(VLOOKUP(A32,'Weapon Formulas'!$E$10:$Q$115,12,0),weapon_components!E32),2)</f>
        <v>73.900000000000006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Formulas'!$E$10:$Z$115,15,0),weapon_components!L32),1)</f>
        <v>37.200000000000003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80.84</v>
      </c>
      <c r="E33" s="5">
        <f>ROUND(_xlfn.IFNA(VLOOKUP(A33,'Weapon Formulas'!$E$10:$Q$115,12,0),weapon_components!E33),2)</f>
        <v>134.72999999999999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Formulas'!$E$10:$Z$115,15,0),weapon_components!L33),1)</f>
        <v>44.6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31.95</v>
      </c>
      <c r="E34" s="5">
        <f>ROUND(_xlfn.IFNA(VLOOKUP(A34,'Weapon Formulas'!$E$10:$Q$115,12,0),weapon_components!E34),2)</f>
        <v>53.25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Formulas'!$E$10:$Z$115,15,0),weapon_components!L34),1)</f>
        <v>32.6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56</v>
      </c>
      <c r="E35" s="5">
        <f>ROUND(_xlfn.IFNA(VLOOKUP(A35,'Weapon Formulas'!$E$10:$Q$115,12,0),weapon_components!E35),2)</f>
        <v>93.33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Formulas'!$E$10:$Z$115,15,0),weapon_components!L35),1)</f>
        <v>40.799999999999997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99.31</v>
      </c>
      <c r="E36" s="5">
        <f>ROUND(_xlfn.IFNA(VLOOKUP(A36,'Weapon Formulas'!$E$10:$Q$115,12,0),weapon_components!E36),2)</f>
        <v>165.52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Formulas'!$E$10:$Z$115,15,0),weapon_components!L36),1)</f>
        <v>49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38.28</v>
      </c>
      <c r="E37" s="5">
        <f>ROUND(_xlfn.IFNA(VLOOKUP(A37,'Weapon Formulas'!$E$10:$Q$115,12,0),weapon_components!E37),2)</f>
        <v>63.8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Formulas'!$E$10:$Z$115,15,0),weapon_components!L37),1)</f>
        <v>35.5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65.260000000000005</v>
      </c>
      <c r="E38" s="5">
        <f>ROUND(_xlfn.IFNA(VLOOKUP(A38,'Weapon Formulas'!$E$10:$Q$115,12,0),weapon_components!E38),2)</f>
        <v>108.77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Formulas'!$E$10:$Z$115,15,0),weapon_components!L38),1)</f>
        <v>44.4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111.14</v>
      </c>
      <c r="E39" s="5">
        <f>ROUND(_xlfn.IFNA(VLOOKUP(A39,'Weapon Formulas'!$E$10:$Q$115,12,0),weapon_components!E39),2)</f>
        <v>185.23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Formulas'!$E$10:$Z$115,15,0),weapon_components!L39),1)</f>
        <v>53.3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848.07</v>
      </c>
      <c r="E41" s="5">
        <f>ROUND(_xlfn.IFNA(VLOOKUP(A41,'Weapon Formulas'!$E$10:$Q$115,12,0),weapon_components!E41),2)</f>
        <v>1413.45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Formulas'!$E$10:$Z$115,15,0),weapon_components!L41),1)</f>
        <v>49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1265.94</v>
      </c>
      <c r="E42" s="5">
        <f>ROUND(_xlfn.IFNA(VLOOKUP(A42,'Weapon Formulas'!$E$10:$Q$115,12,0),weapon_components!E42),2)</f>
        <v>2109.9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Formulas'!$E$10:$Z$115,15,0),weapon_components!L42),1)</f>
        <v>53.3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61.74</v>
      </c>
      <c r="E44" s="5">
        <f>ROUND(_xlfn.IFNA(VLOOKUP(A44,'Weapon Formulas'!$E$10:$Q$115,12,0),weapon_components!E44),2)</f>
        <v>102.89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Formulas'!$E$10:$Z$115,15,0),weapon_components!L44),1)</f>
        <v>22.3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26.33</v>
      </c>
      <c r="E45" s="5">
        <f>ROUND(_xlfn.IFNA(VLOOKUP(A45,'Weapon Formulas'!$E$10:$Q$115,12,0),weapon_components!E45),2)</f>
        <v>43.88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Formulas'!$E$10:$Z$115,15,0),weapon_components!L45),1)</f>
        <v>26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44.87</v>
      </c>
      <c r="E46" s="5">
        <f>ROUND(_xlfn.IFNA(VLOOKUP(A46,'Weapon Formulas'!$E$10:$Q$115,12,0),weapon_components!E46),2)</f>
        <v>74.78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Formulas'!$E$10:$Z$115,15,0),weapon_components!L46),1)</f>
        <v>29.8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18.93</v>
      </c>
      <c r="E47" s="5">
        <f>ROUND(_xlfn.IFNA(VLOOKUP(A47,'Weapon Formulas'!$E$10:$Q$115,12,0),weapon_components!E47),2)</f>
        <v>31.55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Formulas'!$E$10:$Z$115,15,0),weapon_components!L47),1)</f>
        <v>24.5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31.01</v>
      </c>
      <c r="E48" s="5">
        <f>ROUND(_xlfn.IFNA(VLOOKUP(A48,'Weapon Formulas'!$E$10:$Q$115,12,0),weapon_components!E48),2)</f>
        <v>51.68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Formulas'!$E$10:$Z$115,15,0),weapon_components!L48),1)</f>
        <v>28.6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49.55</v>
      </c>
      <c r="E49" s="5">
        <f>ROUND(_xlfn.IFNA(VLOOKUP(A49,'Weapon Formulas'!$E$10:$Q$115,12,0),weapon_components!E49),2)</f>
        <v>82.59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Formulas'!$E$10:$Z$115,15,0),weapon_components!L49),1)</f>
        <v>32.6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21.17</v>
      </c>
      <c r="E50" s="5">
        <f>ROUND(_xlfn.IFNA(VLOOKUP(A50,'Weapon Formulas'!$E$10:$Q$115,12,0),weapon_components!E50),2)</f>
        <v>35.28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Formulas'!$E$10:$Z$115,15,0),weapon_components!L50),1)</f>
        <v>26.6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32.51</v>
      </c>
      <c r="E51" s="5">
        <f>ROUND(_xlfn.IFNA(VLOOKUP(A51,'Weapon Formulas'!$E$10:$Q$115,12,0),weapon_components!E51),2)</f>
        <v>54.18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Formulas'!$E$10:$Z$115,15,0),weapon_components!L51),1)</f>
        <v>31.1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46.18</v>
      </c>
      <c r="E52" s="5">
        <f>ROUND(_xlfn.IFNA(VLOOKUP(A52,'Weapon Formulas'!$E$10:$Q$115,12,0),weapon_components!E52),2)</f>
        <v>76.97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Formulas'!$E$10:$Z$115,15,0),weapon_components!L52),1)</f>
        <v>35.5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634.4</v>
      </c>
      <c r="E54" s="5">
        <f>ROUND(_xlfn.IFNA(VLOOKUP(A54,'Weapon Formulas'!$E$10:$Q$115,12,0),weapon_components!E54),2)</f>
        <v>1057.33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Formulas'!$E$10:$Z$115,15,0),weapon_components!L54),1)</f>
        <v>97.9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846.33</v>
      </c>
      <c r="E55" s="5">
        <f>ROUND(_xlfn.IFNA(VLOOKUP(A55,'Weapon Formulas'!$E$10:$Q$115,12,0),weapon_components!E55),2)</f>
        <v>1410.56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Formulas'!$E$10:$Z$115,15,0),weapon_components!L55),1)</f>
        <v>106.6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Formulas'!$E$10:$Z$115,15,0),weapon_components!L57),1)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Formulas'!$E$10:$Z$115,15,0),weapon_components!L58),1)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Formulas'!$E$10:$Z$115,15,0),weapon_components!L59),1)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17.46</v>
      </c>
      <c r="E60" s="5">
        <f>ROUND(_xlfn.IFNA(VLOOKUP(A60,'Weapon Formulas'!$E$10:$Q$115,12,0),weapon_components!E60),2)</f>
        <v>29.11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Formulas'!$E$10:$Z$115,15,0),weapon_components!L60),1)</f>
        <v>40.299999999999997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31.15</v>
      </c>
      <c r="E61" s="5">
        <f>ROUND(_xlfn.IFNA(VLOOKUP(A61,'Weapon Formulas'!$E$10:$Q$115,12,0),weapon_components!E61),2)</f>
        <v>51.91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Formulas'!$E$10:$Z$115,15,0),weapon_components!L61),1)</f>
        <v>50.4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54.8</v>
      </c>
      <c r="E62" s="5">
        <f>ROUND(_xlfn.IFNA(VLOOKUP(A62,'Weapon Formulas'!$E$10:$Q$115,12,0),weapon_components!E62),2)</f>
        <v>91.33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Formulas'!$E$10:$Z$115,15,0),weapon_components!L62),1)</f>
        <v>60.5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28.65</v>
      </c>
      <c r="E63" s="5">
        <f>ROUND(_xlfn.IFNA(VLOOKUP(A63,'Weapon Formulas'!$E$10:$Q$115,12,0),weapon_components!E63),2)</f>
        <v>47.76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Formulas'!$E$10:$Z$115,15,0),weapon_components!L63),1)</f>
        <v>44.6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51.19</v>
      </c>
      <c r="E64" s="5">
        <f>ROUND(_xlfn.IFNA(VLOOKUP(A64,'Weapon Formulas'!$E$10:$Q$115,12,0),weapon_components!E64),2)</f>
        <v>85.32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Formulas'!$E$10:$Z$115,15,0),weapon_components!L64),1)</f>
        <v>55.8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90.2</v>
      </c>
      <c r="E65" s="5">
        <f>ROUND(_xlfn.IFNA(VLOOKUP(A65,'Weapon Formulas'!$E$10:$Q$115,12,0),weapon_components!E65),2)</f>
        <v>150.33000000000001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Formulas'!$E$10:$Z$115,15,0),weapon_components!L65),1)</f>
        <v>67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42.24</v>
      </c>
      <c r="E66" s="5">
        <f>ROUND(_xlfn.IFNA(VLOOKUP(A66,'Weapon Formulas'!$E$10:$Q$115,12,0),weapon_components!E66),2)</f>
        <v>70.400000000000006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Formulas'!$E$10:$Z$115,15,0),weapon_components!L66),1)</f>
        <v>49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75.52</v>
      </c>
      <c r="E67" s="5">
        <f>ROUND(_xlfn.IFNA(VLOOKUP(A67,'Weapon Formulas'!$E$10:$Q$115,12,0),weapon_components!E67),2)</f>
        <v>125.87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Formulas'!$E$10:$Z$115,15,0),weapon_components!L67),1)</f>
        <v>61.2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133.18</v>
      </c>
      <c r="E68" s="5">
        <f>ROUND(_xlfn.IFNA(VLOOKUP(A68,'Weapon Formulas'!$E$10:$Q$115,12,0),weapon_components!E68),2)</f>
        <v>221.97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Formulas'!$E$10:$Z$115,15,0),weapon_components!L68),1)</f>
        <v>73.400000000000006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59.09</v>
      </c>
      <c r="E69" s="5">
        <f>ROUND(_xlfn.IFNA(VLOOKUP(A69,'Weapon Formulas'!$E$10:$Q$115,12,0),weapon_components!E69),2)</f>
        <v>98.49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Formulas'!$E$10:$Z$115,15,0),weapon_components!L69),1)</f>
        <v>53.3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105.7</v>
      </c>
      <c r="E70" s="5">
        <f>ROUND(_xlfn.IFNA(VLOOKUP(A70,'Weapon Formulas'!$E$10:$Q$115,12,0),weapon_components!E70),2)</f>
        <v>176.17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Formulas'!$E$10:$Z$115,15,0),weapon_components!L70),1)</f>
        <v>66.599999999999994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186.48</v>
      </c>
      <c r="E71" s="5">
        <f>ROUND(_xlfn.IFNA(VLOOKUP(A71,'Weapon Formulas'!$E$10:$Q$115,12,0),weapon_components!E71),2)</f>
        <v>310.81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Formulas'!$E$10:$Z$115,15,0),weapon_components!L71),1)</f>
        <v>79.900000000000006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Formulas'!$E$10:$Z$115,15,0),weapon_components!L73),1)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Formulas'!$E$10:$Z$115,15,0),weapon_components!L74),1)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Formulas'!$E$10:$Z$115,15,0),weapon_components!L75),1)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Formulas'!$E$10:$Z$115,15,0),weapon_components!L77),1)</f>
        <v>97.9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Formulas'!$E$10:$Z$115,15,0),weapon_components!L78),1)</f>
        <v>106.6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Formulas'!$E$10:$Z$115,15,0),weapon_components!L80),1)</f>
        <v>44.6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Formulas'!$E$10:$Z$115,15,0),weapon_components!L81),1)</f>
        <v>55.8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Formulas'!$E$10:$Z$115,15,0),weapon_components!L82),1)</f>
        <v>67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Formulas'!$E$10:$Z$115,15,0),weapon_components!L83),1)</f>
        <v>49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Formulas'!$E$10:$Z$115,15,0),weapon_components!L84),1)</f>
        <v>61.2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Formulas'!$E$10:$Z$115,15,0),weapon_components!L85),1)</f>
        <v>73.400000000000006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Formulas'!$E$10:$Z$115,15,0),weapon_components!L86),1)</f>
        <v>53.3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Formulas'!$E$10:$Z$115,15,0),weapon_components!L87),1)</f>
        <v>66.599999999999994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Formulas'!$E$10:$Z$115,15,0),weapon_components!L88),1)</f>
        <v>79.900000000000006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f>ROUND(_xlfn.IFNA(VLOOKUP(A90,'Weapon Formulas'!$E$10:$Z$115,15,0),weapon_components!L90),1)</f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Formulas'!$E$10:$Z$115,15,0),weapon_components!L91),1)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Formulas'!$E$10:$Z$115,15,0),weapon_components!L93),1)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Formulas'!$E$10:$Z$115,15,0),weapon_components!L94),1)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Formulas'!$E$10:$Z$115,15,0),weapon_components!L95),1)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Formulas'!$E$10:$Z$115,15,0),weapon_components!L96),1)</f>
        <v>53.8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Formulas'!$E$10:$Z$115,15,0),weapon_components!L97),1)</f>
        <v>67.2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Formulas'!$E$10:$Z$115,15,0),weapon_components!L98),1)</f>
        <v>80.599999999999994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Formulas'!$E$10:$Z$115,15,0),weapon_components!L99),1)</f>
        <v>59.5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Formulas'!$E$10:$Z$115,15,0),weapon_components!L100),1)</f>
        <v>74.400000000000006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Formulas'!$E$10:$Z$115,15,0),weapon_components!L101),1)</f>
        <v>89.3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Formulas'!$E$10:$Z$115,15,0),weapon_components!L102),1)</f>
        <v>65.3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Formulas'!$E$10:$Z$115,15,0),weapon_components!L103),1)</f>
        <v>81.599999999999994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Formulas'!$E$10:$Z$115,15,0),weapon_components!L104),1)</f>
        <v>97.9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Formulas'!$E$10:$Z$115,15,0),weapon_components!L105),1)</f>
        <v>71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Formulas'!$E$10:$Z$115,15,0),weapon_components!L106),1)</f>
        <v>88.8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Formulas'!$E$10:$Z$115,15,0),weapon_components!L107),1)</f>
        <v>106.6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Formulas'!$E$10:$Z$115,15,0),weapon_components!L109),1)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Formulas'!$E$10:$Z$115,15,0),weapon_components!L110),1)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Formulas'!$E$10:$Z$115,15,0),weapon_components!L111),1)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Formulas'!$E$10:$Z$115,15,0),weapon_components!L113),1)</f>
        <v>59.5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Formulas'!$E$10:$Z$115,15,0),weapon_components!L114),1)</f>
        <v>74.400000000000006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Formulas'!$E$10:$Z$115,15,0),weapon_components!L115),1)</f>
        <v>89.3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Formulas'!$E$10:$Z$115,15,0),weapon_components!L116),1)</f>
        <v>65.3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Formulas'!$E$10:$Z$115,15,0),weapon_components!L117),1)</f>
        <v>81.599999999999994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Formulas'!$E$10:$Z$115,15,0),weapon_components!L118),1)</f>
        <v>97.9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Formulas'!$E$10:$Z$115,15,0),weapon_components!L119),1)</f>
        <v>71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Formulas'!$E$10:$Z$115,15,0),weapon_components!L120),1)</f>
        <v>88.8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Formulas'!$E$10:$Z$115,15,0),weapon_components!L121),1)</f>
        <v>106.6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Formulas'!$E$10:$Z$115,15,0),weapon_components!L123),1)</f>
        <v>81.599999999999994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Formulas'!$E$10:$Z$115,15,0),weapon_components!L124),1)</f>
        <v>88.8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Formulas'!$E$10:$Z$115,15,0),weapon_components!L126),1)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Formulas'!$E$10:$Z$115,15,0),weapon_components!L127),1)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Formulas'!$E$10:$Z$115,15,0),weapon_components!L129),1)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Formulas'!$E$10:$Z$115,15,0),weapon_components!L130),1)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Formulas'!$E$10:$Z$115,15,0),weapon_components!L131),1)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Formulas'!$E$10:$Z$115,15,0),weapon_components!L132),1)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Formulas'!$E$10:$Z$115,15,0),weapon_components!L133),1)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Formulas'!$E$10:$Z$115,15,0),weapon_components!L134),1)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Formulas'!$E$10:$Z$115,15,0),weapon_components!L135),1)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Formulas'!$E$10:$Z$115,15,0),weapon_components!L136),1)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Formulas'!$E$10:$Z$115,15,0),weapon_components!L137),1)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Formulas'!$E$10:$Z$115,15,0),weapon_components!L138),1)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Formulas'!$E$10:$Z$115,15,0),weapon_components!L139),1)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Formulas'!$E$10:$Z$115,15,0),weapon_components!L140),1)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Formulas'!$E$10:$Z$115,15,0),weapon_components!L141),1)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Formulas'!$E$10:$Z$115,15,0),weapon_components!L142),1)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Formulas'!$E$10:$Z$115,15,0),weapon_components!L143),1)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Formulas'!$E$10:$Z$115,15,0),weapon_components!L144),1)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Formulas'!$E$10:$Z$115,15,0),weapon_components!L145),1)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Formulas'!$E$10:$Z$115,15,0),weapon_components!L146),1)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Formulas'!$E$10:$Z$115,15,0),weapon_components!L147),1)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Formulas'!$E$10:$Z$115,15,0),weapon_components!L148),1)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Formulas'!$E$10:$Z$115,15,0),weapon_components!L149),1)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Formulas'!$E$10:$Z$115,15,0),weapon_components!L150),1)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Formulas'!$E$10:$Z$115,15,0),weapon_components!L151),1)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Formulas'!$E$10:$Z$115,15,0),weapon_components!L152),1)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Formulas'!$E$10:$Z$115,15,0),weapon_components!L154),1)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Formulas'!$E$10:$Z$115,15,0),weapon_components!L155),1)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Formulas'!$E$10:$Z$115,15,0),weapon_components!L156),1)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Formulas'!$E$10:$Z$115,15,0),weapon_components!L157),1)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Formulas'!$E$10:$Z$115,15,0),weapon_components!L158),1)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Formulas'!$E$10:$Z$115,15,0),weapon_components!L159),1)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Formulas'!$E$10:$Z$115,15,0),weapon_components!L160),1)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Formulas'!$E$10:$Z$115,15,0),weapon_components!L161),1)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Formulas'!$E$10:$Z$115,15,0),weapon_components!L163),1)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Formulas'!$E$10:$Z$115,15,0),weapon_components!L164),1)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Formulas'!$E$10:$Z$115,15,0),weapon_components!L165),1)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Formulas'!$E$10:$Z$115,15,0),weapon_components!L167),1)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Formulas'!$E$10:$Z$115,15,0),weapon_components!L168),1)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Formulas'!$E$10:$Z$115,15,0),weapon_components!L169),1)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Formulas'!$E$10:$Z$115,15,0),weapon_components!L170),1)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Formulas'!$E$10:$Z$115,15,0),weapon_components!L171),1)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Formulas'!$E$10:$Z$115,15,0),weapon_components!L172),1)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Formulas'!$E$10:$Z$115,15,0),weapon_components!L174),1)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f>ROUND(_xlfn.IFNA(VLOOKUP(A176,'Weapon Formulas'!$E$10:$V$115,17,0),weapon_components!C176),2)</f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Formulas'!$E$10:$Z$115,15,0),weapon_components!L176),0)</f>
        <v>8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f>ROUND(_xlfn.IFNA(VLOOKUP(A177,'Weapon Formulas'!$E$10:$V$115,17,0),weapon_components!C177),2)</f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Formulas'!$E$10:$Z$115,15,0),weapon_components!L177),0)</f>
        <v>8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f>ROUND(_xlfn.IFNA(VLOOKUP(A178,'Weapon Formulas'!$E$10:$V$115,17,0),weapon_components!C178),2)</f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Formulas'!$E$10:$Z$115,15,0),weapon_components!L178),0)</f>
        <v>8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Ship Design Balancing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2016-05-18T00:09:38Z</dcterms:modified>
</cp:coreProperties>
</file>