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tabRatio="737" firstSheet="1" activeTab="2"/>
  </bookViews>
  <sheets>
    <sheet name="weapon_components" sheetId="4" r:id="rId1"/>
    <sheet name="Weapon Formulas" sheetId="2" r:id="rId2"/>
    <sheet name="Ship Design Balancing" sheetId="5" r:id="rId3"/>
    <sheet name="gen_weapon_components" sheetId="3" r:id="rId4"/>
  </sheets>
  <calcPr calcId="171027"/>
</workbook>
</file>

<file path=xl/calcChain.xml><?xml version="1.0" encoding="utf-8"?>
<calcChain xmlns="http://schemas.openxmlformats.org/spreadsheetml/2006/main">
  <c r="E14" i="5" l="1"/>
  <c r="B13" i="5"/>
  <c r="O8" i="5" l="1"/>
  <c r="B16" i="5"/>
  <c r="C16" i="5"/>
  <c r="D16" i="5"/>
  <c r="E16" i="5"/>
  <c r="D6" i="5"/>
  <c r="E6" i="5"/>
  <c r="C6" i="5"/>
  <c r="N5" i="5"/>
  <c r="B8" i="5"/>
  <c r="P9" i="5"/>
  <c r="C14" i="5"/>
  <c r="D14" i="5"/>
  <c r="B14" i="5"/>
  <c r="E12" i="5"/>
  <c r="E13" i="5" s="1"/>
  <c r="B11" i="5"/>
  <c r="D12" i="5"/>
  <c r="D13" i="5" s="1"/>
  <c r="C12" i="5"/>
  <c r="C13" i="5" s="1"/>
  <c r="J11" i="5"/>
  <c r="J12" i="5" s="1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K12" i="5"/>
  <c r="L12" i="5"/>
  <c r="M12" i="5"/>
  <c r="C8" i="5"/>
  <c r="D8" i="5"/>
  <c r="E8" i="5"/>
  <c r="S3" i="5"/>
  <c r="C5" i="5"/>
  <c r="D5" i="5"/>
  <c r="E5" i="5"/>
  <c r="B5" i="5"/>
  <c r="E9" i="5" l="1"/>
  <c r="E15" i="5" s="1"/>
  <c r="D9" i="5"/>
  <c r="D15" i="5" s="1"/>
  <c r="C9" i="5"/>
  <c r="C15" i="5" s="1"/>
  <c r="B9" i="5"/>
  <c r="B15" i="5" s="1"/>
  <c r="C24" i="3"/>
  <c r="C25" i="3"/>
  <c r="C26" i="3"/>
  <c r="C73" i="3"/>
  <c r="C74" i="3"/>
  <c r="C75" i="3"/>
  <c r="C109" i="3"/>
  <c r="C110" i="3"/>
  <c r="C111" i="3"/>
  <c r="C126" i="3"/>
  <c r="C127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4" i="3"/>
  <c r="C155" i="3"/>
  <c r="C156" i="3"/>
  <c r="C157" i="3"/>
  <c r="C158" i="3"/>
  <c r="C159" i="3"/>
  <c r="C160" i="3"/>
  <c r="C161" i="3"/>
  <c r="C163" i="3"/>
  <c r="C164" i="3"/>
  <c r="C165" i="3"/>
  <c r="C167" i="3"/>
  <c r="C168" i="3"/>
  <c r="C169" i="3"/>
  <c r="C170" i="3"/>
  <c r="C171" i="3"/>
  <c r="C172" i="3"/>
  <c r="C174" i="3"/>
  <c r="C176" i="3"/>
  <c r="C177" i="3"/>
  <c r="C178" i="3"/>
  <c r="D8" i="3"/>
  <c r="U44" i="2"/>
  <c r="C45" i="3" s="1"/>
  <c r="U45" i="2"/>
  <c r="C46" i="3" s="1"/>
  <c r="U46" i="2"/>
  <c r="C47" i="3" s="1"/>
  <c r="U47" i="2"/>
  <c r="C48" i="3" s="1"/>
  <c r="U48" i="2"/>
  <c r="C49" i="3" s="1"/>
  <c r="U49" i="2"/>
  <c r="C50" i="3" s="1"/>
  <c r="U50" i="2"/>
  <c r="C51" i="3" s="1"/>
  <c r="U51" i="2"/>
  <c r="C52" i="3" s="1"/>
  <c r="U43" i="2"/>
  <c r="C44" i="3" s="1"/>
  <c r="U12" i="2"/>
  <c r="C9" i="3" s="1"/>
  <c r="U13" i="2"/>
  <c r="C10" i="3" s="1"/>
  <c r="U14" i="2"/>
  <c r="C11" i="3" s="1"/>
  <c r="U15" i="2"/>
  <c r="C12" i="3" s="1"/>
  <c r="U16" i="2"/>
  <c r="C13" i="3" s="1"/>
  <c r="U17" i="2"/>
  <c r="C14" i="3" s="1"/>
  <c r="U18" i="2"/>
  <c r="C15" i="3" s="1"/>
  <c r="U19" i="2"/>
  <c r="C16" i="3" s="1"/>
  <c r="U20" i="2"/>
  <c r="C17" i="3" s="1"/>
  <c r="U21" i="2"/>
  <c r="C18" i="3" s="1"/>
  <c r="U22" i="2"/>
  <c r="C19" i="3" s="1"/>
  <c r="U23" i="2"/>
  <c r="C20" i="3" s="1"/>
  <c r="U24" i="2"/>
  <c r="C21" i="3" s="1"/>
  <c r="U25" i="2"/>
  <c r="C22" i="3" s="1"/>
  <c r="U27" i="2"/>
  <c r="C28" i="3" s="1"/>
  <c r="U28" i="2"/>
  <c r="C29" i="3" s="1"/>
  <c r="U30" i="2"/>
  <c r="C31" i="3" s="1"/>
  <c r="U31" i="2"/>
  <c r="C32" i="3" s="1"/>
  <c r="U32" i="2"/>
  <c r="C33" i="3" s="1"/>
  <c r="U33" i="2"/>
  <c r="C34" i="3" s="1"/>
  <c r="U34" i="2"/>
  <c r="C35" i="3" s="1"/>
  <c r="U35" i="2"/>
  <c r="C36" i="3" s="1"/>
  <c r="U36" i="2"/>
  <c r="C37" i="3" s="1"/>
  <c r="U37" i="2"/>
  <c r="C38" i="3" s="1"/>
  <c r="U38" i="2"/>
  <c r="C39" i="3" s="1"/>
  <c r="U40" i="2"/>
  <c r="C41" i="3" s="1"/>
  <c r="U41" i="2"/>
  <c r="C42" i="3" s="1"/>
  <c r="U53" i="2"/>
  <c r="C54" i="3" s="1"/>
  <c r="U54" i="2"/>
  <c r="C55" i="3" s="1"/>
  <c r="U56" i="2"/>
  <c r="C57" i="3" s="1"/>
  <c r="U57" i="2"/>
  <c r="C58" i="3" s="1"/>
  <c r="U58" i="2"/>
  <c r="C59" i="3" s="1"/>
  <c r="U59" i="2"/>
  <c r="C60" i="3" s="1"/>
  <c r="U60" i="2"/>
  <c r="C61" i="3" s="1"/>
  <c r="U61" i="2"/>
  <c r="C62" i="3" s="1"/>
  <c r="U62" i="2"/>
  <c r="C63" i="3" s="1"/>
  <c r="U63" i="2"/>
  <c r="C64" i="3" s="1"/>
  <c r="U64" i="2"/>
  <c r="C65" i="3" s="1"/>
  <c r="U65" i="2"/>
  <c r="C66" i="3" s="1"/>
  <c r="U66" i="2"/>
  <c r="C67" i="3" s="1"/>
  <c r="U67" i="2"/>
  <c r="C68" i="3" s="1"/>
  <c r="U68" i="2"/>
  <c r="C69" i="3" s="1"/>
  <c r="U69" i="2"/>
  <c r="C70" i="3" s="1"/>
  <c r="U70" i="2"/>
  <c r="C71" i="3" s="1"/>
  <c r="U72" i="2"/>
  <c r="C77" i="3" s="1"/>
  <c r="U73" i="2"/>
  <c r="C78" i="3" s="1"/>
  <c r="U75" i="2"/>
  <c r="C80" i="3" s="1"/>
  <c r="U76" i="2"/>
  <c r="C81" i="3" s="1"/>
  <c r="U77" i="2"/>
  <c r="C82" i="3" s="1"/>
  <c r="U78" i="2"/>
  <c r="C83" i="3" s="1"/>
  <c r="U79" i="2"/>
  <c r="C84" i="3" s="1"/>
  <c r="U80" i="2"/>
  <c r="C85" i="3" s="1"/>
  <c r="U81" i="2"/>
  <c r="C86" i="3" s="1"/>
  <c r="U82" i="2"/>
  <c r="C87" i="3" s="1"/>
  <c r="U83" i="2"/>
  <c r="C88" i="3" s="1"/>
  <c r="U85" i="2"/>
  <c r="C90" i="3" s="1"/>
  <c r="U86" i="2"/>
  <c r="C91" i="3" s="1"/>
  <c r="U88" i="2"/>
  <c r="C93" i="3" s="1"/>
  <c r="U89" i="2"/>
  <c r="C94" i="3" s="1"/>
  <c r="U90" i="2"/>
  <c r="C95" i="3" s="1"/>
  <c r="U91" i="2"/>
  <c r="C96" i="3" s="1"/>
  <c r="U92" i="2"/>
  <c r="C97" i="3" s="1"/>
  <c r="U93" i="2"/>
  <c r="C98" i="3" s="1"/>
  <c r="U94" i="2"/>
  <c r="C99" i="3" s="1"/>
  <c r="U95" i="2"/>
  <c r="C100" i="3" s="1"/>
  <c r="U96" i="2"/>
  <c r="C101" i="3" s="1"/>
  <c r="U97" i="2"/>
  <c r="C102" i="3" s="1"/>
  <c r="U98" i="2"/>
  <c r="C103" i="3" s="1"/>
  <c r="U99" i="2"/>
  <c r="C104" i="3" s="1"/>
  <c r="U100" i="2"/>
  <c r="C105" i="3" s="1"/>
  <c r="U101" i="2"/>
  <c r="C106" i="3" s="1"/>
  <c r="U102" i="2"/>
  <c r="C107" i="3" s="1"/>
  <c r="U104" i="2"/>
  <c r="C113" i="3" s="1"/>
  <c r="U105" i="2"/>
  <c r="C114" i="3" s="1"/>
  <c r="U106" i="2"/>
  <c r="C115" i="3" s="1"/>
  <c r="U107" i="2"/>
  <c r="C116" i="3" s="1"/>
  <c r="U108" i="2"/>
  <c r="C117" i="3" s="1"/>
  <c r="U109" i="2"/>
  <c r="C118" i="3" s="1"/>
  <c r="U110" i="2"/>
  <c r="C119" i="3" s="1"/>
  <c r="U111" i="2"/>
  <c r="C120" i="3" s="1"/>
  <c r="U112" i="2"/>
  <c r="C121" i="3" s="1"/>
  <c r="U114" i="2"/>
  <c r="C123" i="3" s="1"/>
  <c r="U115" i="2"/>
  <c r="C124" i="3" s="1"/>
  <c r="U117" i="2"/>
  <c r="U118" i="2"/>
  <c r="U119" i="2"/>
  <c r="U11" i="2"/>
  <c r="C8" i="3" s="1"/>
  <c r="K3" i="5"/>
  <c r="K4" i="5"/>
  <c r="K5" i="5"/>
  <c r="K6" i="5"/>
  <c r="K2" i="5"/>
  <c r="J4" i="5"/>
  <c r="J5" i="5" s="1"/>
  <c r="J6" i="5" s="1"/>
  <c r="J3" i="5"/>
  <c r="C4" i="5"/>
  <c r="D4" i="5"/>
  <c r="E4" i="5"/>
  <c r="B4" i="5"/>
  <c r="U107" i="3" l="1"/>
  <c r="D176" i="3"/>
  <c r="L24" i="3"/>
  <c r="L25" i="3"/>
  <c r="L26" i="3"/>
  <c r="L73" i="3"/>
  <c r="L74" i="3"/>
  <c r="L75" i="3"/>
  <c r="L91" i="3"/>
  <c r="L109" i="3"/>
  <c r="L110" i="3"/>
  <c r="L111" i="3"/>
  <c r="L126" i="3"/>
  <c r="L127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4" i="3"/>
  <c r="L155" i="3"/>
  <c r="L156" i="3"/>
  <c r="L157" i="3"/>
  <c r="L158" i="3"/>
  <c r="L159" i="3"/>
  <c r="L160" i="3"/>
  <c r="L161" i="3"/>
  <c r="L163" i="3"/>
  <c r="L164" i="3"/>
  <c r="L165" i="3"/>
  <c r="L167" i="3"/>
  <c r="L168" i="3"/>
  <c r="L169" i="3"/>
  <c r="L170" i="3"/>
  <c r="L171" i="3"/>
  <c r="L172" i="3"/>
  <c r="L174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4" i="3"/>
  <c r="N25" i="3"/>
  <c r="N26" i="3"/>
  <c r="N28" i="3"/>
  <c r="N29" i="3"/>
  <c r="N31" i="3"/>
  <c r="N32" i="3"/>
  <c r="N33" i="3"/>
  <c r="N34" i="3"/>
  <c r="N35" i="3"/>
  <c r="N36" i="3"/>
  <c r="N37" i="3"/>
  <c r="N38" i="3"/>
  <c r="N39" i="3"/>
  <c r="N41" i="3"/>
  <c r="N42" i="3"/>
  <c r="N44" i="3"/>
  <c r="N45" i="3"/>
  <c r="N46" i="3"/>
  <c r="N47" i="3"/>
  <c r="N48" i="3"/>
  <c r="N49" i="3"/>
  <c r="N50" i="3"/>
  <c r="N51" i="3"/>
  <c r="N52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3" i="3"/>
  <c r="N74" i="3"/>
  <c r="N75" i="3"/>
  <c r="N77" i="3"/>
  <c r="N78" i="3"/>
  <c r="N80" i="3"/>
  <c r="N81" i="3"/>
  <c r="N82" i="3"/>
  <c r="N83" i="3"/>
  <c r="N84" i="3"/>
  <c r="N85" i="3"/>
  <c r="N86" i="3"/>
  <c r="N87" i="3"/>
  <c r="N88" i="3"/>
  <c r="N90" i="3"/>
  <c r="N91" i="3"/>
  <c r="N109" i="3"/>
  <c r="N110" i="3"/>
  <c r="N111" i="3"/>
  <c r="N126" i="3"/>
  <c r="N127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4" i="3"/>
  <c r="N155" i="3"/>
  <c r="N156" i="3"/>
  <c r="N157" i="3"/>
  <c r="N158" i="3"/>
  <c r="N159" i="3"/>
  <c r="N160" i="3"/>
  <c r="N161" i="3"/>
  <c r="N163" i="3"/>
  <c r="N164" i="3"/>
  <c r="N165" i="3"/>
  <c r="N167" i="3"/>
  <c r="N168" i="3"/>
  <c r="N169" i="3"/>
  <c r="N170" i="3"/>
  <c r="N171" i="3"/>
  <c r="N172" i="3"/>
  <c r="N174" i="3"/>
  <c r="N176" i="3"/>
  <c r="N177" i="3"/>
  <c r="N17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D24" i="3"/>
  <c r="E24" i="3"/>
  <c r="F24" i="3"/>
  <c r="G24" i="3"/>
  <c r="H24" i="3"/>
  <c r="D25" i="3"/>
  <c r="E25" i="3"/>
  <c r="F25" i="3"/>
  <c r="G25" i="3"/>
  <c r="H25" i="3"/>
  <c r="D26" i="3"/>
  <c r="E26" i="3"/>
  <c r="F26" i="3"/>
  <c r="G26" i="3"/>
  <c r="H26" i="3"/>
  <c r="G28" i="3"/>
  <c r="G29" i="3"/>
  <c r="G31" i="3"/>
  <c r="G32" i="3"/>
  <c r="G33" i="3"/>
  <c r="G34" i="3"/>
  <c r="G35" i="3"/>
  <c r="G36" i="3"/>
  <c r="G37" i="3"/>
  <c r="G38" i="3"/>
  <c r="G39" i="3"/>
  <c r="G41" i="3"/>
  <c r="G42" i="3"/>
  <c r="G44" i="3"/>
  <c r="G45" i="3"/>
  <c r="G46" i="3"/>
  <c r="G47" i="3"/>
  <c r="G48" i="3"/>
  <c r="G49" i="3"/>
  <c r="G50" i="3"/>
  <c r="G51" i="3"/>
  <c r="G52" i="3"/>
  <c r="G54" i="3"/>
  <c r="G55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D73" i="3"/>
  <c r="E73" i="3"/>
  <c r="F73" i="3"/>
  <c r="G73" i="3"/>
  <c r="H73" i="3"/>
  <c r="D74" i="3"/>
  <c r="E74" i="3"/>
  <c r="F74" i="3"/>
  <c r="G74" i="3"/>
  <c r="H74" i="3"/>
  <c r="D75" i="3"/>
  <c r="E75" i="3"/>
  <c r="F75" i="3"/>
  <c r="G75" i="3"/>
  <c r="H75" i="3"/>
  <c r="F77" i="3"/>
  <c r="G77" i="3"/>
  <c r="F78" i="3"/>
  <c r="G78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G90" i="3"/>
  <c r="H90" i="3"/>
  <c r="F91" i="3"/>
  <c r="G91" i="3"/>
  <c r="H91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D109" i="3"/>
  <c r="E109" i="3"/>
  <c r="F109" i="3"/>
  <c r="G109" i="3"/>
  <c r="H109" i="3"/>
  <c r="D110" i="3"/>
  <c r="E110" i="3"/>
  <c r="F110" i="3"/>
  <c r="G110" i="3"/>
  <c r="H110" i="3"/>
  <c r="D111" i="3"/>
  <c r="E111" i="3"/>
  <c r="F111" i="3"/>
  <c r="G111" i="3"/>
  <c r="H111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3" i="3"/>
  <c r="G123" i="3"/>
  <c r="F124" i="3"/>
  <c r="G124" i="3"/>
  <c r="D126" i="3"/>
  <c r="E126" i="3"/>
  <c r="F126" i="3"/>
  <c r="G126" i="3"/>
  <c r="H126" i="3"/>
  <c r="D127" i="3"/>
  <c r="E127" i="3"/>
  <c r="F127" i="3"/>
  <c r="G127" i="3"/>
  <c r="H127" i="3"/>
  <c r="D129" i="3"/>
  <c r="E129" i="3"/>
  <c r="F129" i="3"/>
  <c r="G129" i="3"/>
  <c r="H129" i="3"/>
  <c r="D130" i="3"/>
  <c r="E130" i="3"/>
  <c r="F130" i="3"/>
  <c r="G130" i="3"/>
  <c r="H130" i="3"/>
  <c r="D131" i="3"/>
  <c r="E131" i="3"/>
  <c r="F131" i="3"/>
  <c r="G131" i="3"/>
  <c r="H131" i="3"/>
  <c r="D132" i="3"/>
  <c r="E132" i="3"/>
  <c r="F132" i="3"/>
  <c r="G132" i="3"/>
  <c r="H132" i="3"/>
  <c r="D133" i="3"/>
  <c r="E133" i="3"/>
  <c r="F133" i="3"/>
  <c r="G133" i="3"/>
  <c r="H133" i="3"/>
  <c r="D134" i="3"/>
  <c r="E134" i="3"/>
  <c r="F134" i="3"/>
  <c r="G134" i="3"/>
  <c r="H134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D141" i="3"/>
  <c r="E141" i="3"/>
  <c r="F141" i="3"/>
  <c r="G141" i="3"/>
  <c r="H141" i="3"/>
  <c r="D142" i="3"/>
  <c r="E142" i="3"/>
  <c r="F142" i="3"/>
  <c r="G142" i="3"/>
  <c r="H142" i="3"/>
  <c r="D143" i="3"/>
  <c r="E143" i="3"/>
  <c r="F143" i="3"/>
  <c r="G143" i="3"/>
  <c r="H143" i="3"/>
  <c r="D144" i="3"/>
  <c r="E144" i="3"/>
  <c r="F144" i="3"/>
  <c r="G144" i="3"/>
  <c r="H144" i="3"/>
  <c r="D145" i="3"/>
  <c r="E145" i="3"/>
  <c r="F145" i="3"/>
  <c r="G145" i="3"/>
  <c r="H145" i="3"/>
  <c r="D146" i="3"/>
  <c r="E146" i="3"/>
  <c r="F146" i="3"/>
  <c r="G146" i="3"/>
  <c r="H146" i="3"/>
  <c r="D147" i="3"/>
  <c r="E147" i="3"/>
  <c r="F147" i="3"/>
  <c r="G147" i="3"/>
  <c r="H147" i="3"/>
  <c r="D148" i="3"/>
  <c r="E148" i="3"/>
  <c r="F148" i="3"/>
  <c r="G148" i="3"/>
  <c r="H148" i="3"/>
  <c r="D149" i="3"/>
  <c r="E149" i="3"/>
  <c r="F149" i="3"/>
  <c r="G149" i="3"/>
  <c r="H149" i="3"/>
  <c r="D150" i="3"/>
  <c r="E150" i="3"/>
  <c r="F150" i="3"/>
  <c r="G150" i="3"/>
  <c r="H150" i="3"/>
  <c r="D151" i="3"/>
  <c r="E151" i="3"/>
  <c r="F151" i="3"/>
  <c r="G151" i="3"/>
  <c r="H151" i="3"/>
  <c r="D152" i="3"/>
  <c r="E152" i="3"/>
  <c r="F152" i="3"/>
  <c r="G152" i="3"/>
  <c r="H152" i="3"/>
  <c r="D154" i="3"/>
  <c r="E154" i="3"/>
  <c r="F154" i="3"/>
  <c r="G154" i="3"/>
  <c r="H154" i="3"/>
  <c r="D155" i="3"/>
  <c r="E155" i="3"/>
  <c r="F155" i="3"/>
  <c r="G155" i="3"/>
  <c r="H155" i="3"/>
  <c r="D156" i="3"/>
  <c r="E156" i="3"/>
  <c r="F156" i="3"/>
  <c r="G156" i="3"/>
  <c r="H156" i="3"/>
  <c r="D157" i="3"/>
  <c r="E157" i="3"/>
  <c r="F157" i="3"/>
  <c r="G157" i="3"/>
  <c r="H157" i="3"/>
  <c r="D158" i="3"/>
  <c r="E158" i="3"/>
  <c r="F158" i="3"/>
  <c r="G158" i="3"/>
  <c r="H158" i="3"/>
  <c r="D159" i="3"/>
  <c r="E159" i="3"/>
  <c r="F159" i="3"/>
  <c r="G159" i="3"/>
  <c r="H159" i="3"/>
  <c r="D160" i="3"/>
  <c r="E160" i="3"/>
  <c r="F160" i="3"/>
  <c r="G160" i="3"/>
  <c r="H160" i="3"/>
  <c r="D161" i="3"/>
  <c r="E161" i="3"/>
  <c r="F161" i="3"/>
  <c r="G161" i="3"/>
  <c r="H161" i="3"/>
  <c r="D163" i="3"/>
  <c r="E163" i="3"/>
  <c r="F163" i="3"/>
  <c r="G163" i="3"/>
  <c r="H163" i="3"/>
  <c r="D164" i="3"/>
  <c r="E164" i="3"/>
  <c r="F164" i="3"/>
  <c r="G164" i="3"/>
  <c r="H164" i="3"/>
  <c r="D165" i="3"/>
  <c r="E165" i="3"/>
  <c r="F165" i="3"/>
  <c r="G165" i="3"/>
  <c r="H165" i="3"/>
  <c r="D167" i="3"/>
  <c r="E167" i="3"/>
  <c r="F167" i="3"/>
  <c r="G167" i="3"/>
  <c r="H167" i="3"/>
  <c r="D168" i="3"/>
  <c r="E168" i="3"/>
  <c r="F168" i="3"/>
  <c r="G168" i="3"/>
  <c r="H168" i="3"/>
  <c r="D169" i="3"/>
  <c r="E169" i="3"/>
  <c r="F169" i="3"/>
  <c r="G169" i="3"/>
  <c r="H169" i="3"/>
  <c r="D170" i="3"/>
  <c r="E170" i="3"/>
  <c r="F170" i="3"/>
  <c r="G170" i="3"/>
  <c r="H170" i="3"/>
  <c r="D171" i="3"/>
  <c r="E171" i="3"/>
  <c r="F171" i="3"/>
  <c r="G171" i="3"/>
  <c r="H171" i="3"/>
  <c r="D172" i="3"/>
  <c r="E172" i="3"/>
  <c r="F172" i="3"/>
  <c r="G172" i="3"/>
  <c r="H172" i="3"/>
  <c r="D174" i="3"/>
  <c r="E174" i="3"/>
  <c r="F174" i="3"/>
  <c r="G174" i="3"/>
  <c r="H174" i="3"/>
  <c r="E176" i="3"/>
  <c r="F176" i="3"/>
  <c r="G176" i="3"/>
  <c r="H176" i="3"/>
  <c r="D177" i="3"/>
  <c r="E177" i="3"/>
  <c r="F177" i="3"/>
  <c r="G177" i="3"/>
  <c r="H177" i="3"/>
  <c r="D178" i="3"/>
  <c r="E178" i="3"/>
  <c r="F178" i="3"/>
  <c r="G178" i="3"/>
  <c r="H178" i="3"/>
  <c r="G8" i="3"/>
  <c r="N8" i="3"/>
  <c r="T115" i="2" l="1"/>
  <c r="N124" i="3" s="1"/>
  <c r="T114" i="2"/>
  <c r="N123" i="3" s="1"/>
  <c r="T105" i="2"/>
  <c r="N114" i="3" s="1"/>
  <c r="T106" i="2"/>
  <c r="N115" i="3" s="1"/>
  <c r="T107" i="2"/>
  <c r="N116" i="3" s="1"/>
  <c r="T108" i="2"/>
  <c r="N117" i="3" s="1"/>
  <c r="T109" i="2"/>
  <c r="N118" i="3" s="1"/>
  <c r="T110" i="2"/>
  <c r="N119" i="3" s="1"/>
  <c r="T111" i="2"/>
  <c r="N120" i="3" s="1"/>
  <c r="T112" i="2"/>
  <c r="N121" i="3" s="1"/>
  <c r="T104" i="2"/>
  <c r="N113" i="3" s="1"/>
  <c r="T89" i="2"/>
  <c r="N94" i="3" s="1"/>
  <c r="T90" i="2"/>
  <c r="N95" i="3" s="1"/>
  <c r="T91" i="2"/>
  <c r="N96" i="3" s="1"/>
  <c r="T92" i="2"/>
  <c r="N97" i="3" s="1"/>
  <c r="T93" i="2"/>
  <c r="N98" i="3" s="1"/>
  <c r="T94" i="2"/>
  <c r="N99" i="3" s="1"/>
  <c r="T95" i="2"/>
  <c r="N100" i="3" s="1"/>
  <c r="T96" i="2"/>
  <c r="N101" i="3" s="1"/>
  <c r="T97" i="2"/>
  <c r="N102" i="3" s="1"/>
  <c r="T98" i="2"/>
  <c r="N103" i="3" s="1"/>
  <c r="T99" i="2"/>
  <c r="N104" i="3" s="1"/>
  <c r="T100" i="2"/>
  <c r="N105" i="3" s="1"/>
  <c r="T101" i="2"/>
  <c r="N106" i="3" s="1"/>
  <c r="T102" i="2"/>
  <c r="N107" i="3" s="1"/>
  <c r="T88" i="2"/>
  <c r="N93" i="3" s="1"/>
  <c r="T54" i="2"/>
  <c r="N55" i="3" s="1"/>
  <c r="T53" i="2"/>
  <c r="N54" i="3" s="1"/>
  <c r="S117" i="2"/>
  <c r="S118" i="2"/>
  <c r="A118" i="2" s="1"/>
  <c r="S119" i="2"/>
  <c r="A119" i="2" s="1"/>
  <c r="S105" i="2"/>
  <c r="L114" i="3" s="1"/>
  <c r="S106" i="2"/>
  <c r="L115" i="3" s="1"/>
  <c r="S107" i="2"/>
  <c r="L116" i="3" s="1"/>
  <c r="S108" i="2"/>
  <c r="L117" i="3" s="1"/>
  <c r="S109" i="2"/>
  <c r="L118" i="3" s="1"/>
  <c r="S110" i="2"/>
  <c r="L119" i="3" s="1"/>
  <c r="S111" i="2"/>
  <c r="S112" i="2"/>
  <c r="S104" i="2"/>
  <c r="L113" i="3" s="1"/>
  <c r="S115" i="2"/>
  <c r="L124" i="3" s="1"/>
  <c r="S114" i="2"/>
  <c r="L123" i="3" s="1"/>
  <c r="S44" i="2"/>
  <c r="L45" i="3" s="1"/>
  <c r="S45" i="2"/>
  <c r="S46" i="2"/>
  <c r="L47" i="3" s="1"/>
  <c r="S47" i="2"/>
  <c r="S48" i="2"/>
  <c r="L49" i="3" s="1"/>
  <c r="S49" i="2"/>
  <c r="S50" i="2"/>
  <c r="L51" i="3" s="1"/>
  <c r="S51" i="2"/>
  <c r="S43" i="2"/>
  <c r="L44" i="3" s="1"/>
  <c r="R43" i="2"/>
  <c r="S89" i="2"/>
  <c r="L94" i="3" s="1"/>
  <c r="S90" i="2"/>
  <c r="L95" i="3" s="1"/>
  <c r="S91" i="2"/>
  <c r="L96" i="3" s="1"/>
  <c r="S92" i="2"/>
  <c r="S93" i="2"/>
  <c r="S94" i="2"/>
  <c r="L99" i="3" s="1"/>
  <c r="S95" i="2"/>
  <c r="L100" i="3" s="1"/>
  <c r="S96" i="2"/>
  <c r="S97" i="2"/>
  <c r="S98" i="2"/>
  <c r="L103" i="3" s="1"/>
  <c r="S99" i="2"/>
  <c r="L104" i="3" s="1"/>
  <c r="S100" i="2"/>
  <c r="L105" i="3" s="1"/>
  <c r="S101" i="2"/>
  <c r="L106" i="3" s="1"/>
  <c r="S102" i="2"/>
  <c r="L107" i="3" s="1"/>
  <c r="S88" i="2"/>
  <c r="S76" i="2"/>
  <c r="L81" i="3" s="1"/>
  <c r="S77" i="2"/>
  <c r="L82" i="3" s="1"/>
  <c r="S78" i="2"/>
  <c r="L83" i="3" s="1"/>
  <c r="S79" i="2"/>
  <c r="L84" i="3" s="1"/>
  <c r="S80" i="2"/>
  <c r="L85" i="3" s="1"/>
  <c r="S81" i="2"/>
  <c r="L86" i="3" s="1"/>
  <c r="S82" i="2"/>
  <c r="L87" i="3" s="1"/>
  <c r="S83" i="2"/>
  <c r="S75" i="2"/>
  <c r="L80" i="3" s="1"/>
  <c r="S73" i="2"/>
  <c r="S72" i="2"/>
  <c r="S57" i="2"/>
  <c r="L58" i="3" s="1"/>
  <c r="S58" i="2"/>
  <c r="L59" i="3" s="1"/>
  <c r="S59" i="2"/>
  <c r="L60" i="3" s="1"/>
  <c r="S60" i="2"/>
  <c r="S61" i="2"/>
  <c r="L62" i="3" s="1"/>
  <c r="S62" i="2"/>
  <c r="L63" i="3" s="1"/>
  <c r="S63" i="2"/>
  <c r="L64" i="3" s="1"/>
  <c r="S64" i="2"/>
  <c r="S65" i="2"/>
  <c r="S66" i="2"/>
  <c r="L67" i="3" s="1"/>
  <c r="S67" i="2"/>
  <c r="L68" i="3" s="1"/>
  <c r="S68" i="2"/>
  <c r="S69" i="2"/>
  <c r="L70" i="3" s="1"/>
  <c r="S70" i="2"/>
  <c r="S56" i="2"/>
  <c r="L57" i="3" s="1"/>
  <c r="S54" i="2"/>
  <c r="L55" i="3" s="1"/>
  <c r="S53" i="2"/>
  <c r="S27" i="2"/>
  <c r="L28" i="3" s="1"/>
  <c r="S41" i="2"/>
  <c r="S40" i="2"/>
  <c r="L41" i="3" s="1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14" i="2"/>
  <c r="A13" i="2"/>
  <c r="A17" i="2"/>
  <c r="A21" i="2"/>
  <c r="A25" i="2"/>
  <c r="A26" i="2"/>
  <c r="A27" i="2"/>
  <c r="F27" i="2" s="1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3" i="2"/>
  <c r="I13" i="2" s="1"/>
  <c r="F17" i="2"/>
  <c r="I17" i="2" s="1"/>
  <c r="S28" i="2"/>
  <c r="L29" i="3" s="1"/>
  <c r="S29" i="2"/>
  <c r="S33" i="2" s="1"/>
  <c r="S12" i="2"/>
  <c r="L9" i="3" s="1"/>
  <c r="S13" i="2"/>
  <c r="L10" i="3" s="1"/>
  <c r="S14" i="2"/>
  <c r="L11" i="3" s="1"/>
  <c r="S15" i="2"/>
  <c r="L12" i="3" s="1"/>
  <c r="S16" i="2"/>
  <c r="L13" i="3" s="1"/>
  <c r="S17" i="2"/>
  <c r="L14" i="3" s="1"/>
  <c r="S18" i="2"/>
  <c r="L15" i="3" s="1"/>
  <c r="S19" i="2"/>
  <c r="L16" i="3" s="1"/>
  <c r="S20" i="2"/>
  <c r="L17" i="3" s="1"/>
  <c r="S21" i="2"/>
  <c r="L18" i="3" s="1"/>
  <c r="S22" i="2"/>
  <c r="L19" i="3" s="1"/>
  <c r="S23" i="2"/>
  <c r="L20" i="3" s="1"/>
  <c r="S24" i="2"/>
  <c r="L21" i="3" s="1"/>
  <c r="S25" i="2"/>
  <c r="L22" i="3" s="1"/>
  <c r="S11" i="2"/>
  <c r="L8" i="3" s="1"/>
  <c r="H119" i="2"/>
  <c r="G119" i="2" s="1"/>
  <c r="F119" i="2"/>
  <c r="F118" i="2"/>
  <c r="H118" i="2" s="1"/>
  <c r="G118" i="2" s="1"/>
  <c r="F117" i="2"/>
  <c r="F73" i="2"/>
  <c r="H73" i="2" s="1"/>
  <c r="I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F90" i="2"/>
  <c r="I105" i="2"/>
  <c r="J106" i="2"/>
  <c r="I109" i="2"/>
  <c r="J110" i="2"/>
  <c r="H88" i="2"/>
  <c r="G88" i="2" s="1"/>
  <c r="P3" i="2"/>
  <c r="Q3" i="2" s="1"/>
  <c r="P4" i="2"/>
  <c r="Q4" i="2" s="1"/>
  <c r="P5" i="2"/>
  <c r="Q5" i="2" s="1"/>
  <c r="P6" i="2"/>
  <c r="Q6" i="2" s="1"/>
  <c r="P2" i="2"/>
  <c r="Q2" i="2" s="1"/>
  <c r="O3" i="2"/>
  <c r="O4" i="2"/>
  <c r="O5" i="2"/>
  <c r="O6" i="2"/>
  <c r="O2" i="2"/>
  <c r="H90" i="2"/>
  <c r="J92" i="2"/>
  <c r="H94" i="2"/>
  <c r="J96" i="2"/>
  <c r="H98" i="2"/>
  <c r="J100" i="2"/>
  <c r="H102" i="2"/>
  <c r="J88" i="2"/>
  <c r="I77" i="2"/>
  <c r="I79" i="2"/>
  <c r="I81" i="2"/>
  <c r="I83" i="2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2" i="2"/>
  <c r="Q73" i="2"/>
  <c r="Q75" i="2"/>
  <c r="Q76" i="2"/>
  <c r="Q77" i="2"/>
  <c r="Q78" i="2"/>
  <c r="Q79" i="2"/>
  <c r="Q80" i="2"/>
  <c r="Q81" i="2"/>
  <c r="Q82" i="2"/>
  <c r="Q83" i="2"/>
  <c r="Q85" i="2"/>
  <c r="Q86" i="2"/>
  <c r="N86" i="2" s="1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7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7" i="2"/>
  <c r="R28" i="2"/>
  <c r="R30" i="2"/>
  <c r="R31" i="2"/>
  <c r="R32" i="2"/>
  <c r="R33" i="2"/>
  <c r="R34" i="2"/>
  <c r="R35" i="2"/>
  <c r="R36" i="2"/>
  <c r="R37" i="2"/>
  <c r="R38" i="2"/>
  <c r="R40" i="2"/>
  <c r="R41" i="2"/>
  <c r="R44" i="2"/>
  <c r="R45" i="2"/>
  <c r="R46" i="2"/>
  <c r="R47" i="2"/>
  <c r="R48" i="2"/>
  <c r="R49" i="2"/>
  <c r="R50" i="2"/>
  <c r="R51" i="2"/>
  <c r="R53" i="2"/>
  <c r="R54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2" i="2"/>
  <c r="R73" i="2"/>
  <c r="R75" i="2"/>
  <c r="R76" i="2"/>
  <c r="R77" i="2"/>
  <c r="R78" i="2"/>
  <c r="R79" i="2"/>
  <c r="R80" i="2"/>
  <c r="R81" i="2"/>
  <c r="R82" i="2"/>
  <c r="R83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4" i="2"/>
  <c r="R105" i="2"/>
  <c r="R106" i="2"/>
  <c r="R107" i="2"/>
  <c r="R108" i="2"/>
  <c r="R109" i="2"/>
  <c r="R110" i="2"/>
  <c r="R111" i="2"/>
  <c r="R112" i="2"/>
  <c r="R114" i="2"/>
  <c r="R115" i="2"/>
  <c r="G5" i="2"/>
  <c r="J90" i="2" s="1"/>
  <c r="G4" i="2"/>
  <c r="I90" i="2" s="1"/>
  <c r="G3" i="2"/>
  <c r="I119" i="2" s="1"/>
  <c r="F72" i="2"/>
  <c r="I72" i="2" s="1"/>
  <c r="J73" i="2"/>
  <c r="F75" i="2"/>
  <c r="J75" i="2" s="1"/>
  <c r="F76" i="2"/>
  <c r="H76" i="2" s="1"/>
  <c r="F77" i="2"/>
  <c r="H77" i="2" s="1"/>
  <c r="F78" i="2"/>
  <c r="H78" i="2" s="1"/>
  <c r="F79" i="2"/>
  <c r="J79" i="2" s="1"/>
  <c r="F80" i="2"/>
  <c r="H80" i="2" s="1"/>
  <c r="F81" i="2"/>
  <c r="H81" i="2" s="1"/>
  <c r="F82" i="2"/>
  <c r="H82" i="2" s="1"/>
  <c r="F83" i="2"/>
  <c r="J83" i="2" s="1"/>
  <c r="F85" i="2"/>
  <c r="I85" i="2" s="1"/>
  <c r="F86" i="2"/>
  <c r="H86" i="2" s="1"/>
  <c r="F88" i="2"/>
  <c r="I88" i="2" s="1"/>
  <c r="F89" i="2"/>
  <c r="H89" i="2" s="1"/>
  <c r="F91" i="2"/>
  <c r="H91" i="2" s="1"/>
  <c r="F92" i="2"/>
  <c r="H92" i="2" s="1"/>
  <c r="F93" i="2"/>
  <c r="H93" i="2" s="1"/>
  <c r="G93" i="2" s="1"/>
  <c r="F94" i="2"/>
  <c r="I94" i="2" s="1"/>
  <c r="F95" i="2"/>
  <c r="F96" i="2"/>
  <c r="H96" i="2" s="1"/>
  <c r="F97" i="2"/>
  <c r="H97" i="2" s="1"/>
  <c r="F98" i="2"/>
  <c r="F99" i="2"/>
  <c r="I99" i="2" s="1"/>
  <c r="F100" i="2"/>
  <c r="H100" i="2" s="1"/>
  <c r="F101" i="2"/>
  <c r="H101" i="2" s="1"/>
  <c r="F102" i="2"/>
  <c r="I102" i="2" s="1"/>
  <c r="F104" i="2"/>
  <c r="I104" i="2" s="1"/>
  <c r="F105" i="2"/>
  <c r="J105" i="2" s="1"/>
  <c r="F106" i="2"/>
  <c r="H106" i="2" s="1"/>
  <c r="G106" i="2" s="1"/>
  <c r="F107" i="2"/>
  <c r="H107" i="2" s="1"/>
  <c r="G107" i="2" s="1"/>
  <c r="F108" i="2"/>
  <c r="I108" i="2" s="1"/>
  <c r="F109" i="2"/>
  <c r="J109" i="2" s="1"/>
  <c r="F110" i="2"/>
  <c r="H110" i="2" s="1"/>
  <c r="G110" i="2" s="1"/>
  <c r="F111" i="2"/>
  <c r="H111" i="2" s="1"/>
  <c r="G111" i="2" s="1"/>
  <c r="F112" i="2"/>
  <c r="I112" i="2" s="1"/>
  <c r="F114" i="2"/>
  <c r="I114" i="2" s="1"/>
  <c r="L47" i="2" l="1"/>
  <c r="F48" i="3" s="1"/>
  <c r="L21" i="2"/>
  <c r="F18" i="3" s="1"/>
  <c r="L48" i="2"/>
  <c r="F49" i="3" s="1"/>
  <c r="L33" i="2"/>
  <c r="F34" i="3" s="1"/>
  <c r="L27" i="2"/>
  <c r="F28" i="3" s="1"/>
  <c r="L22" i="2"/>
  <c r="F19" i="3" s="1"/>
  <c r="L46" i="2"/>
  <c r="F47" i="3" s="1"/>
  <c r="L40" i="2"/>
  <c r="F41" i="3" s="1"/>
  <c r="L34" i="2"/>
  <c r="F35" i="3" s="1"/>
  <c r="L53" i="2"/>
  <c r="F54" i="3" s="1"/>
  <c r="L35" i="2"/>
  <c r="F36" i="3" s="1"/>
  <c r="L20" i="2"/>
  <c r="F17" i="3" s="1"/>
  <c r="L18" i="2"/>
  <c r="F15" i="3" s="1"/>
  <c r="L43" i="2"/>
  <c r="F44" i="3" s="1"/>
  <c r="L32" i="2"/>
  <c r="F33" i="3" s="1"/>
  <c r="L44" i="2"/>
  <c r="F45" i="3" s="1"/>
  <c r="L17" i="2"/>
  <c r="F14" i="3" s="1"/>
  <c r="L31" i="2"/>
  <c r="F32" i="3" s="1"/>
  <c r="L30" i="2"/>
  <c r="F31" i="3" s="1"/>
  <c r="L45" i="2"/>
  <c r="F46" i="3" s="1"/>
  <c r="L19" i="2"/>
  <c r="F16" i="3" s="1"/>
  <c r="L34" i="3"/>
  <c r="A33" i="2"/>
  <c r="F33" i="2" s="1"/>
  <c r="H33" i="2" s="1"/>
  <c r="L11" i="2"/>
  <c r="F8" i="3" s="1"/>
  <c r="L12" i="2"/>
  <c r="F9" i="3" s="1"/>
  <c r="L13" i="2"/>
  <c r="F10" i="3" s="1"/>
  <c r="L16" i="2"/>
  <c r="F13" i="3" s="1"/>
  <c r="L15" i="2"/>
  <c r="F12" i="3" s="1"/>
  <c r="L14" i="2"/>
  <c r="F11" i="3" s="1"/>
  <c r="L25" i="2"/>
  <c r="F22" i="3" s="1"/>
  <c r="L51" i="2"/>
  <c r="F52" i="3" s="1"/>
  <c r="L36" i="2"/>
  <c r="F37" i="3" s="1"/>
  <c r="L28" i="2"/>
  <c r="F29" i="3" s="1"/>
  <c r="L41" i="2"/>
  <c r="F42" i="3" s="1"/>
  <c r="L37" i="2"/>
  <c r="F38" i="3" s="1"/>
  <c r="L54" i="2"/>
  <c r="F55" i="3" s="1"/>
  <c r="L49" i="2"/>
  <c r="F50" i="3" s="1"/>
  <c r="L38" i="2"/>
  <c r="F39" i="3" s="1"/>
  <c r="L50" i="2"/>
  <c r="F51" i="3" s="1"/>
  <c r="O118" i="2"/>
  <c r="N118" i="2" s="1"/>
  <c r="P118" i="2"/>
  <c r="H112" i="2"/>
  <c r="G112" i="2" s="1"/>
  <c r="J115" i="2"/>
  <c r="G98" i="2"/>
  <c r="H85" i="2"/>
  <c r="H83" i="2"/>
  <c r="H79" i="2"/>
  <c r="J101" i="2"/>
  <c r="I100" i="2"/>
  <c r="H99" i="2"/>
  <c r="J97" i="2"/>
  <c r="I96" i="2"/>
  <c r="H95" i="2"/>
  <c r="G95" i="2" s="1"/>
  <c r="J93" i="2"/>
  <c r="I92" i="2"/>
  <c r="J89" i="2"/>
  <c r="J111" i="2"/>
  <c r="I110" i="2"/>
  <c r="H109" i="2"/>
  <c r="G109" i="2" s="1"/>
  <c r="J107" i="2"/>
  <c r="I106" i="2"/>
  <c r="H105" i="2"/>
  <c r="G105" i="2" s="1"/>
  <c r="H114" i="2"/>
  <c r="I115" i="2"/>
  <c r="J118" i="2"/>
  <c r="A95" i="2"/>
  <c r="A79" i="2"/>
  <c r="A61" i="2"/>
  <c r="F61" i="2" s="1"/>
  <c r="H54" i="2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G16" i="2" s="1"/>
  <c r="P16" i="2" s="1"/>
  <c r="E13" i="3" s="1"/>
  <c r="A12" i="2"/>
  <c r="F12" i="2" s="1"/>
  <c r="H12" i="2" s="1"/>
  <c r="G12" i="2" s="1"/>
  <c r="S30" i="2"/>
  <c r="S35" i="2"/>
  <c r="S31" i="2"/>
  <c r="A68" i="2"/>
  <c r="F68" i="2" s="1"/>
  <c r="L69" i="3"/>
  <c r="A64" i="2"/>
  <c r="F64" i="2" s="1"/>
  <c r="L65" i="3"/>
  <c r="A60" i="2"/>
  <c r="F60" i="2" s="1"/>
  <c r="L61" i="3"/>
  <c r="A72" i="2"/>
  <c r="L77" i="3"/>
  <c r="A51" i="2"/>
  <c r="F51" i="2" s="1"/>
  <c r="I51" i="2" s="1"/>
  <c r="L52" i="3"/>
  <c r="A47" i="2"/>
  <c r="F47" i="2" s="1"/>
  <c r="J47" i="2" s="1"/>
  <c r="L48" i="3"/>
  <c r="G91" i="2"/>
  <c r="I95" i="2"/>
  <c r="H108" i="2"/>
  <c r="G108" i="2" s="1"/>
  <c r="A29" i="2"/>
  <c r="S36" i="2"/>
  <c r="S32" i="2"/>
  <c r="A53" i="2"/>
  <c r="F53" i="2" s="1"/>
  <c r="L54" i="3"/>
  <c r="A65" i="2"/>
  <c r="F65" i="2" s="1"/>
  <c r="L66" i="3"/>
  <c r="J76" i="2"/>
  <c r="H75" i="2"/>
  <c r="G75" i="2" s="1"/>
  <c r="I82" i="2"/>
  <c r="I80" i="2"/>
  <c r="I78" i="2"/>
  <c r="I76" i="2"/>
  <c r="J102" i="2"/>
  <c r="I101" i="2"/>
  <c r="J98" i="2"/>
  <c r="I97" i="2"/>
  <c r="J94" i="2"/>
  <c r="I93" i="2"/>
  <c r="I89" i="2"/>
  <c r="J112" i="2"/>
  <c r="I111" i="2"/>
  <c r="J108" i="2"/>
  <c r="I107" i="2"/>
  <c r="J104" i="2"/>
  <c r="J114" i="2"/>
  <c r="H72" i="2"/>
  <c r="J119" i="2"/>
  <c r="I118" i="2"/>
  <c r="K118" i="2" s="1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G19" i="2" s="1"/>
  <c r="A15" i="2"/>
  <c r="F15" i="2" s="1"/>
  <c r="H15" i="2" s="1"/>
  <c r="G15" i="2" s="1"/>
  <c r="S38" i="2"/>
  <c r="S34" i="2"/>
  <c r="A41" i="2"/>
  <c r="F41" i="2" s="1"/>
  <c r="H41" i="2" s="1"/>
  <c r="L42" i="3"/>
  <c r="A73" i="2"/>
  <c r="L78" i="3"/>
  <c r="G99" i="2"/>
  <c r="I91" i="2"/>
  <c r="H104" i="2"/>
  <c r="G104" i="2" s="1"/>
  <c r="K119" i="2"/>
  <c r="A83" i="2"/>
  <c r="L88" i="3"/>
  <c r="P119" i="2"/>
  <c r="I75" i="2"/>
  <c r="J99" i="2"/>
  <c r="I98" i="2"/>
  <c r="J95" i="2"/>
  <c r="J91" i="2"/>
  <c r="H117" i="2"/>
  <c r="G117" i="2" s="1"/>
  <c r="A108" i="2"/>
  <c r="A57" i="2"/>
  <c r="F57" i="2" s="1"/>
  <c r="J50" i="2"/>
  <c r="A43" i="2"/>
  <c r="F43" i="2" s="1"/>
  <c r="I43" i="2" s="1"/>
  <c r="A22" i="2"/>
  <c r="A18" i="2"/>
  <c r="F18" i="2" s="1"/>
  <c r="J18" i="2" s="1"/>
  <c r="A14" i="2"/>
  <c r="F14" i="2" s="1"/>
  <c r="J14" i="2" s="1"/>
  <c r="A56" i="2"/>
  <c r="F56" i="2" s="1"/>
  <c r="H56" i="2" s="1"/>
  <c r="G56" i="2" s="1"/>
  <c r="S37" i="2"/>
  <c r="A70" i="2"/>
  <c r="F70" i="2" s="1"/>
  <c r="L71" i="3"/>
  <c r="A49" i="2"/>
  <c r="F49" i="2" s="1"/>
  <c r="I49" i="2" s="1"/>
  <c r="L50" i="3"/>
  <c r="A45" i="2"/>
  <c r="F45" i="2" s="1"/>
  <c r="I45" i="2" s="1"/>
  <c r="L46" i="3"/>
  <c r="O119" i="2"/>
  <c r="A100" i="2"/>
  <c r="A102" i="2"/>
  <c r="A112" i="2"/>
  <c r="L121" i="3"/>
  <c r="A111" i="2"/>
  <c r="L120" i="3"/>
  <c r="A98" i="2"/>
  <c r="A94" i="2"/>
  <c r="A96" i="2"/>
  <c r="L101" i="3"/>
  <c r="A92" i="2"/>
  <c r="L97" i="3"/>
  <c r="A101" i="2"/>
  <c r="A90" i="2"/>
  <c r="A88" i="2"/>
  <c r="L93" i="3"/>
  <c r="A97" i="2"/>
  <c r="L102" i="3"/>
  <c r="A93" i="2"/>
  <c r="L98" i="3"/>
  <c r="O117" i="2"/>
  <c r="P117" i="2"/>
  <c r="J117" i="2"/>
  <c r="I117" i="2"/>
  <c r="K117" i="2" s="1"/>
  <c r="H68" i="2"/>
  <c r="I68" i="2"/>
  <c r="H64" i="2"/>
  <c r="I64" i="2"/>
  <c r="H60" i="2"/>
  <c r="I60" i="2"/>
  <c r="N119" i="2"/>
  <c r="H69" i="2"/>
  <c r="J69" i="2"/>
  <c r="H59" i="2"/>
  <c r="G59" i="2" s="1"/>
  <c r="I59" i="2"/>
  <c r="H70" i="2"/>
  <c r="I70" i="2"/>
  <c r="J70" i="2"/>
  <c r="I66" i="2"/>
  <c r="J66" i="2"/>
  <c r="H66" i="2"/>
  <c r="I62" i="2"/>
  <c r="H62" i="2"/>
  <c r="J62" i="2"/>
  <c r="I58" i="2"/>
  <c r="J58" i="2"/>
  <c r="H58" i="2"/>
  <c r="H63" i="2"/>
  <c r="I63" i="2"/>
  <c r="I57" i="2"/>
  <c r="J57" i="2"/>
  <c r="H57" i="2"/>
  <c r="H67" i="2"/>
  <c r="I67" i="2"/>
  <c r="I61" i="2"/>
  <c r="H61" i="2"/>
  <c r="J61" i="2"/>
  <c r="I65" i="2"/>
  <c r="J65" i="2"/>
  <c r="H65" i="2"/>
  <c r="J68" i="2"/>
  <c r="J64" i="2"/>
  <c r="J60" i="2"/>
  <c r="J67" i="2"/>
  <c r="J63" i="2"/>
  <c r="J59" i="2"/>
  <c r="H27" i="2"/>
  <c r="I11" i="2"/>
  <c r="I27" i="2"/>
  <c r="G114" i="2"/>
  <c r="O114" i="2" s="1"/>
  <c r="D123" i="3" s="1"/>
  <c r="J56" i="2"/>
  <c r="I56" i="2"/>
  <c r="K56" i="2" s="1"/>
  <c r="H57" i="3" s="1"/>
  <c r="L24" i="2"/>
  <c r="F21" i="3" s="1"/>
  <c r="L23" i="2"/>
  <c r="F20" i="3" s="1"/>
  <c r="O16" i="2"/>
  <c r="D13" i="3" s="1"/>
  <c r="P93" i="2"/>
  <c r="E98" i="3" s="1"/>
  <c r="O93" i="2"/>
  <c r="D98" i="3" s="1"/>
  <c r="O12" i="2"/>
  <c r="D9" i="3" s="1"/>
  <c r="P12" i="2"/>
  <c r="E9" i="3" s="1"/>
  <c r="O98" i="2"/>
  <c r="D103" i="3" s="1"/>
  <c r="P98" i="2"/>
  <c r="E103" i="3" s="1"/>
  <c r="H11" i="2"/>
  <c r="G11" i="2" s="1"/>
  <c r="G101" i="2"/>
  <c r="K99" i="2"/>
  <c r="H104" i="3" s="1"/>
  <c r="G94" i="2"/>
  <c r="G92" i="2"/>
  <c r="J85" i="2"/>
  <c r="L85" i="2" s="1"/>
  <c r="F90" i="3" s="1"/>
  <c r="J77" i="2"/>
  <c r="I23" i="2"/>
  <c r="K23" i="2" s="1"/>
  <c r="H20" i="3" s="1"/>
  <c r="J19" i="2"/>
  <c r="H18" i="2"/>
  <c r="G18" i="2" s="1"/>
  <c r="I14" i="2"/>
  <c r="J12" i="2"/>
  <c r="F21" i="2" s="1"/>
  <c r="I21" i="2" s="1"/>
  <c r="H43" i="2"/>
  <c r="G43" i="2" s="1"/>
  <c r="H51" i="2"/>
  <c r="H49" i="2"/>
  <c r="I47" i="2"/>
  <c r="J45" i="2"/>
  <c r="I53" i="2"/>
  <c r="J53" i="2"/>
  <c r="H53" i="2"/>
  <c r="G53" i="2" s="1"/>
  <c r="J11" i="2"/>
  <c r="F20" i="2" s="1"/>
  <c r="H20" i="2" s="1"/>
  <c r="G20" i="2" s="1"/>
  <c r="O20" i="2" s="1"/>
  <c r="D17" i="3" s="1"/>
  <c r="G102" i="2"/>
  <c r="G97" i="2"/>
  <c r="K93" i="2"/>
  <c r="H98" i="3" s="1"/>
  <c r="G90" i="2"/>
  <c r="J82" i="2"/>
  <c r="J80" i="2"/>
  <c r="H23" i="2"/>
  <c r="G23" i="2" s="1"/>
  <c r="H21" i="2"/>
  <c r="I19" i="2"/>
  <c r="K19" i="2" s="1"/>
  <c r="H16" i="3" s="1"/>
  <c r="J17" i="2"/>
  <c r="J15" i="2"/>
  <c r="F24" i="2" s="1"/>
  <c r="H24" i="2" s="1"/>
  <c r="G24" i="2" s="1"/>
  <c r="O24" i="2" s="1"/>
  <c r="D21" i="3" s="1"/>
  <c r="I12" i="2"/>
  <c r="K12" i="2" s="1"/>
  <c r="H9" i="3" s="1"/>
  <c r="J33" i="2"/>
  <c r="J43" i="2"/>
  <c r="I50" i="2"/>
  <c r="J48" i="2"/>
  <c r="H47" i="2"/>
  <c r="H45" i="2"/>
  <c r="G45" i="2" s="1"/>
  <c r="P45" i="2" s="1"/>
  <c r="E46" i="3" s="1"/>
  <c r="O99" i="2"/>
  <c r="D104" i="3" s="1"/>
  <c r="P99" i="2"/>
  <c r="E104" i="3" s="1"/>
  <c r="G100" i="2"/>
  <c r="K91" i="2"/>
  <c r="H96" i="3" s="1"/>
  <c r="J86" i="2"/>
  <c r="J78" i="2"/>
  <c r="H17" i="2"/>
  <c r="G17" i="2" s="1"/>
  <c r="P17" i="2" s="1"/>
  <c r="E14" i="3" s="1"/>
  <c r="I15" i="2"/>
  <c r="K15" i="2" s="1"/>
  <c r="H12" i="3" s="1"/>
  <c r="J13" i="2"/>
  <c r="F22" i="2" s="1"/>
  <c r="J22" i="2" s="1"/>
  <c r="I28" i="2"/>
  <c r="I33" i="2"/>
  <c r="J51" i="2"/>
  <c r="H50" i="2"/>
  <c r="I48" i="2"/>
  <c r="I46" i="2"/>
  <c r="J44" i="2"/>
  <c r="P91" i="2"/>
  <c r="E96" i="3" s="1"/>
  <c r="O91" i="2"/>
  <c r="D96" i="3" s="1"/>
  <c r="K98" i="2"/>
  <c r="H103" i="3" s="1"/>
  <c r="G115" i="2"/>
  <c r="G96" i="2"/>
  <c r="K96" i="2" s="1"/>
  <c r="H101" i="3" s="1"/>
  <c r="G89" i="2"/>
  <c r="K89" i="2" s="1"/>
  <c r="H94" i="3" s="1"/>
  <c r="I86" i="2"/>
  <c r="J81" i="2"/>
  <c r="I18" i="2"/>
  <c r="H13" i="2"/>
  <c r="H28" i="2"/>
  <c r="J49" i="2"/>
  <c r="H46" i="2"/>
  <c r="I44" i="2"/>
  <c r="O23" i="2"/>
  <c r="D20" i="3" s="1"/>
  <c r="O19" i="2"/>
  <c r="D16" i="3" s="1"/>
  <c r="O15" i="2"/>
  <c r="D12" i="3" s="1"/>
  <c r="P23" i="2"/>
  <c r="E20" i="3" s="1"/>
  <c r="P19" i="2"/>
  <c r="E16" i="3" s="1"/>
  <c r="P15" i="2"/>
  <c r="E12" i="3" s="1"/>
  <c r="G66" i="2"/>
  <c r="K66" i="2" s="1"/>
  <c r="H67" i="3" s="1"/>
  <c r="G64" i="2"/>
  <c r="K64" i="2" s="1"/>
  <c r="H65" i="3" s="1"/>
  <c r="G60" i="2"/>
  <c r="K60" i="2" s="1"/>
  <c r="H61" i="3" s="1"/>
  <c r="G67" i="2"/>
  <c r="G63" i="2"/>
  <c r="K63" i="2" s="1"/>
  <c r="H64" i="3" s="1"/>
  <c r="G65" i="2"/>
  <c r="K65" i="2" s="1"/>
  <c r="H66" i="3" s="1"/>
  <c r="G61" i="2"/>
  <c r="K61" i="2" s="1"/>
  <c r="H62" i="3" s="1"/>
  <c r="G57" i="2"/>
  <c r="G58" i="2"/>
  <c r="K58" i="2" s="1"/>
  <c r="H59" i="3" s="1"/>
  <c r="G76" i="2"/>
  <c r="G77" i="2"/>
  <c r="K106" i="2"/>
  <c r="H115" i="3" s="1"/>
  <c r="G44" i="2"/>
  <c r="O44" i="2" s="1"/>
  <c r="D45" i="3" s="1"/>
  <c r="G62" i="2"/>
  <c r="K17" i="2"/>
  <c r="H14" i="3" s="1"/>
  <c r="I54" i="2"/>
  <c r="J54" i="2"/>
  <c r="J72" i="2"/>
  <c r="J27" i="2"/>
  <c r="J41" i="2"/>
  <c r="I41" i="2"/>
  <c r="H40" i="2"/>
  <c r="P95" i="2" l="1"/>
  <c r="E100" i="3" s="1"/>
  <c r="K95" i="2"/>
  <c r="H100" i="3" s="1"/>
  <c r="O95" i="2"/>
  <c r="D100" i="3" s="1"/>
  <c r="I40" i="2"/>
  <c r="O17" i="2"/>
  <c r="D14" i="3" s="1"/>
  <c r="J24" i="2"/>
  <c r="I16" i="2"/>
  <c r="K16" i="2" s="1"/>
  <c r="H13" i="3" s="1"/>
  <c r="L39" i="3"/>
  <c r="A38" i="2"/>
  <c r="F38" i="2" s="1"/>
  <c r="L36" i="3"/>
  <c r="A35" i="2"/>
  <c r="F35" i="2" s="1"/>
  <c r="L35" i="3"/>
  <c r="A34" i="2"/>
  <c r="F34" i="2" s="1"/>
  <c r="L32" i="3"/>
  <c r="A31" i="2"/>
  <c r="F31" i="2" s="1"/>
  <c r="L38" i="3"/>
  <c r="A37" i="2"/>
  <c r="F37" i="2" s="1"/>
  <c r="L33" i="3"/>
  <c r="A32" i="2"/>
  <c r="F32" i="2" s="1"/>
  <c r="L31" i="3"/>
  <c r="A30" i="2"/>
  <c r="F30" i="2" s="1"/>
  <c r="K62" i="2"/>
  <c r="H63" i="3" s="1"/>
  <c r="K57" i="2"/>
  <c r="H58" i="3" s="1"/>
  <c r="K67" i="2"/>
  <c r="H68" i="3" s="1"/>
  <c r="J16" i="2"/>
  <c r="F25" i="2" s="1"/>
  <c r="I25" i="2" s="1"/>
  <c r="K18" i="2"/>
  <c r="H15" i="3" s="1"/>
  <c r="I24" i="2"/>
  <c r="K24" i="2" s="1"/>
  <c r="H21" i="3" s="1"/>
  <c r="H14" i="2"/>
  <c r="G14" i="2" s="1"/>
  <c r="O14" i="2" s="1"/>
  <c r="D11" i="3" s="1"/>
  <c r="L37" i="3"/>
  <c r="A36" i="2"/>
  <c r="F36" i="2" s="1"/>
  <c r="N117" i="2"/>
  <c r="P24" i="2"/>
  <c r="E21" i="3" s="1"/>
  <c r="K59" i="2"/>
  <c r="H60" i="3" s="1"/>
  <c r="O45" i="2"/>
  <c r="D46" i="3" s="1"/>
  <c r="P44" i="2"/>
  <c r="E45" i="3" s="1"/>
  <c r="I20" i="2"/>
  <c r="K20" i="2" s="1"/>
  <c r="H17" i="3" s="1"/>
  <c r="J20" i="2"/>
  <c r="P20" i="2"/>
  <c r="E17" i="3" s="1"/>
  <c r="H22" i="2"/>
  <c r="G22" i="2" s="1"/>
  <c r="P22" i="2" s="1"/>
  <c r="E19" i="3" s="1"/>
  <c r="J21" i="2"/>
  <c r="J25" i="2"/>
  <c r="I22" i="2"/>
  <c r="H25" i="2"/>
  <c r="G25" i="2" s="1"/>
  <c r="K25" i="2" s="1"/>
  <c r="H22" i="3" s="1"/>
  <c r="G21" i="2"/>
  <c r="O21" i="2" s="1"/>
  <c r="D18" i="3" s="1"/>
  <c r="G13" i="2"/>
  <c r="O13" i="2" s="1"/>
  <c r="D10" i="3" s="1"/>
  <c r="K114" i="2"/>
  <c r="H123" i="3" s="1"/>
  <c r="N15" i="2"/>
  <c r="P114" i="2"/>
  <c r="E123" i="3" s="1"/>
  <c r="N12" i="2"/>
  <c r="N17" i="2"/>
  <c r="K53" i="2"/>
  <c r="H54" i="3" s="1"/>
  <c r="N16" i="2"/>
  <c r="N19" i="2"/>
  <c r="N23" i="2"/>
  <c r="K43" i="2"/>
  <c r="H44" i="3" s="1"/>
  <c r="N95" i="2"/>
  <c r="P13" i="2"/>
  <c r="E10" i="3" s="1"/>
  <c r="K21" i="2"/>
  <c r="H18" i="3" s="1"/>
  <c r="K75" i="2"/>
  <c r="H80" i="3" s="1"/>
  <c r="N93" i="2"/>
  <c r="N99" i="2"/>
  <c r="K77" i="2"/>
  <c r="H82" i="3" s="1"/>
  <c r="K90" i="2"/>
  <c r="H95" i="3" s="1"/>
  <c r="K97" i="2"/>
  <c r="H102" i="3" s="1"/>
  <c r="N91" i="2"/>
  <c r="O63" i="2"/>
  <c r="D64" i="3" s="1"/>
  <c r="P63" i="2"/>
  <c r="E64" i="3" s="1"/>
  <c r="K45" i="2"/>
  <c r="H46" i="3" s="1"/>
  <c r="O104" i="2"/>
  <c r="D113" i="3" s="1"/>
  <c r="P104" i="2"/>
  <c r="E113" i="3" s="1"/>
  <c r="O57" i="2"/>
  <c r="D58" i="3" s="1"/>
  <c r="P57" i="2"/>
  <c r="E58" i="3" s="1"/>
  <c r="O105" i="2"/>
  <c r="D114" i="3" s="1"/>
  <c r="P105" i="2"/>
  <c r="E114" i="3" s="1"/>
  <c r="O62" i="2"/>
  <c r="D63" i="3" s="1"/>
  <c r="P62" i="2"/>
  <c r="E63" i="3" s="1"/>
  <c r="P77" i="2"/>
  <c r="E82" i="3" s="1"/>
  <c r="O77" i="2"/>
  <c r="D82" i="3" s="1"/>
  <c r="P75" i="2"/>
  <c r="E80" i="3" s="1"/>
  <c r="O75" i="2"/>
  <c r="D80" i="3" s="1"/>
  <c r="O56" i="2"/>
  <c r="D57" i="3" s="1"/>
  <c r="P56" i="2"/>
  <c r="E57" i="3" s="1"/>
  <c r="O65" i="2"/>
  <c r="D66" i="3" s="1"/>
  <c r="P65" i="2"/>
  <c r="E66" i="3" s="1"/>
  <c r="O67" i="2"/>
  <c r="D68" i="3" s="1"/>
  <c r="P67" i="2"/>
  <c r="E68" i="3" s="1"/>
  <c r="O64" i="2"/>
  <c r="D65" i="3" s="1"/>
  <c r="P64" i="2"/>
  <c r="E65" i="3" s="1"/>
  <c r="P100" i="2"/>
  <c r="E105" i="3" s="1"/>
  <c r="O100" i="2"/>
  <c r="D105" i="3" s="1"/>
  <c r="O94" i="2"/>
  <c r="D99" i="3" s="1"/>
  <c r="P94" i="2"/>
  <c r="E99" i="3" s="1"/>
  <c r="O101" i="2"/>
  <c r="D106" i="3" s="1"/>
  <c r="P101" i="2"/>
  <c r="E106" i="3" s="1"/>
  <c r="O66" i="2"/>
  <c r="D67" i="3" s="1"/>
  <c r="P66" i="2"/>
  <c r="E67" i="3" s="1"/>
  <c r="O60" i="2"/>
  <c r="D61" i="3" s="1"/>
  <c r="P60" i="2"/>
  <c r="E61" i="3" s="1"/>
  <c r="O89" i="2"/>
  <c r="D94" i="3" s="1"/>
  <c r="P89" i="2"/>
  <c r="E94" i="3" s="1"/>
  <c r="O115" i="2"/>
  <c r="D124" i="3" s="1"/>
  <c r="P115" i="2"/>
  <c r="E124" i="3" s="1"/>
  <c r="K105" i="2"/>
  <c r="H114" i="3" s="1"/>
  <c r="O53" i="2"/>
  <c r="D54" i="3" s="1"/>
  <c r="P53" i="2"/>
  <c r="E54" i="3" s="1"/>
  <c r="K102" i="2"/>
  <c r="H107" i="3" s="1"/>
  <c r="O11" i="2"/>
  <c r="P11" i="2"/>
  <c r="E8" i="3" s="1"/>
  <c r="K100" i="2"/>
  <c r="H105" i="3" s="1"/>
  <c r="P43" i="2"/>
  <c r="E44" i="3" s="1"/>
  <c r="O43" i="2"/>
  <c r="D44" i="3" s="1"/>
  <c r="P59" i="2"/>
  <c r="E60" i="3" s="1"/>
  <c r="O59" i="2"/>
  <c r="D60" i="3" s="1"/>
  <c r="O88" i="2"/>
  <c r="D93" i="3" s="1"/>
  <c r="P88" i="2"/>
  <c r="E93" i="3" s="1"/>
  <c r="P102" i="2"/>
  <c r="E107" i="3" s="1"/>
  <c r="O102" i="2"/>
  <c r="D107" i="3" s="1"/>
  <c r="O18" i="2"/>
  <c r="D15" i="3" s="1"/>
  <c r="P18" i="2"/>
  <c r="E15" i="3" s="1"/>
  <c r="N98" i="2"/>
  <c r="K88" i="2"/>
  <c r="H93" i="3" s="1"/>
  <c r="K11" i="2"/>
  <c r="H8" i="3" s="1"/>
  <c r="K115" i="2"/>
  <c r="H124" i="3" s="1"/>
  <c r="O76" i="2"/>
  <c r="D81" i="3" s="1"/>
  <c r="P76" i="2"/>
  <c r="E81" i="3" s="1"/>
  <c r="O106" i="2"/>
  <c r="D115" i="3" s="1"/>
  <c r="P106" i="2"/>
  <c r="E115" i="3" s="1"/>
  <c r="O58" i="2"/>
  <c r="D59" i="3" s="1"/>
  <c r="P58" i="2"/>
  <c r="E59" i="3" s="1"/>
  <c r="P61" i="2"/>
  <c r="E62" i="3" s="1"/>
  <c r="O61" i="2"/>
  <c r="D62" i="3" s="1"/>
  <c r="P21" i="2"/>
  <c r="E18" i="3" s="1"/>
  <c r="K44" i="2"/>
  <c r="H45" i="3" s="1"/>
  <c r="O22" i="2"/>
  <c r="D19" i="3" s="1"/>
  <c r="O96" i="2"/>
  <c r="D101" i="3" s="1"/>
  <c r="P96" i="2"/>
  <c r="E101" i="3" s="1"/>
  <c r="O90" i="2"/>
  <c r="D95" i="3" s="1"/>
  <c r="P90" i="2"/>
  <c r="E95" i="3" s="1"/>
  <c r="O97" i="2"/>
  <c r="D102" i="3" s="1"/>
  <c r="P97" i="2"/>
  <c r="E102" i="3" s="1"/>
  <c r="N114" i="2"/>
  <c r="O92" i="2"/>
  <c r="D97" i="3" s="1"/>
  <c r="P92" i="2"/>
  <c r="E97" i="3" s="1"/>
  <c r="K76" i="2"/>
  <c r="H81" i="3" s="1"/>
  <c r="K92" i="2"/>
  <c r="H97" i="3" s="1"/>
  <c r="K101" i="2"/>
  <c r="H106" i="3" s="1"/>
  <c r="K94" i="2"/>
  <c r="H99" i="3" s="1"/>
  <c r="K104" i="2"/>
  <c r="H113" i="3" s="1"/>
  <c r="G85" i="2"/>
  <c r="G79" i="2"/>
  <c r="K79" i="2" s="1"/>
  <c r="H84" i="3" s="1"/>
  <c r="G40" i="2"/>
  <c r="G80" i="2"/>
  <c r="G27" i="2"/>
  <c r="G46" i="2"/>
  <c r="G33" i="2"/>
  <c r="G47" i="2"/>
  <c r="G78" i="2"/>
  <c r="G48" i="2"/>
  <c r="G69" i="2"/>
  <c r="K69" i="2" s="1"/>
  <c r="H70" i="3" s="1"/>
  <c r="N24" i="2" l="1"/>
  <c r="J32" i="2"/>
  <c r="H32" i="2"/>
  <c r="G32" i="2" s="1"/>
  <c r="I32" i="2"/>
  <c r="K32" i="2" s="1"/>
  <c r="H33" i="3" s="1"/>
  <c r="I31" i="2"/>
  <c r="H31" i="2"/>
  <c r="G31" i="2" s="1"/>
  <c r="J31" i="2"/>
  <c r="I35" i="2"/>
  <c r="H35" i="2"/>
  <c r="G35" i="2" s="1"/>
  <c r="J35" i="2"/>
  <c r="P14" i="2"/>
  <c r="E11" i="3" s="1"/>
  <c r="N20" i="2"/>
  <c r="J36" i="2"/>
  <c r="I36" i="2"/>
  <c r="H36" i="2"/>
  <c r="K14" i="2"/>
  <c r="H11" i="3" s="1"/>
  <c r="J30" i="2"/>
  <c r="H30" i="2"/>
  <c r="G30" i="2" s="1"/>
  <c r="I30" i="2"/>
  <c r="H37" i="2"/>
  <c r="I37" i="2"/>
  <c r="J37" i="2"/>
  <c r="H34" i="2"/>
  <c r="G34" i="2" s="1"/>
  <c r="I34" i="2"/>
  <c r="K34" i="2" s="1"/>
  <c r="J34" i="2"/>
  <c r="H38" i="2"/>
  <c r="I38" i="2"/>
  <c r="J38" i="2"/>
  <c r="P47" i="2"/>
  <c r="E48" i="3" s="1"/>
  <c r="O47" i="2"/>
  <c r="D48" i="3" s="1"/>
  <c r="O48" i="2"/>
  <c r="D49" i="3" s="1"/>
  <c r="P48" i="2"/>
  <c r="E49" i="3" s="1"/>
  <c r="N45" i="2"/>
  <c r="N44" i="2"/>
  <c r="P46" i="2"/>
  <c r="E47" i="3" s="1"/>
  <c r="O46" i="2"/>
  <c r="D47" i="3" s="1"/>
  <c r="AM29" i="2"/>
  <c r="AF29" i="2"/>
  <c r="K33" i="2"/>
  <c r="H34" i="3" s="1"/>
  <c r="AK29" i="2"/>
  <c r="AN29" i="2"/>
  <c r="K22" i="2"/>
  <c r="H19" i="3" s="1"/>
  <c r="K13" i="2"/>
  <c r="H10" i="3" s="1"/>
  <c r="O25" i="2"/>
  <c r="D22" i="3" s="1"/>
  <c r="P25" i="2"/>
  <c r="E22" i="3" s="1"/>
  <c r="N21" i="2"/>
  <c r="N14" i="2"/>
  <c r="N13" i="2"/>
  <c r="K40" i="2"/>
  <c r="H41" i="3" s="1"/>
  <c r="O40" i="2"/>
  <c r="D41" i="3" s="1"/>
  <c r="N18" i="2"/>
  <c r="N22" i="2"/>
  <c r="K27" i="2"/>
  <c r="H28" i="3" s="1"/>
  <c r="N43" i="2"/>
  <c r="N11" i="2"/>
  <c r="N115" i="2"/>
  <c r="N75" i="2"/>
  <c r="N56" i="2"/>
  <c r="N92" i="2"/>
  <c r="N59" i="2"/>
  <c r="N97" i="2"/>
  <c r="N58" i="2"/>
  <c r="N53" i="2"/>
  <c r="N60" i="2"/>
  <c r="N101" i="2"/>
  <c r="N57" i="2"/>
  <c r="N63" i="2"/>
  <c r="N106" i="2"/>
  <c r="N89" i="2"/>
  <c r="O69" i="2"/>
  <c r="D70" i="3" s="1"/>
  <c r="P69" i="2"/>
  <c r="E70" i="3" s="1"/>
  <c r="P107" i="2"/>
  <c r="E116" i="3" s="1"/>
  <c r="O107" i="2"/>
  <c r="D116" i="3" s="1"/>
  <c r="P27" i="2"/>
  <c r="E28" i="3" s="1"/>
  <c r="O27" i="2"/>
  <c r="D28" i="3" s="1"/>
  <c r="O35" i="2"/>
  <c r="D36" i="3" s="1"/>
  <c r="P35" i="2"/>
  <c r="E36" i="3" s="1"/>
  <c r="K35" i="2"/>
  <c r="H36" i="3" s="1"/>
  <c r="N96" i="2"/>
  <c r="K47" i="2"/>
  <c r="H48" i="3" s="1"/>
  <c r="N88" i="2"/>
  <c r="N67" i="2"/>
  <c r="O34" i="2"/>
  <c r="D35" i="3" s="1"/>
  <c r="P34" i="2"/>
  <c r="E35" i="3" s="1"/>
  <c r="O33" i="2"/>
  <c r="D34" i="3" s="1"/>
  <c r="P33" i="2"/>
  <c r="E34" i="3" s="1"/>
  <c r="O80" i="2"/>
  <c r="D85" i="3" s="1"/>
  <c r="P80" i="2"/>
  <c r="E85" i="3" s="1"/>
  <c r="K80" i="2"/>
  <c r="H85" i="3" s="1"/>
  <c r="O79" i="2"/>
  <c r="D84" i="3" s="1"/>
  <c r="P79" i="2"/>
  <c r="E84" i="3" s="1"/>
  <c r="N102" i="2"/>
  <c r="N66" i="2"/>
  <c r="K107" i="2"/>
  <c r="H116" i="3" s="1"/>
  <c r="N94" i="2"/>
  <c r="N64" i="2"/>
  <c r="N62" i="2"/>
  <c r="N104" i="2"/>
  <c r="O78" i="2"/>
  <c r="D83" i="3" s="1"/>
  <c r="P78" i="2"/>
  <c r="E83" i="3" s="1"/>
  <c r="K78" i="2"/>
  <c r="H83" i="3" s="1"/>
  <c r="P109" i="2"/>
  <c r="E118" i="3" s="1"/>
  <c r="O109" i="2"/>
  <c r="D118" i="3" s="1"/>
  <c r="O108" i="2"/>
  <c r="D117" i="3" s="1"/>
  <c r="P108" i="2"/>
  <c r="E117" i="3" s="1"/>
  <c r="K108" i="2"/>
  <c r="H117" i="3" s="1"/>
  <c r="K48" i="2"/>
  <c r="H49" i="3" s="1"/>
  <c r="N61" i="2"/>
  <c r="K109" i="2"/>
  <c r="H118" i="3" s="1"/>
  <c r="N100" i="2"/>
  <c r="N77" i="2"/>
  <c r="K46" i="2"/>
  <c r="H47" i="3" s="1"/>
  <c r="P40" i="2"/>
  <c r="E41" i="3" s="1"/>
  <c r="N90" i="2"/>
  <c r="N76" i="2"/>
  <c r="N65" i="2"/>
  <c r="N105" i="2"/>
  <c r="P111" i="2"/>
  <c r="E120" i="3" s="1"/>
  <c r="G83" i="2"/>
  <c r="G28" i="2"/>
  <c r="G49" i="2"/>
  <c r="G36" i="2"/>
  <c r="G50" i="2"/>
  <c r="G81" i="2"/>
  <c r="G73" i="2"/>
  <c r="K73" i="2" s="1"/>
  <c r="H78" i="3" s="1"/>
  <c r="G37" i="2"/>
  <c r="G41" i="2"/>
  <c r="G51" i="2"/>
  <c r="G86" i="2"/>
  <c r="G82" i="2"/>
  <c r="G38" i="2"/>
  <c r="G54" i="2"/>
  <c r="K54" i="2" s="1"/>
  <c r="H55" i="3" s="1"/>
  <c r="G70" i="2"/>
  <c r="K70" i="2" s="1"/>
  <c r="H71" i="3" s="1"/>
  <c r="G68" i="2"/>
  <c r="K68" i="2" s="1"/>
  <c r="H69" i="3" s="1"/>
  <c r="H35" i="3" l="1"/>
  <c r="AN31" i="2"/>
  <c r="AC31" i="2"/>
  <c r="AJ28" i="2"/>
  <c r="AL29" i="2"/>
  <c r="AB29" i="2"/>
  <c r="AI29" i="2"/>
  <c r="AD29" i="2"/>
  <c r="AH29" i="2"/>
  <c r="K30" i="2"/>
  <c r="P32" i="2"/>
  <c r="E33" i="3" s="1"/>
  <c r="O32" i="2"/>
  <c r="AG29" i="2"/>
  <c r="Z29" i="2"/>
  <c r="Y29" i="2"/>
  <c r="AJ29" i="2"/>
  <c r="AC29" i="2"/>
  <c r="P30" i="2"/>
  <c r="E31" i="3" s="1"/>
  <c r="O30" i="2"/>
  <c r="O31" i="2"/>
  <c r="AK28" i="2"/>
  <c r="P31" i="2"/>
  <c r="E32" i="3" s="1"/>
  <c r="X29" i="2"/>
  <c r="AE29" i="2"/>
  <c r="AP29" i="2"/>
  <c r="AO29" i="2"/>
  <c r="AA29" i="2"/>
  <c r="AH28" i="2"/>
  <c r="K31" i="2"/>
  <c r="N25" i="2"/>
  <c r="AB30" i="2"/>
  <c r="Y31" i="2"/>
  <c r="AF31" i="2"/>
  <c r="AD30" i="2"/>
  <c r="AM31" i="2"/>
  <c r="AL31" i="2"/>
  <c r="AA30" i="2"/>
  <c r="AK31" i="2"/>
  <c r="AI31" i="2"/>
  <c r="AH31" i="2"/>
  <c r="AO32" i="2"/>
  <c r="AP32" i="2"/>
  <c r="AI30" i="2"/>
  <c r="Z30" i="2"/>
  <c r="AK30" i="2"/>
  <c r="AN32" i="2"/>
  <c r="AC32" i="2"/>
  <c r="AN30" i="2"/>
  <c r="AP30" i="2"/>
  <c r="AM30" i="2"/>
  <c r="AG30" i="2"/>
  <c r="AJ32" i="2"/>
  <c r="AM32" i="2"/>
  <c r="AJ30" i="2"/>
  <c r="AH30" i="2"/>
  <c r="AE30" i="2"/>
  <c r="AC30" i="2"/>
  <c r="AD32" i="2"/>
  <c r="X32" i="2"/>
  <c r="AA32" i="2"/>
  <c r="N46" i="2"/>
  <c r="O51" i="2"/>
  <c r="D52" i="3" s="1"/>
  <c r="P51" i="2"/>
  <c r="E52" i="3" s="1"/>
  <c r="N48" i="2"/>
  <c r="N47" i="2"/>
  <c r="P49" i="2"/>
  <c r="E50" i="3" s="1"/>
  <c r="O49" i="2"/>
  <c r="D50" i="3" s="1"/>
  <c r="O50" i="2"/>
  <c r="D51" i="3" s="1"/>
  <c r="P50" i="2"/>
  <c r="E51" i="3" s="1"/>
  <c r="AF30" i="2"/>
  <c r="AL30" i="2"/>
  <c r="X30" i="2"/>
  <c r="AO30" i="2"/>
  <c r="Y30" i="2"/>
  <c r="AH32" i="2"/>
  <c r="AG32" i="2"/>
  <c r="AF32" i="2"/>
  <c r="Z32" i="2"/>
  <c r="AI32" i="2"/>
  <c r="AO31" i="2"/>
  <c r="AJ31" i="2"/>
  <c r="AE31" i="2"/>
  <c r="AB31" i="2"/>
  <c r="AD31" i="2"/>
  <c r="AL32" i="2"/>
  <c r="Y32" i="2"/>
  <c r="AB32" i="2"/>
  <c r="AK32" i="2"/>
  <c r="AE32" i="2"/>
  <c r="AG31" i="2"/>
  <c r="X31" i="2"/>
  <c r="AA31" i="2"/>
  <c r="AP31" i="2"/>
  <c r="Z31" i="2"/>
  <c r="X36" i="2"/>
  <c r="AF36" i="2"/>
  <c r="AP36" i="2"/>
  <c r="AM36" i="2"/>
  <c r="AL36" i="2"/>
  <c r="AO36" i="2"/>
  <c r="AI36" i="2"/>
  <c r="AD36" i="2"/>
  <c r="AG36" i="2"/>
  <c r="AA36" i="2"/>
  <c r="AN36" i="2"/>
  <c r="Y36" i="2"/>
  <c r="N35" i="2"/>
  <c r="AE36" i="2"/>
  <c r="AH36" i="2"/>
  <c r="AJ36" i="2"/>
  <c r="AK36" i="2"/>
  <c r="N34" i="2"/>
  <c r="N27" i="2"/>
  <c r="N33" i="2"/>
  <c r="K28" i="2"/>
  <c r="H29" i="3" s="1"/>
  <c r="Z36" i="2"/>
  <c r="AB36" i="2"/>
  <c r="AC36" i="2"/>
  <c r="N40" i="2"/>
  <c r="N107" i="2"/>
  <c r="N79" i="2"/>
  <c r="O82" i="2"/>
  <c r="D87" i="3" s="1"/>
  <c r="P82" i="2"/>
  <c r="E87" i="3" s="1"/>
  <c r="K82" i="2"/>
  <c r="H87" i="3" s="1"/>
  <c r="O28" i="2"/>
  <c r="D29" i="3" s="1"/>
  <c r="P28" i="2"/>
  <c r="E29" i="3" s="1"/>
  <c r="O41" i="2"/>
  <c r="D42" i="3" s="1"/>
  <c r="P41" i="2"/>
  <c r="E42" i="3" s="1"/>
  <c r="K41" i="2"/>
  <c r="H42" i="3" s="1"/>
  <c r="O37" i="2"/>
  <c r="D38" i="3" s="1"/>
  <c r="P37" i="2"/>
  <c r="E38" i="3" s="1"/>
  <c r="K37" i="2"/>
  <c r="H38" i="3" s="1"/>
  <c r="O83" i="2"/>
  <c r="D88" i="3" s="1"/>
  <c r="P83" i="2"/>
  <c r="E88" i="3" s="1"/>
  <c r="K83" i="2"/>
  <c r="H88" i="3" s="1"/>
  <c r="P70" i="2"/>
  <c r="E71" i="3" s="1"/>
  <c r="O70" i="2"/>
  <c r="D71" i="3" s="1"/>
  <c r="P54" i="2"/>
  <c r="E55" i="3" s="1"/>
  <c r="O54" i="2"/>
  <c r="D55" i="3" s="1"/>
  <c r="O110" i="2"/>
  <c r="D119" i="3" s="1"/>
  <c r="P110" i="2"/>
  <c r="E119" i="3" s="1"/>
  <c r="K110" i="2"/>
  <c r="H119" i="3" s="1"/>
  <c r="O73" i="2"/>
  <c r="D78" i="3" s="1"/>
  <c r="P73" i="2"/>
  <c r="E78" i="3" s="1"/>
  <c r="O112" i="2"/>
  <c r="D121" i="3" s="1"/>
  <c r="P112" i="2"/>
  <c r="E121" i="3" s="1"/>
  <c r="K112" i="2"/>
  <c r="H121" i="3" s="1"/>
  <c r="O111" i="2"/>
  <c r="D120" i="3" s="1"/>
  <c r="K111" i="2"/>
  <c r="H120" i="3" s="1"/>
  <c r="N69" i="2"/>
  <c r="P68" i="2"/>
  <c r="E69" i="3" s="1"/>
  <c r="O68" i="2"/>
  <c r="D69" i="3" s="1"/>
  <c r="K50" i="2"/>
  <c r="H51" i="3" s="1"/>
  <c r="P36" i="2"/>
  <c r="E37" i="3" s="1"/>
  <c r="O36" i="2"/>
  <c r="D37" i="3" s="1"/>
  <c r="K36" i="2"/>
  <c r="H37" i="3" s="1"/>
  <c r="N108" i="2"/>
  <c r="N78" i="2"/>
  <c r="P38" i="2"/>
  <c r="E39" i="3" s="1"/>
  <c r="O38" i="2"/>
  <c r="D39" i="3" s="1"/>
  <c r="K38" i="2"/>
  <c r="H39" i="3" s="1"/>
  <c r="K51" i="2"/>
  <c r="H52" i="3" s="1"/>
  <c r="O81" i="2"/>
  <c r="D86" i="3" s="1"/>
  <c r="P81" i="2"/>
  <c r="E86" i="3" s="1"/>
  <c r="K81" i="2"/>
  <c r="H86" i="3" s="1"/>
  <c r="K49" i="2"/>
  <c r="H50" i="3" s="1"/>
  <c r="N85" i="2"/>
  <c r="N109" i="2"/>
  <c r="N80" i="2"/>
  <c r="H32" i="3" l="1"/>
  <c r="AP28" i="2"/>
  <c r="AE28" i="2"/>
  <c r="AN28" i="2"/>
  <c r="Z28" i="2"/>
  <c r="AO28" i="2"/>
  <c r="X28" i="2"/>
  <c r="AD28" i="2"/>
  <c r="AM28" i="2"/>
  <c r="AI28" i="2"/>
  <c r="AB28" i="2"/>
  <c r="Y28" i="2"/>
  <c r="AC28" i="2"/>
  <c r="AL28" i="2"/>
  <c r="AA28" i="2"/>
  <c r="H31" i="3"/>
  <c r="AN27" i="2"/>
  <c r="AJ27" i="2"/>
  <c r="AI27" i="2"/>
  <c r="Y27" i="2"/>
  <c r="Z27" i="2"/>
  <c r="AL27" i="2"/>
  <c r="AO27" i="2"/>
  <c r="AH27" i="2"/>
  <c r="AP27" i="2"/>
  <c r="X27" i="2"/>
  <c r="AM27" i="2"/>
  <c r="AC27" i="2"/>
  <c r="AB27" i="2"/>
  <c r="AF27" i="2"/>
  <c r="AA27" i="2"/>
  <c r="AK27" i="2"/>
  <c r="AG27" i="2"/>
  <c r="AD27" i="2"/>
  <c r="AE27" i="2"/>
  <c r="D31" i="3"/>
  <c r="N30" i="2"/>
  <c r="AG28" i="2"/>
  <c r="D32" i="3"/>
  <c r="N31" i="2"/>
  <c r="D33" i="3"/>
  <c r="N32" i="2"/>
  <c r="AF28" i="2"/>
  <c r="X34" i="2"/>
  <c r="AC34" i="2"/>
  <c r="AJ35" i="2"/>
  <c r="AE34" i="2"/>
  <c r="AE35" i="2"/>
  <c r="AD34" i="2"/>
  <c r="Y35" i="2"/>
  <c r="AA34" i="2"/>
  <c r="AL35" i="2"/>
  <c r="N50" i="2"/>
  <c r="N51" i="2"/>
  <c r="N49" i="2"/>
  <c r="AK33" i="2"/>
  <c r="AM33" i="2"/>
  <c r="AD33" i="2"/>
  <c r="AG33" i="2"/>
  <c r="AH33" i="2"/>
  <c r="AB33" i="2"/>
  <c r="AN34" i="2"/>
  <c r="AP34" i="2"/>
  <c r="Z34" i="2"/>
  <c r="AO34" i="2"/>
  <c r="Y34" i="2"/>
  <c r="AC35" i="2"/>
  <c r="AB35" i="2"/>
  <c r="AA35" i="2"/>
  <c r="AF35" i="2"/>
  <c r="AH35" i="2"/>
  <c r="AL33" i="2"/>
  <c r="AI33" i="2"/>
  <c r="AF33" i="2"/>
  <c r="AA33" i="2"/>
  <c r="Z33" i="2"/>
  <c r="AC33" i="2"/>
  <c r="AN33" i="2"/>
  <c r="X33" i="2"/>
  <c r="AB34" i="2"/>
  <c r="AL34" i="2"/>
  <c r="AF34" i="2"/>
  <c r="AK34" i="2"/>
  <c r="AK35" i="2"/>
  <c r="AM35" i="2"/>
  <c r="AO35" i="2"/>
  <c r="X35" i="2"/>
  <c r="AD35" i="2"/>
  <c r="AE33" i="2"/>
  <c r="AP33" i="2"/>
  <c r="AO33" i="2"/>
  <c r="Y33" i="2"/>
  <c r="AJ33" i="2"/>
  <c r="AJ34" i="2"/>
  <c r="AM34" i="2"/>
  <c r="AH34" i="2"/>
  <c r="AI34" i="2"/>
  <c r="AG34" i="2"/>
  <c r="AN35" i="2"/>
  <c r="AI35" i="2"/>
  <c r="AG35" i="2"/>
  <c r="AP35" i="2"/>
  <c r="Z35" i="2"/>
  <c r="AI37" i="2"/>
  <c r="AE37" i="2"/>
  <c r="AP37" i="2"/>
  <c r="AO37" i="2"/>
  <c r="AJ37" i="2"/>
  <c r="AL37" i="2"/>
  <c r="AG37" i="2"/>
  <c r="AB37" i="2"/>
  <c r="AD37" i="2"/>
  <c r="X37" i="2"/>
  <c r="Z37" i="2"/>
  <c r="N28" i="2"/>
  <c r="AC37" i="2"/>
  <c r="AN37" i="2"/>
  <c r="AA37" i="2"/>
  <c r="N37" i="2"/>
  <c r="N111" i="2"/>
  <c r="N36" i="2"/>
  <c r="N38" i="2"/>
  <c r="N41" i="2"/>
  <c r="AH37" i="2"/>
  <c r="AK37" i="2"/>
  <c r="AM37" i="2"/>
  <c r="AF37" i="2"/>
  <c r="Y37" i="2"/>
  <c r="N70" i="2"/>
  <c r="N82" i="2"/>
  <c r="N81" i="2"/>
  <c r="N110" i="2"/>
  <c r="N73" i="2"/>
  <c r="N68" i="2"/>
  <c r="N112" i="2"/>
  <c r="N54" i="2"/>
  <c r="N83" i="2"/>
  <c r="G72" i="2"/>
  <c r="O72" i="2" s="1"/>
  <c r="D77" i="3" s="1"/>
  <c r="P72" i="2" l="1"/>
  <c r="E77" i="3" s="1"/>
  <c r="K72" i="2"/>
  <c r="H77" i="3" s="1"/>
  <c r="N72" i="2" l="1"/>
  <c r="E11" i="5"/>
  <c r="E7" i="5" s="1"/>
  <c r="D11" i="5" l="1"/>
  <c r="D7" i="5" s="1"/>
  <c r="C11" i="5"/>
  <c r="C7" i="5" s="1"/>
</calcChain>
</file>

<file path=xl/sharedStrings.xml><?xml version="1.0" encoding="utf-8"?>
<sst xmlns="http://schemas.openxmlformats.org/spreadsheetml/2006/main" count="632" uniqueCount="275">
  <si>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</si>
  <si>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</si>
  <si>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</si>
  <si>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</si>
  <si>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</si>
  <si>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</si>
  <si>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</si>
  <si>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</si>
  <si>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</si>
  <si>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</si>
  <si>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</si>
  <si>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</si>
  <si>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</si>
  <si>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</si>
  <si>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</si>
  <si>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</si>
  <si>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</si>
  <si>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</si>
  <si>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</si>
  <si>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</si>
  <si>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</si>
  <si>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</si>
  <si>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</si>
  <si>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</si>
  <si>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</si>
  <si>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</si>
  <si>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</si>
  <si>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</si>
  <si>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</si>
  <si>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</si>
  <si>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</si>
  <si>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</si>
  <si>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</si>
  <si>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</si>
  <si>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</si>
  <si>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</si>
  <si>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</si>
  <si>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</si>
  <si>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</si>
  <si>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</si>
  <si>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</si>
  <si>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</si>
  <si>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</si>
  <si>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</si>
  <si>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</si>
  <si>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</si>
  <si>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</si>
  <si>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</si>
  <si>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</si>
  <si>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</si>
  <si>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</si>
  <si>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</si>
  <si>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</si>
  <si>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</si>
  <si>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</si>
  <si>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</si>
  <si>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</si>
  <si>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</si>
  <si>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</si>
  <si>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</si>
  <si>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</si>
  <si>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</si>
  <si>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</si>
  <si>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</si>
  <si>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</si>
  <si>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</si>
  <si>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</si>
  <si>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</si>
  <si>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</si>
  <si>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</si>
  <si>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</si>
  <si>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</si>
  <si>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</si>
  <si>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</si>
  <si>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</si>
  <si>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</si>
  <si>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</si>
  <si>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</si>
  <si>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</si>
  <si>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</si>
  <si>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</si>
  <si>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</si>
  <si>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</si>
  <si>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</si>
  <si>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</si>
  <si>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</si>
  <si>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</si>
  <si>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</si>
  <si>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</si>
  <si>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</si>
  <si>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</si>
  <si>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</si>
  <si>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</si>
  <si>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</si>
  <si>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</si>
  <si>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</si>
  <si>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</si>
  <si>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</si>
  <si>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</si>
  <si>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</si>
  <si>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</si>
  <si>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</si>
  <si>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</si>
  <si>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</si>
  <si>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</si>
  <si>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</si>
  <si>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</si>
  <si>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</si>
  <si>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</si>
  <si>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</si>
  <si>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</si>
  <si>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</si>
  <si>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</si>
  <si>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</si>
  <si>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</si>
  <si>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</si>
  <si>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</si>
  <si>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</si>
  <si>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</si>
  <si>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</si>
  <si>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</si>
  <si>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</si>
  <si>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</si>
  <si>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</si>
  <si>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</si>
  <si>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</si>
  <si>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</si>
  <si>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</si>
  <si>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</si>
  <si>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</si>
  <si>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</si>
  <si>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</si>
  <si>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</si>
  <si>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</si>
  <si>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</si>
  <si>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</si>
  <si>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</si>
  <si>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</si>
  <si>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</si>
  <si>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</si>
  <si>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</si>
  <si>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</si>
  <si>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</si>
  <si>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</si>
  <si>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</si>
  <si>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</si>
  <si>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</si>
  <si>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</si>
  <si>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</si>
  <si>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</si>
  <si>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</si>
  <si>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</si>
  <si>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</si>
  <si>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</si>
  <si>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</si>
  <si>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</si>
  <si>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</si>
  <si>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</si>
  <si>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</si>
  <si>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</si>
  <si>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</si>
  <si>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</si>
  <si>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</si>
  <si>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</si>
  <si>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</si>
  <si>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</si>
  <si>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</si>
  <si>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</si>
  <si>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</si>
  <si>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</si>
  <si>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</si>
  <si>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</si>
  <si>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</si>
  <si>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</si>
  <si>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</si>
  <si>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</si>
  <si>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</si>
  <si>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</si>
  <si>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</si>
  <si>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</si>
  <si>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</si>
  <si>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</si>
  <si>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</si>
  <si>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</si>
  <si>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</si>
  <si>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</si>
  <si>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</si>
  <si>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</si>
  <si>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</si>
  <si>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</si>
  <si>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</si>
  <si>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</si>
  <si>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</si>
  <si>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</si>
  <si>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</si>
  <si>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</si>
  <si>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</si>
  <si>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</si>
  <si>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</si>
  <si>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</si>
  <si>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</si>
  <si>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</si>
  <si>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</si>
  <si>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</si>
  <si>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</si>
  <si>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</si>
  <si>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</si>
  <si>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</si>
  <si>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</si>
  <si>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</si>
  <si>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</si>
  <si>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</si>
  <si>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</si>
  <si>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</si>
  <si>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</si>
  <si>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</si>
  <si>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</si>
  <si>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</si>
  <si>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</si>
  <si>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</si>
  <si>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</si>
  <si>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</si>
  <si>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</si>
  <si>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</si>
  <si>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</si>
  <si>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</si>
  <si>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</si>
  <si>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</si>
  <si>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</si>
  <si>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</si>
  <si>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</si>
  <si>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</si>
  <si>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</si>
  <si>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</si>
  <si>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</si>
  <si>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</si>
  <si>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</si>
  <si>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</si>
  <si>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</si>
  <si>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</si>
  <si>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</si>
  <si>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</si>
  <si>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</si>
  <si>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</si>
  <si>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</si>
  <si>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</si>
  <si>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</si>
  <si>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</si>
  <si>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</si>
  <si>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</si>
  <si>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</si>
  <si>
    <t>Destroyer</t>
  </si>
  <si>
    <t>Cruiser</t>
  </si>
  <si>
    <t>Battleship</t>
  </si>
  <si>
    <t>Should be 24</t>
  </si>
  <si>
    <t>Weapon Slots</t>
  </si>
  <si>
    <t>Utility Slots</t>
  </si>
  <si>
    <t>Weapon Power Size Cost</t>
  </si>
  <si>
    <t>Power/Size</t>
  </si>
  <si>
    <t>Weapon Power/ Size</t>
  </si>
  <si>
    <t>Power</t>
  </si>
  <si>
    <t>Slots Left</t>
  </si>
  <si>
    <t>Max Defense per tier</t>
  </si>
  <si>
    <t>Shields</t>
  </si>
  <si>
    <t>Evasion Mult</t>
  </si>
  <si>
    <t>Armor Add</t>
  </si>
  <si>
    <t>Per Slot</t>
  </si>
  <si>
    <t>True Max Evasion</t>
  </si>
  <si>
    <t>Normal Max Armor</t>
  </si>
  <si>
    <t>Total Evasion</t>
  </si>
  <si>
    <t>Total Armor Needed</t>
  </si>
  <si>
    <t>Max Possible Armor</t>
  </si>
  <si>
    <t>Max Possible Armor %</t>
  </si>
  <si>
    <t>Normal Shield HP %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</si>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</sst>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General"/>
    <numFmt numFmtId="165" formatCode="#"/>
    <numFmt numFmtId="166" formatCode="0.0000"/>
    <numFmt numFmtId="167" formatCode="0.0%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1" applyNumberFormat="1" applyFont="1" applyAlignme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7.5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3.75</c:v>
                </c:pt>
                <c:pt idx="85">
                  <c:v>3.75</c:v>
                </c:pt>
                <c:pt idx="86">
                  <c:v>3.75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10</c:v>
                </c:pt>
                <c:pt idx="104">
                  <c:v>10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  <c:pt idx="3">
                  <c:v>0</c:v>
                </c:pt>
                <c:pt idx="4">
                  <c:v>-3.333333333333333</c:v>
                </c:pt>
                <c:pt idx="5">
                  <c:v>-6.6666666666666661</c:v>
                </c:pt>
                <c:pt idx="6">
                  <c:v>-13.333333333333332</c:v>
                </c:pt>
                <c:pt idx="7">
                  <c:v>-6.6666666666666661</c:v>
                </c:pt>
                <c:pt idx="8">
                  <c:v>-13.333333333333332</c:v>
                </c:pt>
                <c:pt idx="9">
                  <c:v>-26.666666666666664</c:v>
                </c:pt>
                <c:pt idx="10">
                  <c:v>-13.333333333333332</c:v>
                </c:pt>
                <c:pt idx="11">
                  <c:v>-26.666666666666664</c:v>
                </c:pt>
                <c:pt idx="12">
                  <c:v>-53.333333333333329</c:v>
                </c:pt>
                <c:pt idx="13">
                  <c:v>-26.666666666666664</c:v>
                </c:pt>
                <c:pt idx="14">
                  <c:v>-53.333333333333329</c:v>
                </c:pt>
                <c:pt idx="15">
                  <c:v>-106.66666666666666</c:v>
                </c:pt>
                <c:pt idx="16">
                  <c:v>-53.333333333333329</c:v>
                </c:pt>
                <c:pt idx="17">
                  <c:v>-106.66666666666666</c:v>
                </c:pt>
                <c:pt idx="18">
                  <c:v>-213.33333333333331</c:v>
                </c:pt>
                <c:pt idx="20">
                  <c:v>-213.33333333333331</c:v>
                </c:pt>
                <c:pt idx="21">
                  <c:v>-426.66666666666663</c:v>
                </c:pt>
                <c:pt idx="23">
                  <c:v>-13.333333333333332</c:v>
                </c:pt>
                <c:pt idx="24">
                  <c:v>-26.666666666666664</c:v>
                </c:pt>
                <c:pt idx="25">
                  <c:v>-53.333333333333329</c:v>
                </c:pt>
                <c:pt idx="26">
                  <c:v>-26.666666666666664</c:v>
                </c:pt>
                <c:pt idx="27">
                  <c:v>-53.333333333333329</c:v>
                </c:pt>
                <c:pt idx="28">
                  <c:v>-106.66666666666666</c:v>
                </c:pt>
                <c:pt idx="29">
                  <c:v>-53.333333333333329</c:v>
                </c:pt>
                <c:pt idx="30">
                  <c:v>-106.66666666666666</c:v>
                </c:pt>
                <c:pt idx="31">
                  <c:v>-213.33333333333331</c:v>
                </c:pt>
                <c:pt idx="33">
                  <c:v>-213.33333333333331</c:v>
                </c:pt>
                <c:pt idx="34">
                  <c:v>-426.66666666666663</c:v>
                </c:pt>
                <c:pt idx="36">
                  <c:v>-13.333333333333332</c:v>
                </c:pt>
                <c:pt idx="37">
                  <c:v>-26.666666666666664</c:v>
                </c:pt>
                <c:pt idx="38">
                  <c:v>-53.333333333333329</c:v>
                </c:pt>
                <c:pt idx="39">
                  <c:v>-26.666666666666664</c:v>
                </c:pt>
                <c:pt idx="40">
                  <c:v>-53.333333333333329</c:v>
                </c:pt>
                <c:pt idx="41">
                  <c:v>-106.66666666666666</c:v>
                </c:pt>
                <c:pt idx="42">
                  <c:v>-53.333333333333329</c:v>
                </c:pt>
                <c:pt idx="43">
                  <c:v>-106.66666666666666</c:v>
                </c:pt>
                <c:pt idx="44">
                  <c:v>-213.33333333333331</c:v>
                </c:pt>
                <c:pt idx="46">
                  <c:v>-213.33333333333331</c:v>
                </c:pt>
                <c:pt idx="47">
                  <c:v>-426.66666666666663</c:v>
                </c:pt>
                <c:pt idx="49">
                  <c:v>-3.333333333333333</c:v>
                </c:pt>
                <c:pt idx="50">
                  <c:v>-6.6666666666666661</c:v>
                </c:pt>
                <c:pt idx="51">
                  <c:v>-13.333333333333332</c:v>
                </c:pt>
                <c:pt idx="52">
                  <c:v>-6.6666666666666661</c:v>
                </c:pt>
                <c:pt idx="53">
                  <c:v>-13.333333333333332</c:v>
                </c:pt>
                <c:pt idx="54">
                  <c:v>-26.666666666666664</c:v>
                </c:pt>
                <c:pt idx="55">
                  <c:v>-13.333333333333332</c:v>
                </c:pt>
                <c:pt idx="56">
                  <c:v>-26.666666666666664</c:v>
                </c:pt>
                <c:pt idx="57">
                  <c:v>-53.333333333333329</c:v>
                </c:pt>
                <c:pt idx="58">
                  <c:v>-26.666666666666664</c:v>
                </c:pt>
                <c:pt idx="59">
                  <c:v>-53.333333333333329</c:v>
                </c:pt>
                <c:pt idx="60">
                  <c:v>-106.66666666666666</c:v>
                </c:pt>
                <c:pt idx="61">
                  <c:v>-53.333333333333329</c:v>
                </c:pt>
                <c:pt idx="62">
                  <c:v>-106.66666666666666</c:v>
                </c:pt>
                <c:pt idx="63">
                  <c:v>-213.33333333333331</c:v>
                </c:pt>
                <c:pt idx="65">
                  <c:v>-213.33333333333331</c:v>
                </c:pt>
                <c:pt idx="66">
                  <c:v>-426.66666666666663</c:v>
                </c:pt>
                <c:pt idx="68">
                  <c:v>-13.333333333333332</c:v>
                </c:pt>
                <c:pt idx="69">
                  <c:v>-26.666666666666664</c:v>
                </c:pt>
                <c:pt idx="70">
                  <c:v>-53.333333333333329</c:v>
                </c:pt>
                <c:pt idx="71">
                  <c:v>-26.666666666666664</c:v>
                </c:pt>
                <c:pt idx="72">
                  <c:v>-53.333333333333329</c:v>
                </c:pt>
                <c:pt idx="73">
                  <c:v>-106.66666666666666</c:v>
                </c:pt>
                <c:pt idx="74">
                  <c:v>-53.333333333333329</c:v>
                </c:pt>
                <c:pt idx="75">
                  <c:v>-106.66666666666666</c:v>
                </c:pt>
                <c:pt idx="76">
                  <c:v>-213.33333333333331</c:v>
                </c:pt>
                <c:pt idx="78">
                  <c:v>-106.66666666666666</c:v>
                </c:pt>
                <c:pt idx="79">
                  <c:v>-213.33333333333331</c:v>
                </c:pt>
                <c:pt idx="81">
                  <c:v>-3.333333333333333</c:v>
                </c:pt>
                <c:pt idx="82">
                  <c:v>-6.6666666666666661</c:v>
                </c:pt>
                <c:pt idx="83">
                  <c:v>-13.333333333333332</c:v>
                </c:pt>
                <c:pt idx="84">
                  <c:v>-6.6666666666666661</c:v>
                </c:pt>
                <c:pt idx="85">
                  <c:v>-13.333333333333332</c:v>
                </c:pt>
                <c:pt idx="86">
                  <c:v>-26.666666666666664</c:v>
                </c:pt>
                <c:pt idx="87">
                  <c:v>-13.333333333333332</c:v>
                </c:pt>
                <c:pt idx="88">
                  <c:v>-26.666666666666664</c:v>
                </c:pt>
                <c:pt idx="89">
                  <c:v>-53.333333333333329</c:v>
                </c:pt>
                <c:pt idx="90">
                  <c:v>-26.666666666666664</c:v>
                </c:pt>
                <c:pt idx="91">
                  <c:v>-53.333333333333329</c:v>
                </c:pt>
                <c:pt idx="92">
                  <c:v>-106.66666666666666</c:v>
                </c:pt>
                <c:pt idx="93">
                  <c:v>-53.333333333333329</c:v>
                </c:pt>
                <c:pt idx="94">
                  <c:v>-106.66666666666666</c:v>
                </c:pt>
                <c:pt idx="95">
                  <c:v>-213.33333333333331</c:v>
                </c:pt>
                <c:pt idx="97">
                  <c:v>-13.333333333333332</c:v>
                </c:pt>
                <c:pt idx="98">
                  <c:v>-26.666666666666664</c:v>
                </c:pt>
                <c:pt idx="99">
                  <c:v>-53.333333333333329</c:v>
                </c:pt>
                <c:pt idx="100">
                  <c:v>-26.666666666666664</c:v>
                </c:pt>
                <c:pt idx="101">
                  <c:v>-53.333333333333329</c:v>
                </c:pt>
                <c:pt idx="102">
                  <c:v>-106.66666666666666</c:v>
                </c:pt>
                <c:pt idx="103">
                  <c:v>-53.333333333333329</c:v>
                </c:pt>
                <c:pt idx="104">
                  <c:v>-106.66666666666666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6.8744688172043009</c:v>
                </c:pt>
                <c:pt idx="1">
                  <c:v>7.5033634408602152</c:v>
                </c:pt>
                <c:pt idx="2">
                  <c:v>8.1322580645161295</c:v>
                </c:pt>
                <c:pt idx="3">
                  <c:v>8.761152688172043</c:v>
                </c:pt>
                <c:pt idx="4">
                  <c:v>9.3900473118279546</c:v>
                </c:pt>
                <c:pt idx="5">
                  <c:v>10.018941935483872</c:v>
                </c:pt>
                <c:pt idx="6">
                  <c:v>10.647836559139783</c:v>
                </c:pt>
                <c:pt idx="7">
                  <c:v>11.276731182795697</c:v>
                </c:pt>
                <c:pt idx="8">
                  <c:v>11.90562580645161</c:v>
                </c:pt>
                <c:pt idx="9">
                  <c:v>12.534520430107523</c:v>
                </c:pt>
                <c:pt idx="10">
                  <c:v>13.163415053763439</c:v>
                </c:pt>
                <c:pt idx="11">
                  <c:v>13.792309677419354</c:v>
                </c:pt>
                <c:pt idx="12">
                  <c:v>14.421204301075266</c:v>
                </c:pt>
                <c:pt idx="13">
                  <c:v>15.050098924731179</c:v>
                </c:pt>
                <c:pt idx="14">
                  <c:v>15.678993548387094</c:v>
                </c:pt>
                <c:pt idx="15">
                  <c:v>16.307888172043011</c:v>
                </c:pt>
                <c:pt idx="16">
                  <c:v>16.936782795698925</c:v>
                </c:pt>
                <c:pt idx="17">
                  <c:v>17.565677419354838</c:v>
                </c:pt>
                <c:pt idx="18">
                  <c:v>18.194572043010751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6.4200107526881718</c:v>
                </c:pt>
                <c:pt idx="1">
                  <c:v>7.3881505376344085</c:v>
                </c:pt>
                <c:pt idx="2">
                  <c:v>8.3562903225806444</c:v>
                </c:pt>
                <c:pt idx="3">
                  <c:v>9.3244301075268812</c:v>
                </c:pt>
                <c:pt idx="4">
                  <c:v>10.292569892473118</c:v>
                </c:pt>
                <c:pt idx="5">
                  <c:v>11.260709677419355</c:v>
                </c:pt>
                <c:pt idx="6">
                  <c:v>12.228849462365591</c:v>
                </c:pt>
                <c:pt idx="7">
                  <c:v>13.196989247311828</c:v>
                </c:pt>
                <c:pt idx="8">
                  <c:v>14.165129032258063</c:v>
                </c:pt>
                <c:pt idx="9">
                  <c:v>15.133268817204302</c:v>
                </c:pt>
                <c:pt idx="10">
                  <c:v>16.101408602150535</c:v>
                </c:pt>
                <c:pt idx="11">
                  <c:v>17.069548387096773</c:v>
                </c:pt>
                <c:pt idx="12">
                  <c:v>18.037688172043012</c:v>
                </c:pt>
                <c:pt idx="13">
                  <c:v>19.005827956989251</c:v>
                </c:pt>
                <c:pt idx="14">
                  <c:v>19.973967741935489</c:v>
                </c:pt>
                <c:pt idx="15">
                  <c:v>20.942107526881724</c:v>
                </c:pt>
                <c:pt idx="16">
                  <c:v>21.910247311827963</c:v>
                </c:pt>
                <c:pt idx="17">
                  <c:v>22.878387096774201</c:v>
                </c:pt>
                <c:pt idx="18">
                  <c:v>23.84652688172044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5.9676430107526883</c:v>
                </c:pt>
                <c:pt idx="1">
                  <c:v>7.2734021505376347</c:v>
                </c:pt>
                <c:pt idx="2">
                  <c:v>8.5791612903225811</c:v>
                </c:pt>
                <c:pt idx="3">
                  <c:v>9.8849204301075293</c:v>
                </c:pt>
                <c:pt idx="4">
                  <c:v>11.190679569892474</c:v>
                </c:pt>
                <c:pt idx="5">
                  <c:v>12.49643870967742</c:v>
                </c:pt>
                <c:pt idx="6">
                  <c:v>13.802197849462367</c:v>
                </c:pt>
                <c:pt idx="7">
                  <c:v>15.107956989247311</c:v>
                </c:pt>
                <c:pt idx="8">
                  <c:v>16.413716129032256</c:v>
                </c:pt>
                <c:pt idx="9">
                  <c:v>17.719475268817202</c:v>
                </c:pt>
                <c:pt idx="10">
                  <c:v>19.025234408602149</c:v>
                </c:pt>
                <c:pt idx="11">
                  <c:v>20.330993548387099</c:v>
                </c:pt>
                <c:pt idx="12">
                  <c:v>21.636752688172045</c:v>
                </c:pt>
                <c:pt idx="13">
                  <c:v>22.942511827956992</c:v>
                </c:pt>
                <c:pt idx="14">
                  <c:v>24.248270967741941</c:v>
                </c:pt>
                <c:pt idx="15">
                  <c:v>25.554030107526888</c:v>
                </c:pt>
                <c:pt idx="16">
                  <c:v>26.859789247311838</c:v>
                </c:pt>
                <c:pt idx="17">
                  <c:v>28.165548387096784</c:v>
                </c:pt>
                <c:pt idx="18">
                  <c:v>29.471307526881734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8.8889833333333339</c:v>
                </c:pt>
                <c:pt idx="1">
                  <c:v>9.727566666666668</c:v>
                </c:pt>
                <c:pt idx="2">
                  <c:v>10.566150000000002</c:v>
                </c:pt>
                <c:pt idx="3">
                  <c:v>11.404733333333334</c:v>
                </c:pt>
                <c:pt idx="4">
                  <c:v>12.243316666666667</c:v>
                </c:pt>
                <c:pt idx="5">
                  <c:v>13.081900000000001</c:v>
                </c:pt>
                <c:pt idx="6">
                  <c:v>13.920483333333335</c:v>
                </c:pt>
                <c:pt idx="7">
                  <c:v>14.759066666666667</c:v>
                </c:pt>
                <c:pt idx="8">
                  <c:v>15.59765</c:v>
                </c:pt>
                <c:pt idx="9">
                  <c:v>16.43623333333333</c:v>
                </c:pt>
                <c:pt idx="10">
                  <c:v>17.274816666666666</c:v>
                </c:pt>
                <c:pt idx="11">
                  <c:v>18.113399999999999</c:v>
                </c:pt>
                <c:pt idx="12">
                  <c:v>18.951983333333331</c:v>
                </c:pt>
                <c:pt idx="13">
                  <c:v>19.790566666666667</c:v>
                </c:pt>
                <c:pt idx="14">
                  <c:v>20.629150000000003</c:v>
                </c:pt>
                <c:pt idx="15">
                  <c:v>21.467733333333332</c:v>
                </c:pt>
                <c:pt idx="16">
                  <c:v>22.306316666666667</c:v>
                </c:pt>
                <c:pt idx="17">
                  <c:v>23.144900000000003</c:v>
                </c:pt>
                <c:pt idx="18">
                  <c:v>23.983483333333336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8.0838333333333345</c:v>
                </c:pt>
                <c:pt idx="1">
                  <c:v>9.2796666666666674</c:v>
                </c:pt>
                <c:pt idx="2">
                  <c:v>10.475499999999998</c:v>
                </c:pt>
                <c:pt idx="3">
                  <c:v>11.671333333333333</c:v>
                </c:pt>
                <c:pt idx="4">
                  <c:v>12.867166666666666</c:v>
                </c:pt>
                <c:pt idx="5">
                  <c:v>14.062999999999997</c:v>
                </c:pt>
                <c:pt idx="6">
                  <c:v>15.258833333333328</c:v>
                </c:pt>
                <c:pt idx="7">
                  <c:v>16.454666666666665</c:v>
                </c:pt>
                <c:pt idx="8">
                  <c:v>17.650499999999997</c:v>
                </c:pt>
                <c:pt idx="9">
                  <c:v>18.846333333333327</c:v>
                </c:pt>
                <c:pt idx="10">
                  <c:v>20.04216666666666</c:v>
                </c:pt>
                <c:pt idx="11">
                  <c:v>21.237999999999996</c:v>
                </c:pt>
                <c:pt idx="12">
                  <c:v>22.433833333333329</c:v>
                </c:pt>
                <c:pt idx="13">
                  <c:v>23.629666666666662</c:v>
                </c:pt>
                <c:pt idx="14">
                  <c:v>24.825499999999995</c:v>
                </c:pt>
                <c:pt idx="15">
                  <c:v>26.021333333333331</c:v>
                </c:pt>
                <c:pt idx="16">
                  <c:v>27.217166666666664</c:v>
                </c:pt>
                <c:pt idx="17">
                  <c:v>28.413000000000004</c:v>
                </c:pt>
                <c:pt idx="18">
                  <c:v>29.608833333333333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7.2815119047619037</c:v>
                </c:pt>
                <c:pt idx="1">
                  <c:v>8.8333095238095218</c:v>
                </c:pt>
                <c:pt idx="2">
                  <c:v>10.385107142857143</c:v>
                </c:pt>
                <c:pt idx="3">
                  <c:v>11.93690476190476</c:v>
                </c:pt>
                <c:pt idx="4">
                  <c:v>13.488702380952377</c:v>
                </c:pt>
                <c:pt idx="5">
                  <c:v>15.040499999999996</c:v>
                </c:pt>
                <c:pt idx="6">
                  <c:v>16.592297619047613</c:v>
                </c:pt>
                <c:pt idx="7">
                  <c:v>18.144095238095233</c:v>
                </c:pt>
                <c:pt idx="8">
                  <c:v>19.695892857142852</c:v>
                </c:pt>
                <c:pt idx="9">
                  <c:v>21.247690476190467</c:v>
                </c:pt>
                <c:pt idx="10">
                  <c:v>22.79948809523809</c:v>
                </c:pt>
                <c:pt idx="11">
                  <c:v>24.351285714285709</c:v>
                </c:pt>
                <c:pt idx="12">
                  <c:v>25.903083333333324</c:v>
                </c:pt>
                <c:pt idx="13">
                  <c:v>27.454880952380947</c:v>
                </c:pt>
                <c:pt idx="14">
                  <c:v>29.006678571428566</c:v>
                </c:pt>
                <c:pt idx="15">
                  <c:v>30.558476190476188</c:v>
                </c:pt>
                <c:pt idx="16">
                  <c:v>32.110273809523804</c:v>
                </c:pt>
                <c:pt idx="17">
                  <c:v>33.66207142857143</c:v>
                </c:pt>
                <c:pt idx="18">
                  <c:v>35.213869047619049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10.707026133333335</c:v>
                </c:pt>
                <c:pt idx="1">
                  <c:v>11.765668266666667</c:v>
                </c:pt>
                <c:pt idx="2">
                  <c:v>12.8243104</c:v>
                </c:pt>
                <c:pt idx="3">
                  <c:v>13.882952533333333</c:v>
                </c:pt>
                <c:pt idx="4">
                  <c:v>14.941594666666667</c:v>
                </c:pt>
                <c:pt idx="5">
                  <c:v>16.0002368</c:v>
                </c:pt>
                <c:pt idx="6">
                  <c:v>17.058878933333336</c:v>
                </c:pt>
                <c:pt idx="7">
                  <c:v>18.117521066666665</c:v>
                </c:pt>
                <c:pt idx="8">
                  <c:v>19.176163200000001</c:v>
                </c:pt>
                <c:pt idx="9">
                  <c:v>20.234805333333334</c:v>
                </c:pt>
                <c:pt idx="10">
                  <c:v>21.293447466666667</c:v>
                </c:pt>
                <c:pt idx="11">
                  <c:v>22.352089599999999</c:v>
                </c:pt>
                <c:pt idx="12">
                  <c:v>23.410731733333336</c:v>
                </c:pt>
                <c:pt idx="13">
                  <c:v>24.469373866666668</c:v>
                </c:pt>
                <c:pt idx="14">
                  <c:v>25.528016000000004</c:v>
                </c:pt>
                <c:pt idx="15">
                  <c:v>26.586658133333337</c:v>
                </c:pt>
                <c:pt idx="16">
                  <c:v>27.645300266666673</c:v>
                </c:pt>
                <c:pt idx="17">
                  <c:v>28.703942400000006</c:v>
                </c:pt>
                <c:pt idx="18">
                  <c:v>29.762584533333342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9.467293333333334</c:v>
                </c:pt>
                <c:pt idx="1">
                  <c:v>10.905786666666666</c:v>
                </c:pt>
                <c:pt idx="2">
                  <c:v>12.344279999999999</c:v>
                </c:pt>
                <c:pt idx="3">
                  <c:v>13.782773333333331</c:v>
                </c:pt>
                <c:pt idx="4">
                  <c:v>15.221266666666665</c:v>
                </c:pt>
                <c:pt idx="5">
                  <c:v>16.659759999999995</c:v>
                </c:pt>
                <c:pt idx="6">
                  <c:v>18.098253333333332</c:v>
                </c:pt>
                <c:pt idx="7">
                  <c:v>19.536746666666662</c:v>
                </c:pt>
                <c:pt idx="8">
                  <c:v>20.975239999999996</c:v>
                </c:pt>
                <c:pt idx="9">
                  <c:v>22.41373333333333</c:v>
                </c:pt>
                <c:pt idx="10">
                  <c:v>23.85222666666666</c:v>
                </c:pt>
                <c:pt idx="11">
                  <c:v>25.290719999999993</c:v>
                </c:pt>
                <c:pt idx="12">
                  <c:v>26.72921333333333</c:v>
                </c:pt>
                <c:pt idx="13">
                  <c:v>28.167706666666664</c:v>
                </c:pt>
                <c:pt idx="14">
                  <c:v>29.606199999999998</c:v>
                </c:pt>
                <c:pt idx="15">
                  <c:v>31.044693333333331</c:v>
                </c:pt>
                <c:pt idx="16">
                  <c:v>32.483186666666661</c:v>
                </c:pt>
                <c:pt idx="17">
                  <c:v>33.921680000000002</c:v>
                </c:pt>
                <c:pt idx="18">
                  <c:v>35.360173333333336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8.2310741333333315</c:v>
                </c:pt>
                <c:pt idx="1">
                  <c:v>10.048324266666665</c:v>
                </c:pt>
                <c:pt idx="2">
                  <c:v>11.8655744</c:v>
                </c:pt>
                <c:pt idx="3">
                  <c:v>13.682824533333331</c:v>
                </c:pt>
                <c:pt idx="4">
                  <c:v>15.500074666666665</c:v>
                </c:pt>
                <c:pt idx="5">
                  <c:v>17.317324799999998</c:v>
                </c:pt>
                <c:pt idx="6">
                  <c:v>19.134574933333329</c:v>
                </c:pt>
                <c:pt idx="7">
                  <c:v>20.951825066666665</c:v>
                </c:pt>
                <c:pt idx="8">
                  <c:v>22.7690752</c:v>
                </c:pt>
                <c:pt idx="9">
                  <c:v>24.586325333333331</c:v>
                </c:pt>
                <c:pt idx="10">
                  <c:v>26.403575466666663</c:v>
                </c:pt>
                <c:pt idx="11">
                  <c:v>28.220825600000001</c:v>
                </c:pt>
                <c:pt idx="12">
                  <c:v>30.038075733333336</c:v>
                </c:pt>
                <c:pt idx="13">
                  <c:v>31.855325866666671</c:v>
                </c:pt>
                <c:pt idx="14">
                  <c:v>33.672575999999999</c:v>
                </c:pt>
                <c:pt idx="15">
                  <c:v>35.489826133333338</c:v>
                </c:pt>
                <c:pt idx="16">
                  <c:v>37.307076266666677</c:v>
                </c:pt>
                <c:pt idx="17">
                  <c:v>39.124326400000008</c:v>
                </c:pt>
                <c:pt idx="18">
                  <c:v>40.941576533333347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7.2717083333333346</c:v>
                </c:pt>
                <c:pt idx="1">
                  <c:v>8.8214166666666678</c:v>
                </c:pt>
                <c:pt idx="2">
                  <c:v>10.371125000000001</c:v>
                </c:pt>
                <c:pt idx="3">
                  <c:v>11.920833333333334</c:v>
                </c:pt>
                <c:pt idx="4">
                  <c:v>13.470541666666669</c:v>
                </c:pt>
                <c:pt idx="5">
                  <c:v>15.020250000000001</c:v>
                </c:pt>
                <c:pt idx="6">
                  <c:v>16.569958333333332</c:v>
                </c:pt>
                <c:pt idx="7">
                  <c:v>18.119666666666667</c:v>
                </c:pt>
                <c:pt idx="8">
                  <c:v>19.669375000000002</c:v>
                </c:pt>
                <c:pt idx="9">
                  <c:v>21.219083333333334</c:v>
                </c:pt>
                <c:pt idx="10">
                  <c:v>22.768791666666669</c:v>
                </c:pt>
                <c:pt idx="11">
                  <c:v>24.3185</c:v>
                </c:pt>
                <c:pt idx="12">
                  <c:v>25.868208333333339</c:v>
                </c:pt>
                <c:pt idx="13">
                  <c:v>27.417916666666674</c:v>
                </c:pt>
                <c:pt idx="14">
                  <c:v>28.967625000000009</c:v>
                </c:pt>
                <c:pt idx="15">
                  <c:v>30.517333333333344</c:v>
                </c:pt>
                <c:pt idx="16">
                  <c:v>32.067041666666675</c:v>
                </c:pt>
                <c:pt idx="17">
                  <c:v>33.61675000000001</c:v>
                </c:pt>
                <c:pt idx="18">
                  <c:v>35.166458333333345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8.222203733333334</c:v>
                </c:pt>
                <c:pt idx="1">
                  <c:v>10.037495466666668</c:v>
                </c:pt>
                <c:pt idx="2">
                  <c:v>11.852787200000002</c:v>
                </c:pt>
                <c:pt idx="3">
                  <c:v>13.668078933333335</c:v>
                </c:pt>
                <c:pt idx="4">
                  <c:v>15.483370666666669</c:v>
                </c:pt>
                <c:pt idx="5">
                  <c:v>17.298662400000001</c:v>
                </c:pt>
                <c:pt idx="6">
                  <c:v>19.113954133333333</c:v>
                </c:pt>
                <c:pt idx="7">
                  <c:v>20.929245866666669</c:v>
                </c:pt>
                <c:pt idx="8">
                  <c:v>22.744537600000001</c:v>
                </c:pt>
                <c:pt idx="9">
                  <c:v>24.559829333333337</c:v>
                </c:pt>
                <c:pt idx="10">
                  <c:v>26.375121066666669</c:v>
                </c:pt>
                <c:pt idx="11">
                  <c:v>28.190412800000004</c:v>
                </c:pt>
                <c:pt idx="12">
                  <c:v>30.005704533333336</c:v>
                </c:pt>
                <c:pt idx="13">
                  <c:v>31.820996266666675</c:v>
                </c:pt>
                <c:pt idx="14">
                  <c:v>33.636288000000015</c:v>
                </c:pt>
                <c:pt idx="15">
                  <c:v>35.451579733333347</c:v>
                </c:pt>
                <c:pt idx="16">
                  <c:v>37.266871466666686</c:v>
                </c:pt>
                <c:pt idx="17">
                  <c:v>39.082163200000018</c:v>
                </c:pt>
                <c:pt idx="18">
                  <c:v>40.897454933333357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opLeftCell="A67" workbookViewId="0">
      <selection activeCell="K92" sqref="K92"/>
    </sheetView>
  </sheetViews>
  <sheetFormatPr defaultRowHeight="15" x14ac:dyDescent="0.25"/>
  <cols>
    <col min="9" max="9" width="13.7109375" customWidth="1"/>
  </cols>
  <sheetData>
    <row r="1" spans="1:15" x14ac:dyDescent="0.25">
      <c r="A1" s="15" t="s">
        <v>0</v>
      </c>
    </row>
    <row r="2" spans="1:15" x14ac:dyDescent="0.25">
      <c r="A2" s="15" t="s">
        <v>1</v>
      </c>
    </row>
    <row r="3" spans="1:15" x14ac:dyDescent="0.25">
      <c r="A3" s="15" t="s">
        <v>2</v>
      </c>
      <c r="H3" t="s">
        <v>3</v>
      </c>
    </row>
    <row r="4" spans="1:15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5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5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</row>
    <row r="7" spans="1:15" x14ac:dyDescent="0.25">
      <c r="A7" s="15" t="s">
        <v>22</v>
      </c>
    </row>
    <row r="8" spans="1:15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</row>
    <row r="9" spans="1:15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</row>
    <row r="10" spans="1:15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</row>
    <row r="11" spans="1:15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</row>
    <row r="12" spans="1:15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</row>
    <row r="13" spans="1:15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</row>
    <row r="14" spans="1:15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</row>
    <row r="15" spans="1:15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</row>
    <row r="16" spans="1:15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</row>
    <row r="17" spans="1:14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</row>
    <row r="18" spans="1:14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</row>
    <row r="19" spans="1:14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</row>
    <row r="20" spans="1:14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</row>
    <row r="21" spans="1:14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</row>
    <row r="22" spans="1:14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</row>
    <row r="23" spans="1:14" x14ac:dyDescent="0.25">
      <c r="A23" s="15" t="s">
        <v>150</v>
      </c>
    </row>
    <row r="24" spans="1:14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</row>
    <row r="25" spans="1:14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</row>
    <row r="26" spans="1:14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</row>
    <row r="27" spans="1:14" x14ac:dyDescent="0.25">
      <c r="A27" s="15" t="s">
        <v>39</v>
      </c>
    </row>
    <row r="28" spans="1:14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</row>
    <row r="29" spans="1:14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</row>
    <row r="30" spans="1:14" x14ac:dyDescent="0.25">
      <c r="A30" s="15" t="s">
        <v>42</v>
      </c>
    </row>
    <row r="31" spans="1:14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</row>
    <row r="32" spans="1:14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</row>
    <row r="33" spans="1:14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</row>
    <row r="34" spans="1:14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</row>
    <row r="35" spans="1:14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</row>
    <row r="36" spans="1:14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</row>
    <row r="37" spans="1:14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</row>
    <row r="38" spans="1:14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</row>
    <row r="39" spans="1:14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</row>
    <row r="40" spans="1:14" x14ac:dyDescent="0.25">
      <c r="A40" s="15" t="s">
        <v>52</v>
      </c>
    </row>
    <row r="41" spans="1:14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</row>
    <row r="42" spans="1:14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</row>
    <row r="43" spans="1:14" x14ac:dyDescent="0.25">
      <c r="A43" s="15" t="s">
        <v>55</v>
      </c>
    </row>
    <row r="44" spans="1:14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</row>
    <row r="45" spans="1:14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</row>
    <row r="46" spans="1:14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</row>
    <row r="47" spans="1:14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</row>
    <row r="48" spans="1:14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</row>
    <row r="49" spans="1:14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</row>
    <row r="50" spans="1:14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</row>
    <row r="51" spans="1:14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</row>
    <row r="52" spans="1:14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</row>
    <row r="53" spans="1:14" x14ac:dyDescent="0.25">
      <c r="A53" s="15" t="s">
        <v>65</v>
      </c>
    </row>
    <row r="54" spans="1:14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</row>
    <row r="55" spans="1:14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</row>
    <row r="56" spans="1:14" x14ac:dyDescent="0.25">
      <c r="A56" s="15" t="s">
        <v>68</v>
      </c>
    </row>
    <row r="57" spans="1:14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</row>
    <row r="58" spans="1:14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</row>
    <row r="59" spans="1:14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</row>
    <row r="60" spans="1:14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</row>
    <row r="61" spans="1:14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</row>
    <row r="62" spans="1:14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</row>
    <row r="63" spans="1:14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</row>
    <row r="64" spans="1:14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</row>
    <row r="65" spans="1:14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</row>
    <row r="66" spans="1:14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</row>
    <row r="67" spans="1:14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</row>
    <row r="68" spans="1:14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</row>
    <row r="69" spans="1:14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</row>
    <row r="70" spans="1:14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</row>
    <row r="71" spans="1:14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</row>
    <row r="72" spans="1:14" x14ac:dyDescent="0.25">
      <c r="A72" s="15" t="s">
        <v>150</v>
      </c>
    </row>
    <row r="73" spans="1:14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</row>
    <row r="74" spans="1:14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</row>
    <row r="75" spans="1:14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</row>
    <row r="76" spans="1:14" x14ac:dyDescent="0.25">
      <c r="A76" s="15" t="s">
        <v>84</v>
      </c>
    </row>
    <row r="77" spans="1:14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</row>
    <row r="78" spans="1:14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</row>
    <row r="79" spans="1:14" x14ac:dyDescent="0.25">
      <c r="A79" s="15" t="s">
        <v>87</v>
      </c>
    </row>
    <row r="80" spans="1:14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</row>
    <row r="81" spans="1:14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</row>
    <row r="82" spans="1:14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</row>
    <row r="83" spans="1:14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</row>
    <row r="84" spans="1:14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</row>
    <row r="85" spans="1:14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</row>
    <row r="86" spans="1:14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</row>
    <row r="87" spans="1:14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</row>
    <row r="88" spans="1:14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</row>
    <row r="89" spans="1:14" x14ac:dyDescent="0.25">
      <c r="A89" s="15" t="s">
        <v>97</v>
      </c>
    </row>
    <row r="90" spans="1:14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</row>
    <row r="91" spans="1:14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</row>
    <row r="92" spans="1:14" x14ac:dyDescent="0.25">
      <c r="A92" s="15" t="s">
        <v>100</v>
      </c>
    </row>
    <row r="93" spans="1:14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</row>
    <row r="94" spans="1:14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</row>
    <row r="95" spans="1:14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</row>
    <row r="96" spans="1:14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</row>
    <row r="97" spans="1:14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</row>
    <row r="98" spans="1:14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</row>
    <row r="99" spans="1:14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</row>
    <row r="100" spans="1:14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</row>
    <row r="101" spans="1:14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</row>
    <row r="102" spans="1:14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</row>
    <row r="103" spans="1:14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</row>
    <row r="104" spans="1:14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</row>
    <row r="105" spans="1:14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</row>
    <row r="106" spans="1:14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</row>
    <row r="107" spans="1:14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</row>
    <row r="108" spans="1:14" x14ac:dyDescent="0.25">
      <c r="A108" s="15" t="s">
        <v>157</v>
      </c>
    </row>
    <row r="109" spans="1:14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</row>
    <row r="110" spans="1:14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</row>
    <row r="111" spans="1:14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</row>
    <row r="112" spans="1:14" x14ac:dyDescent="0.25">
      <c r="A112" s="15" t="s">
        <v>116</v>
      </c>
    </row>
    <row r="113" spans="1:14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</row>
    <row r="114" spans="1:14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</row>
    <row r="115" spans="1:14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</row>
    <row r="116" spans="1:14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</row>
    <row r="117" spans="1:14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</row>
    <row r="118" spans="1:14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</row>
    <row r="119" spans="1:14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</row>
    <row r="120" spans="1:14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</row>
    <row r="121" spans="1:14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</row>
    <row r="122" spans="1:14" x14ac:dyDescent="0.25">
      <c r="A122" s="15" t="s">
        <v>126</v>
      </c>
    </row>
    <row r="123" spans="1:14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</row>
    <row r="124" spans="1:14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</row>
    <row r="125" spans="1:14" x14ac:dyDescent="0.25">
      <c r="A125" s="15" t="s">
        <v>161</v>
      </c>
    </row>
    <row r="126" spans="1:14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</row>
    <row r="127" spans="1:14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</row>
    <row r="128" spans="1:14" x14ac:dyDescent="0.25">
      <c r="A128" s="15" t="s">
        <v>164</v>
      </c>
    </row>
    <row r="129" spans="1:14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</row>
    <row r="130" spans="1:14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</row>
    <row r="131" spans="1:14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</row>
    <row r="132" spans="1:14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</row>
    <row r="133" spans="1:14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</row>
    <row r="134" spans="1:14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</row>
    <row r="135" spans="1:14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</row>
    <row r="136" spans="1:14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</row>
    <row r="137" spans="1:14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</row>
    <row r="138" spans="1:14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</row>
    <row r="139" spans="1:14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</row>
    <row r="140" spans="1:14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</row>
    <row r="141" spans="1:14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</row>
    <row r="142" spans="1:14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</row>
    <row r="143" spans="1:14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</row>
    <row r="144" spans="1:14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</row>
    <row r="145" spans="1:14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</row>
    <row r="146" spans="1:14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</row>
    <row r="147" spans="1:14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</row>
    <row r="148" spans="1:14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</row>
    <row r="149" spans="1:14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</row>
    <row r="150" spans="1:14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</row>
    <row r="151" spans="1:14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</row>
    <row r="152" spans="1:14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</row>
    <row r="153" spans="1:14" x14ac:dyDescent="0.25">
      <c r="A153" s="15" t="s">
        <v>189</v>
      </c>
    </row>
    <row r="154" spans="1:14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</row>
    <row r="155" spans="1:14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</row>
    <row r="156" spans="1:14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</row>
    <row r="157" spans="1:14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</row>
    <row r="158" spans="1:14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</row>
    <row r="159" spans="1:14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</row>
    <row r="160" spans="1:14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</row>
    <row r="161" spans="1:14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</row>
    <row r="162" spans="1:14" x14ac:dyDescent="0.25">
      <c r="A162" s="15" t="s">
        <v>198</v>
      </c>
    </row>
    <row r="163" spans="1:14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</row>
    <row r="164" spans="1:14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</row>
    <row r="165" spans="1:14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</row>
    <row r="166" spans="1:14" x14ac:dyDescent="0.25">
      <c r="A166" s="15" t="s">
        <v>202</v>
      </c>
    </row>
    <row r="167" spans="1:14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</row>
    <row r="168" spans="1:14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</row>
    <row r="169" spans="1:14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</row>
    <row r="170" spans="1:14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</row>
    <row r="171" spans="1:14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</row>
    <row r="172" spans="1:14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</row>
    <row r="173" spans="1:14" x14ac:dyDescent="0.25">
      <c r="A173" s="15" t="s">
        <v>209</v>
      </c>
    </row>
    <row r="174" spans="1:14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</row>
    <row r="175" spans="1:14" x14ac:dyDescent="0.25">
      <c r="A175" s="15" t="s">
        <v>211</v>
      </c>
    </row>
    <row r="176" spans="1:14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</row>
    <row r="177" spans="1:14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</row>
    <row r="178" spans="1:14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1"/>
  <sheetViews>
    <sheetView topLeftCell="L1" workbookViewId="0">
      <selection activeCell="Q2" sqref="Q2"/>
    </sheetView>
  </sheetViews>
  <sheetFormatPr defaultRowHeight="15" x14ac:dyDescent="0.25"/>
  <cols>
    <col min="1" max="1" width="9.140625" style="2"/>
    <col min="2" max="2" width="11.140625" style="2" customWidth="1"/>
    <col min="5" max="5" width="24.8554687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2.5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0</v>
      </c>
      <c r="I2">
        <v>45</v>
      </c>
      <c r="J2" s="19">
        <v>-3.0000000000000001E-3</v>
      </c>
      <c r="M2" s="2">
        <v>0.15</v>
      </c>
      <c r="N2">
        <v>1</v>
      </c>
      <c r="O2" s="2">
        <f>M2/2</f>
        <v>7.4999999999999997E-2</v>
      </c>
      <c r="P2" s="2">
        <f>M2/2</f>
        <v>7.4999999999999997E-2</v>
      </c>
      <c r="Q2">
        <f>P2*2</f>
        <v>0.15</v>
      </c>
      <c r="R2">
        <v>2</v>
      </c>
      <c r="T2">
        <v>2.5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F3*F$6</f>
        <v>0.1</v>
      </c>
      <c r="M3" s="2">
        <v>0.3</v>
      </c>
      <c r="N3">
        <v>2</v>
      </c>
      <c r="O3" s="2">
        <f t="shared" ref="O3:O6" si="0">M3/2</f>
        <v>0.15</v>
      </c>
      <c r="P3" s="2">
        <f t="shared" ref="P3:P6" si="1">M3/2</f>
        <v>0.15</v>
      </c>
      <c r="Q3" s="2">
        <f t="shared" ref="Q3:Q6" si="2">P3*2</f>
        <v>0.3</v>
      </c>
      <c r="R3">
        <v>4</v>
      </c>
      <c r="T3">
        <v>3.75</v>
      </c>
      <c r="W3">
        <v>1</v>
      </c>
      <c r="X3">
        <f>(X$2*$W3)-$W3</f>
        <v>0</v>
      </c>
      <c r="Y3" s="2">
        <f t="shared" ref="Y3:AC3" si="3">(Y$2*$W3)-$W3</f>
        <v>1</v>
      </c>
      <c r="Z3" s="2">
        <f t="shared" si="3"/>
        <v>2</v>
      </c>
      <c r="AA3" s="2">
        <f t="shared" si="3"/>
        <v>3</v>
      </c>
      <c r="AB3" s="2">
        <f t="shared" si="3"/>
        <v>4</v>
      </c>
      <c r="AC3" s="2">
        <f t="shared" si="3"/>
        <v>5</v>
      </c>
    </row>
    <row r="4" spans="1:29" x14ac:dyDescent="0.25">
      <c r="E4" t="s">
        <v>244</v>
      </c>
      <c r="F4" s="10">
        <v>0.8</v>
      </c>
      <c r="G4" s="11">
        <f>-F4*F$6</f>
        <v>-8.0000000000000016E-2</v>
      </c>
      <c r="M4" s="2">
        <v>0.44999999999999996</v>
      </c>
      <c r="N4">
        <v>3</v>
      </c>
      <c r="O4" s="2">
        <f t="shared" si="0"/>
        <v>0.22499999999999998</v>
      </c>
      <c r="P4" s="2">
        <f t="shared" si="1"/>
        <v>0.22499999999999998</v>
      </c>
      <c r="Q4" s="2">
        <f t="shared" si="2"/>
        <v>0.44999999999999996</v>
      </c>
      <c r="T4">
        <v>5</v>
      </c>
      <c r="W4">
        <v>2</v>
      </c>
      <c r="X4" s="2">
        <f t="shared" ref="X4:AC8" si="4">(X$2*$W4)-$W4</f>
        <v>0</v>
      </c>
      <c r="Y4" s="2">
        <f t="shared" si="4"/>
        <v>2</v>
      </c>
      <c r="Z4" s="2">
        <f t="shared" si="4"/>
        <v>4</v>
      </c>
      <c r="AA4" s="2">
        <f t="shared" si="4"/>
        <v>6</v>
      </c>
      <c r="AB4" s="2">
        <f t="shared" si="4"/>
        <v>8</v>
      </c>
      <c r="AC4" s="2">
        <f t="shared" si="4"/>
        <v>10</v>
      </c>
    </row>
    <row r="5" spans="1:29" x14ac:dyDescent="0.25">
      <c r="E5" t="s">
        <v>245</v>
      </c>
      <c r="F5" s="10">
        <v>0.2</v>
      </c>
      <c r="G5" s="11">
        <f>-F5*F$6</f>
        <v>-2.0000000000000004E-2</v>
      </c>
      <c r="M5" s="2">
        <v>0.6</v>
      </c>
      <c r="N5">
        <v>4</v>
      </c>
      <c r="O5" s="2">
        <f t="shared" si="0"/>
        <v>0.3</v>
      </c>
      <c r="P5" s="2">
        <f t="shared" si="1"/>
        <v>0.3</v>
      </c>
      <c r="Q5" s="2">
        <f t="shared" si="2"/>
        <v>0.6</v>
      </c>
      <c r="T5">
        <v>7.5</v>
      </c>
      <c r="W5">
        <v>3</v>
      </c>
      <c r="X5" s="2">
        <f t="shared" si="4"/>
        <v>0</v>
      </c>
      <c r="Y5" s="2">
        <f t="shared" si="4"/>
        <v>3</v>
      </c>
      <c r="Z5" s="2">
        <f t="shared" si="4"/>
        <v>6</v>
      </c>
      <c r="AA5" s="2">
        <f t="shared" si="4"/>
        <v>9</v>
      </c>
      <c r="AB5" s="2">
        <f t="shared" si="4"/>
        <v>12</v>
      </c>
      <c r="AC5" s="2">
        <f t="shared" si="4"/>
        <v>15</v>
      </c>
    </row>
    <row r="6" spans="1:29" x14ac:dyDescent="0.25">
      <c r="E6" t="s">
        <v>138</v>
      </c>
      <c r="F6" s="10">
        <v>0.1</v>
      </c>
      <c r="M6" s="2">
        <v>0.75</v>
      </c>
      <c r="N6">
        <v>5</v>
      </c>
      <c r="O6" s="2">
        <f t="shared" si="0"/>
        <v>0.375</v>
      </c>
      <c r="P6" s="2">
        <f t="shared" si="1"/>
        <v>0.375</v>
      </c>
      <c r="Q6" s="2">
        <f t="shared" si="2"/>
        <v>0.75</v>
      </c>
      <c r="T6">
        <v>10</v>
      </c>
      <c r="W6">
        <v>4</v>
      </c>
      <c r="X6" s="2">
        <f t="shared" si="4"/>
        <v>0</v>
      </c>
      <c r="Y6" s="2">
        <f t="shared" si="4"/>
        <v>4</v>
      </c>
      <c r="Z6" s="2">
        <f t="shared" si="4"/>
        <v>8</v>
      </c>
      <c r="AA6" s="2">
        <f t="shared" si="4"/>
        <v>12</v>
      </c>
      <c r="AB6" s="2">
        <f t="shared" si="4"/>
        <v>16</v>
      </c>
      <c r="AC6" s="2">
        <f t="shared" si="4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4"/>
        <v>0</v>
      </c>
      <c r="Y7" s="2">
        <f t="shared" si="4"/>
        <v>5</v>
      </c>
      <c r="Z7" s="2">
        <f t="shared" si="4"/>
        <v>10</v>
      </c>
      <c r="AA7" s="2">
        <f t="shared" si="4"/>
        <v>15</v>
      </c>
      <c r="AB7" s="2">
        <f t="shared" si="4"/>
        <v>20</v>
      </c>
      <c r="AC7" s="2">
        <f t="shared" si="4"/>
        <v>25</v>
      </c>
    </row>
    <row r="8" spans="1:29" x14ac:dyDescent="0.25">
      <c r="E8" t="s">
        <v>240</v>
      </c>
      <c r="F8" s="12">
        <v>0.2</v>
      </c>
      <c r="H8" s="25" t="s">
        <v>141</v>
      </c>
      <c r="I8" s="25"/>
      <c r="J8" s="25"/>
      <c r="T8" s="2"/>
      <c r="U8" s="2"/>
      <c r="W8">
        <v>6</v>
      </c>
      <c r="X8" s="2">
        <f t="shared" si="4"/>
        <v>0</v>
      </c>
      <c r="Y8" s="2">
        <f t="shared" si="4"/>
        <v>6</v>
      </c>
      <c r="Z8" s="2">
        <f t="shared" si="4"/>
        <v>12</v>
      </c>
      <c r="AA8" s="2">
        <f t="shared" si="4"/>
        <v>18</v>
      </c>
      <c r="AB8" s="2">
        <f t="shared" si="4"/>
        <v>24</v>
      </c>
      <c r="AC8" s="2">
        <f t="shared" si="4"/>
        <v>30</v>
      </c>
    </row>
    <row r="9" spans="1:29" x14ac:dyDescent="0.25">
      <c r="E9" s="5" t="s">
        <v>9</v>
      </c>
      <c r="F9" t="s">
        <v>140</v>
      </c>
      <c r="G9">
        <v>1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13" t="s">
        <v>260</v>
      </c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2.5630000000000002</v>
      </c>
      <c r="G11">
        <f>IF(G$9=1,H11,H11/(1-(INDEX($O$2:$O$6,C11)/2)))</f>
        <v>2.5630000000000002</v>
      </c>
      <c r="H11">
        <f>$F11*(INDEX($F$3:$F$5,H$9)+(($C11+($D11*$F$7))*INDEX($G$3:$G$5,H$9)))</f>
        <v>2.5630000000000002</v>
      </c>
      <c r="I11" s="2">
        <f t="shared" ref="I11:J25" si="5">$F11*(INDEX($F$3:$F$5,I$9)+(($C11+($D11*$F$7))*INDEX($G$3:$G$5,I$9)))</f>
        <v>2.0504000000000002</v>
      </c>
      <c r="J11" s="2">
        <f t="shared" si="5"/>
        <v>0.51260000000000006</v>
      </c>
      <c r="K11" s="10">
        <f t="shared" ref="K11:K18" si="6">1-((1-(I11/G11))/INDEX($P$2:$P$6,C11))</f>
        <v>-1.6666666666666661</v>
      </c>
      <c r="L11" s="20">
        <f>(INDEX($Q$2:$Q$6,C11)/((1/INDEX($F$4:$F$6,J$9))-1))</f>
        <v>1.6666666666666666E-2</v>
      </c>
      <c r="M11" s="10">
        <v>0</v>
      </c>
      <c r="N11" s="2">
        <f>((AVERAGE(O11,P11)*R11)/Q11)/INDEX($R$1:$R$3,D11+2)</f>
        <v>2.5630000000000002</v>
      </c>
      <c r="O11" s="2">
        <f t="shared" ref="O11:O25" si="7">0.75*(((G11*INDEX($R$1:$R$3,$D11+2))*Q11)/R11)</f>
        <v>10.447010869565219</v>
      </c>
      <c r="P11">
        <f t="shared" ref="P11:P25" si="8">1.25*(((G11*INDEX($R$1:$R$3,$D11+2))*Q11)/R11)</f>
        <v>17.411684782608695</v>
      </c>
      <c r="Q11">
        <f>(AVERAGE(VLOOKUP(E11,weapon_components!$A$8:$M$178,9,0),VLOOKUP(E11,weapon_components!$A$8:$M$178,10,0))+VLOOKUP(E11,weapon_components!$A$8:$M$178,11,0))/10</f>
        <v>3.75</v>
      </c>
      <c r="R11">
        <f>VLOOKUP(E11,weapon_components!$A$8:$M$178,13,0)</f>
        <v>0.69</v>
      </c>
      <c r="S11">
        <f>$S$9*(1+(D11*$F$8))</f>
        <v>24</v>
      </c>
      <c r="T11" s="2">
        <v>0</v>
      </c>
      <c r="U11" s="14">
        <f>-INDEX('Ship Design Balancing'!$K$2:$K$6,'Weapon Formulas'!C11)*(INDEX('Weapon Formulas'!$R$1:$R$3,'Weapon Formulas'!D11+2)*(1+'Weapon Formulas'!B11))</f>
        <v>-3.333333333333333</v>
      </c>
    </row>
    <row r="12" spans="1:29" x14ac:dyDescent="0.25">
      <c r="A12" s="21">
        <f t="shared" ref="A12:A75" si="9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10">($F$2+(C12*$F$1))*(B12+1)+A12</f>
        <v>2.5449999999999999</v>
      </c>
      <c r="G12" s="2">
        <f>IF(G$9=1,H12,H12/(1-(INDEX($O$2:$O$6,C12)/2)))</f>
        <v>2.7995000000000001</v>
      </c>
      <c r="H12" s="2">
        <f t="shared" ref="H12:H25" si="11">$F12*(INDEX($F$3:$F$5,H$9)+(($C12+($D12*$F$7))*INDEX($G$3:$G$5,H$9)))</f>
        <v>2.7995000000000001</v>
      </c>
      <c r="I12" s="2">
        <f t="shared" si="5"/>
        <v>1.8323999999999998</v>
      </c>
      <c r="J12" s="2">
        <f t="shared" si="5"/>
        <v>0.45809999999999995</v>
      </c>
      <c r="K12" s="10">
        <f t="shared" si="6"/>
        <v>-3.6060606060606082</v>
      </c>
      <c r="L12" s="10">
        <f t="shared" ref="L12:L24" si="12">(INDEX($Q$2:$Q$6,C12)/((1/INDEX($F$4:$F$6,J$9))-1))</f>
        <v>1.6666666666666666E-2</v>
      </c>
      <c r="M12" s="10">
        <v>0</v>
      </c>
      <c r="N12" s="2">
        <f t="shared" ref="N12:N25" si="13">((AVERAGE(O12,P12)*R12)/Q12)/INDEX($R$1:$R$3,D12+2)</f>
        <v>2.7995000000000001</v>
      </c>
      <c r="O12" s="2">
        <f t="shared" si="7"/>
        <v>19.683984374999998</v>
      </c>
      <c r="P12" s="2">
        <f t="shared" si="8"/>
        <v>32.806640625</v>
      </c>
      <c r="Q12" s="2">
        <f>(AVERAGE(VLOOKUP(E12,weapon_components!$A$8:$M$178,9,0),VLOOKUP(E12,weapon_components!$A$8:$M$178,10,0))+VLOOKUP(E12,weapon_components!$A$8:$M$178,11,0))/10</f>
        <v>3.75</v>
      </c>
      <c r="R12" s="2">
        <f>VLOOKUP(E12,weapon_components!$A$8:$M$178,13,0)</f>
        <v>0.8</v>
      </c>
      <c r="S12" s="2">
        <f t="shared" ref="S12:S29" si="14">$S$9*(1+(D12*$F$8))</f>
        <v>30</v>
      </c>
      <c r="T12" s="2">
        <v>0</v>
      </c>
      <c r="U12" s="14">
        <f>-INDEX('Ship Design Balancing'!$K$2:$K$6,'Weapon Formulas'!C12)*(INDEX('Weapon Formulas'!$R$1:$R$3,'Weapon Formulas'!D12+2)*(1+'Weapon Formulas'!B12))</f>
        <v>-6.6666666666666661</v>
      </c>
    </row>
    <row r="13" spans="1:29" x14ac:dyDescent="0.25">
      <c r="A13" s="21">
        <f t="shared" si="9"/>
        <v>2.7E-2</v>
      </c>
      <c r="C13">
        <v>1</v>
      </c>
      <c r="D13">
        <v>1</v>
      </c>
      <c r="E13" s="5" t="s">
        <v>26</v>
      </c>
      <c r="F13" s="2">
        <f t="shared" si="10"/>
        <v>2.5270000000000001</v>
      </c>
      <c r="G13" s="2">
        <f t="shared" ref="G13:G25" si="15">IF(G$9=1,H13,H13/(1-(INDEX($O$2:$O$6,C13)/2)))</f>
        <v>3.0324</v>
      </c>
      <c r="H13" s="2">
        <f t="shared" si="11"/>
        <v>3.0324</v>
      </c>
      <c r="I13" s="2">
        <f t="shared" si="5"/>
        <v>1.6172800000000001</v>
      </c>
      <c r="J13" s="2">
        <f t="shared" si="5"/>
        <v>0.40432000000000001</v>
      </c>
      <c r="K13" s="10">
        <f t="shared" si="6"/>
        <v>-5.2222222222222223</v>
      </c>
      <c r="L13" s="10">
        <f t="shared" si="12"/>
        <v>1.6666666666666666E-2</v>
      </c>
      <c r="M13" s="10">
        <v>0</v>
      </c>
      <c r="N13" s="2">
        <f t="shared" si="13"/>
        <v>3.0324</v>
      </c>
      <c r="O13" s="2">
        <f t="shared" si="7"/>
        <v>45.485999999999997</v>
      </c>
      <c r="P13" s="2">
        <f t="shared" si="8"/>
        <v>75.81</v>
      </c>
      <c r="Q13" s="2">
        <f>(AVERAGE(VLOOKUP(E13,weapon_components!$A$8:$M$178,9,0),VLOOKUP(E13,weapon_components!$A$8:$M$178,10,0))+VLOOKUP(E13,weapon_components!$A$8:$M$178,11,0))/10</f>
        <v>3.75</v>
      </c>
      <c r="R13" s="2">
        <f>VLOOKUP(E13,weapon_components!$A$8:$M$178,13,0)</f>
        <v>0.75</v>
      </c>
      <c r="S13" s="2">
        <f t="shared" si="14"/>
        <v>36</v>
      </c>
      <c r="T13" s="2">
        <v>0</v>
      </c>
      <c r="U13" s="14">
        <f>-INDEX('Ship Design Balancing'!$K$2:$K$6,'Weapon Formulas'!C13)*(INDEX('Weapon Formulas'!$R$1:$R$3,'Weapon Formulas'!D13+2)*(1+'Weapon Formulas'!B13))</f>
        <v>-13.333333333333332</v>
      </c>
    </row>
    <row r="14" spans="1:29" x14ac:dyDescent="0.25">
      <c r="A14" s="21">
        <f t="shared" si="9"/>
        <v>6.3E-2</v>
      </c>
      <c r="C14">
        <v>2</v>
      </c>
      <c r="D14">
        <v>-1</v>
      </c>
      <c r="E14" s="5" t="s">
        <v>27</v>
      </c>
      <c r="F14" s="2">
        <f t="shared" si="10"/>
        <v>5.0629999999999997</v>
      </c>
      <c r="G14" s="2">
        <f t="shared" si="15"/>
        <v>5.5693000000000001</v>
      </c>
      <c r="H14" s="2">
        <f t="shared" si="11"/>
        <v>5.5693000000000001</v>
      </c>
      <c r="I14" s="2">
        <f t="shared" si="5"/>
        <v>3.6453599999999997</v>
      </c>
      <c r="J14" s="2">
        <f t="shared" si="5"/>
        <v>0.91133999999999993</v>
      </c>
      <c r="K14" s="10">
        <f t="shared" si="6"/>
        <v>-1.3030303030303041</v>
      </c>
      <c r="L14" s="10">
        <f t="shared" si="12"/>
        <v>3.3333333333333333E-2</v>
      </c>
      <c r="M14" s="10">
        <v>0</v>
      </c>
      <c r="N14" s="2">
        <f t="shared" si="13"/>
        <v>5.5693000000000001</v>
      </c>
      <c r="O14" s="2">
        <f t="shared" si="7"/>
        <v>19.102019817073174</v>
      </c>
      <c r="P14" s="2">
        <f t="shared" si="8"/>
        <v>31.836699695121954</v>
      </c>
      <c r="Q14" s="2">
        <f>(AVERAGE(VLOOKUP(E14,weapon_components!$A$8:$M$178,9,0),VLOOKUP(E14,weapon_components!$A$8:$M$178,10,0))+VLOOKUP(E14,weapon_components!$A$8:$M$178,11,0))/10</f>
        <v>3.75</v>
      </c>
      <c r="R14" s="2">
        <f>VLOOKUP(E14,weapon_components!$A$8:$M$178,13,0)</f>
        <v>0.82</v>
      </c>
      <c r="S14" s="2">
        <f t="shared" si="14"/>
        <v>24</v>
      </c>
      <c r="T14" s="2">
        <v>0</v>
      </c>
      <c r="U14" s="14">
        <f>-INDEX('Ship Design Balancing'!$K$2:$K$6,'Weapon Formulas'!C14)*(INDEX('Weapon Formulas'!$R$1:$R$3,'Weapon Formulas'!D14+2)*(1+'Weapon Formulas'!B14))</f>
        <v>-6.6666666666666661</v>
      </c>
    </row>
    <row r="15" spans="1:29" x14ac:dyDescent="0.25">
      <c r="A15" s="21">
        <f t="shared" si="9"/>
        <v>4.4999999999999998E-2</v>
      </c>
      <c r="C15">
        <v>2</v>
      </c>
      <c r="D15">
        <v>0</v>
      </c>
      <c r="E15" s="5" t="s">
        <v>28</v>
      </c>
      <c r="F15" s="2">
        <f t="shared" si="10"/>
        <v>5.0449999999999999</v>
      </c>
      <c r="G15" s="2">
        <f t="shared" si="15"/>
        <v>6.0539999999999994</v>
      </c>
      <c r="H15" s="2">
        <f t="shared" si="11"/>
        <v>6.0539999999999994</v>
      </c>
      <c r="I15" s="2">
        <f t="shared" si="5"/>
        <v>3.2288000000000001</v>
      </c>
      <c r="J15" s="2">
        <f t="shared" si="5"/>
        <v>0.80720000000000003</v>
      </c>
      <c r="K15" s="10">
        <f t="shared" si="6"/>
        <v>-2.1111111111111107</v>
      </c>
      <c r="L15" s="10">
        <f t="shared" si="12"/>
        <v>3.3333333333333333E-2</v>
      </c>
      <c r="M15" s="10">
        <v>0</v>
      </c>
      <c r="N15" s="2">
        <f t="shared" si="13"/>
        <v>6.0539999999999994</v>
      </c>
      <c r="O15" s="2">
        <f t="shared" si="7"/>
        <v>42.567187499999989</v>
      </c>
      <c r="P15" s="2">
        <f t="shared" si="8"/>
        <v>70.945312499999986</v>
      </c>
      <c r="Q15" s="2">
        <f>(AVERAGE(VLOOKUP(E15,weapon_components!$A$8:$M$178,9,0),VLOOKUP(E15,weapon_components!$A$8:$M$178,10,0))+VLOOKUP(E15,weapon_components!$A$8:$M$178,11,0))/10</f>
        <v>3.75</v>
      </c>
      <c r="R15" s="2">
        <f>VLOOKUP(E15,weapon_components!$A$8:$M$178,13,0)</f>
        <v>0.8</v>
      </c>
      <c r="S15" s="2">
        <f t="shared" si="14"/>
        <v>30</v>
      </c>
      <c r="T15" s="2">
        <v>0</v>
      </c>
      <c r="U15" s="14">
        <f>-INDEX('Ship Design Balancing'!$K$2:$K$6,'Weapon Formulas'!C15)*(INDEX('Weapon Formulas'!$R$1:$R$3,'Weapon Formulas'!D15+2)*(1+'Weapon Formulas'!B15))</f>
        <v>-13.333333333333332</v>
      </c>
    </row>
    <row r="16" spans="1:29" x14ac:dyDescent="0.25">
      <c r="A16" s="21">
        <f t="shared" si="9"/>
        <v>2.7E-2</v>
      </c>
      <c r="C16">
        <v>2</v>
      </c>
      <c r="D16">
        <v>1</v>
      </c>
      <c r="E16" s="5" t="s">
        <v>29</v>
      </c>
      <c r="F16" s="2">
        <f t="shared" si="10"/>
        <v>5.0270000000000001</v>
      </c>
      <c r="G16" s="2">
        <f t="shared" si="15"/>
        <v>6.5351000000000008</v>
      </c>
      <c r="H16" s="2">
        <f t="shared" si="11"/>
        <v>6.5351000000000008</v>
      </c>
      <c r="I16" s="2">
        <f t="shared" si="5"/>
        <v>2.8151200000000003</v>
      </c>
      <c r="J16" s="2">
        <f t="shared" si="5"/>
        <v>0.70378000000000007</v>
      </c>
      <c r="K16" s="10">
        <f t="shared" si="6"/>
        <v>-2.7948717948717947</v>
      </c>
      <c r="L16" s="10">
        <f t="shared" si="12"/>
        <v>3.3333333333333333E-2</v>
      </c>
      <c r="M16" s="10">
        <v>0</v>
      </c>
      <c r="N16" s="2">
        <f t="shared" si="13"/>
        <v>6.5351000000000017</v>
      </c>
      <c r="O16" s="2">
        <f t="shared" si="7"/>
        <v>98.026500000000027</v>
      </c>
      <c r="P16" s="2">
        <f t="shared" si="8"/>
        <v>163.37750000000003</v>
      </c>
      <c r="Q16" s="2">
        <f>(AVERAGE(VLOOKUP(E16,weapon_components!$A$8:$M$178,9,0),VLOOKUP(E16,weapon_components!$A$8:$M$178,10,0))+VLOOKUP(E16,weapon_components!$A$8:$M$178,11,0))/10</f>
        <v>3.75</v>
      </c>
      <c r="R16" s="2">
        <f>VLOOKUP(E16,weapon_components!$A$8:$M$178,13,0)</f>
        <v>0.75</v>
      </c>
      <c r="S16" s="2">
        <f t="shared" si="14"/>
        <v>36</v>
      </c>
      <c r="T16" s="2">
        <v>0</v>
      </c>
      <c r="U16" s="14">
        <f>-INDEX('Ship Design Balancing'!$K$2:$K$6,'Weapon Formulas'!C16)*(INDEX('Weapon Formulas'!$R$1:$R$3,'Weapon Formulas'!D16+2)*(1+'Weapon Formulas'!B16))</f>
        <v>-26.666666666666664</v>
      </c>
    </row>
    <row r="17" spans="1:42" x14ac:dyDescent="0.25">
      <c r="A17" s="21">
        <f t="shared" si="9"/>
        <v>6.3E-2</v>
      </c>
      <c r="C17" s="2">
        <v>3</v>
      </c>
      <c r="D17" s="2">
        <v>-1</v>
      </c>
      <c r="E17" s="5" t="s">
        <v>30</v>
      </c>
      <c r="F17" s="2">
        <f t="shared" si="10"/>
        <v>7.5629999999999997</v>
      </c>
      <c r="G17" s="2">
        <f t="shared" si="15"/>
        <v>9.0755999999999997</v>
      </c>
      <c r="H17" s="2">
        <f t="shared" si="11"/>
        <v>9.0755999999999997</v>
      </c>
      <c r="I17" s="2">
        <f t="shared" si="5"/>
        <v>4.8403200000000002</v>
      </c>
      <c r="J17" s="2">
        <f t="shared" si="5"/>
        <v>1.21008</v>
      </c>
      <c r="K17" s="10">
        <f t="shared" si="6"/>
        <v>-1.0740740740740744</v>
      </c>
      <c r="L17" s="10">
        <f t="shared" si="12"/>
        <v>4.9999999999999996E-2</v>
      </c>
      <c r="M17" s="10">
        <v>0</v>
      </c>
      <c r="N17" s="2">
        <f t="shared" si="13"/>
        <v>9.0755999999999997</v>
      </c>
      <c r="O17" s="2">
        <f t="shared" si="7"/>
        <v>31.128201219512192</v>
      </c>
      <c r="P17" s="2">
        <f t="shared" si="8"/>
        <v>51.880335365853654</v>
      </c>
      <c r="Q17" s="2">
        <f>(AVERAGE(VLOOKUP(E17,weapon_components!$A$8:$M$178,9,0),VLOOKUP(E17,weapon_components!$A$8:$M$178,10,0))+VLOOKUP(E17,weapon_components!$A$8:$M$178,11,0))/10</f>
        <v>3.75</v>
      </c>
      <c r="R17" s="2">
        <f>VLOOKUP(E17,weapon_components!$A$8:$M$178,13,0)</f>
        <v>0.82</v>
      </c>
      <c r="S17" s="2">
        <f t="shared" si="14"/>
        <v>24</v>
      </c>
      <c r="T17" s="2">
        <v>0</v>
      </c>
      <c r="U17" s="14">
        <f>-INDEX('Ship Design Balancing'!$K$2:$K$6,'Weapon Formulas'!C17)*(INDEX('Weapon Formulas'!$R$1:$R$3,'Weapon Formulas'!D17+2)*(1+'Weapon Formulas'!B17))</f>
        <v>-13.333333333333332</v>
      </c>
    </row>
    <row r="18" spans="1:42" x14ac:dyDescent="0.25">
      <c r="A18" s="21">
        <f t="shared" si="9"/>
        <v>4.4999999999999998E-2</v>
      </c>
      <c r="C18" s="2">
        <v>3</v>
      </c>
      <c r="D18" s="2">
        <v>0</v>
      </c>
      <c r="E18" s="5" t="s">
        <v>31</v>
      </c>
      <c r="F18" s="2">
        <f t="shared" si="10"/>
        <v>7.5449999999999999</v>
      </c>
      <c r="G18" s="2">
        <f t="shared" si="15"/>
        <v>9.8085000000000004</v>
      </c>
      <c r="H18" s="2">
        <f t="shared" si="11"/>
        <v>9.8085000000000004</v>
      </c>
      <c r="I18" s="2">
        <f t="shared" si="5"/>
        <v>4.2252000000000001</v>
      </c>
      <c r="J18" s="2">
        <f t="shared" si="5"/>
        <v>1.0563</v>
      </c>
      <c r="K18" s="10">
        <f t="shared" si="6"/>
        <v>-1.5299145299145303</v>
      </c>
      <c r="L18" s="10">
        <f t="shared" si="12"/>
        <v>4.9999999999999996E-2</v>
      </c>
      <c r="M18" s="10">
        <v>0</v>
      </c>
      <c r="N18" s="2">
        <f t="shared" si="13"/>
        <v>9.8085000000000004</v>
      </c>
      <c r="O18" s="2">
        <f t="shared" si="7"/>
        <v>68.966015624999997</v>
      </c>
      <c r="P18" s="2">
        <f t="shared" si="8"/>
        <v>114.94335937499999</v>
      </c>
      <c r="Q18" s="2">
        <f>(AVERAGE(VLOOKUP(E18,weapon_components!$A$8:$M$178,9,0),VLOOKUP(E18,weapon_components!$A$8:$M$178,10,0))+VLOOKUP(E18,weapon_components!$A$8:$M$178,11,0))/10</f>
        <v>3.75</v>
      </c>
      <c r="R18" s="2">
        <f>VLOOKUP(E18,weapon_components!$A$8:$M$178,13,0)</f>
        <v>0.8</v>
      </c>
      <c r="S18" s="2">
        <f t="shared" si="14"/>
        <v>30</v>
      </c>
      <c r="T18" s="2">
        <v>0</v>
      </c>
      <c r="U18" s="14">
        <f>-INDEX('Ship Design Balancing'!$K$2:$K$6,'Weapon Formulas'!C18)*(INDEX('Weapon Formulas'!$R$1:$R$3,'Weapon Formulas'!D18+2)*(1+'Weapon Formulas'!B18))</f>
        <v>-26.666666666666664</v>
      </c>
    </row>
    <row r="19" spans="1:42" x14ac:dyDescent="0.25">
      <c r="A19" s="21">
        <f t="shared" si="9"/>
        <v>2.7E-2</v>
      </c>
      <c r="C19" s="2">
        <v>3</v>
      </c>
      <c r="D19" s="2">
        <v>1</v>
      </c>
      <c r="E19" s="5" t="s">
        <v>32</v>
      </c>
      <c r="F19" s="2">
        <f t="shared" si="10"/>
        <v>7.5270000000000001</v>
      </c>
      <c r="G19" s="2">
        <f t="shared" si="15"/>
        <v>10.537799999999999</v>
      </c>
      <c r="H19" s="2">
        <f t="shared" si="11"/>
        <v>10.537799999999999</v>
      </c>
      <c r="I19" s="2">
        <f t="shared" si="5"/>
        <v>3.6129599999999997</v>
      </c>
      <c r="J19" s="2">
        <f t="shared" si="5"/>
        <v>0.90323999999999993</v>
      </c>
      <c r="K19" s="10">
        <f t="shared" ref="K19:K23" si="16">1-((1-(I19/G19))/INDEX($P$2:$P$6,C19))</f>
        <v>-1.9206349206349209</v>
      </c>
      <c r="L19" s="10">
        <f t="shared" si="12"/>
        <v>4.9999999999999996E-2</v>
      </c>
      <c r="M19" s="10">
        <v>0</v>
      </c>
      <c r="N19" s="2">
        <f t="shared" si="13"/>
        <v>10.537799999999999</v>
      </c>
      <c r="O19" s="2">
        <f t="shared" si="7"/>
        <v>158.06699999999998</v>
      </c>
      <c r="P19" s="2">
        <f t="shared" si="8"/>
        <v>263.44499999999994</v>
      </c>
      <c r="Q19" s="2">
        <f>(AVERAGE(VLOOKUP(E19,weapon_components!$A$8:$M$178,9,0),VLOOKUP(E19,weapon_components!$A$8:$M$178,10,0))+VLOOKUP(E19,weapon_components!$A$8:$M$178,11,0))/10</f>
        <v>3.75</v>
      </c>
      <c r="R19" s="2">
        <f>VLOOKUP(E19,weapon_components!$A$8:$M$178,13,0)</f>
        <v>0.75</v>
      </c>
      <c r="S19" s="2">
        <f t="shared" si="14"/>
        <v>36</v>
      </c>
      <c r="T19" s="2">
        <v>0</v>
      </c>
      <c r="U19" s="14">
        <f>-INDEX('Ship Design Balancing'!$K$2:$K$6,'Weapon Formulas'!C19)*(INDEX('Weapon Formulas'!$R$1:$R$3,'Weapon Formulas'!D19+2)*(1+'Weapon Formulas'!B19))</f>
        <v>-53.333333333333329</v>
      </c>
    </row>
    <row r="20" spans="1:42" x14ac:dyDescent="0.25">
      <c r="A20" s="21">
        <f t="shared" si="9"/>
        <v>6.3E-2</v>
      </c>
      <c r="C20" s="2">
        <v>4</v>
      </c>
      <c r="D20" s="2">
        <v>-1</v>
      </c>
      <c r="E20" s="5" t="s">
        <v>33</v>
      </c>
      <c r="F20" s="2">
        <f t="shared" si="10"/>
        <v>10.063000000000001</v>
      </c>
      <c r="G20" s="2">
        <f t="shared" si="15"/>
        <v>13.081900000000001</v>
      </c>
      <c r="H20" s="2">
        <f t="shared" si="11"/>
        <v>13.081900000000001</v>
      </c>
      <c r="I20" s="2">
        <f t="shared" si="5"/>
        <v>5.6352800000000007</v>
      </c>
      <c r="J20" s="2">
        <f t="shared" si="5"/>
        <v>1.4088200000000002</v>
      </c>
      <c r="K20" s="10">
        <f t="shared" si="16"/>
        <v>-0.89743589743589736</v>
      </c>
      <c r="L20" s="10">
        <f t="shared" si="12"/>
        <v>6.6666666666666666E-2</v>
      </c>
      <c r="M20" s="10">
        <v>0</v>
      </c>
      <c r="N20" s="2">
        <f t="shared" si="13"/>
        <v>13.081899999999999</v>
      </c>
      <c r="O20" s="2">
        <f t="shared" si="7"/>
        <v>44.869321646341469</v>
      </c>
      <c r="P20" s="2">
        <f t="shared" si="8"/>
        <v>74.782202743902445</v>
      </c>
      <c r="Q20" s="2">
        <f>(AVERAGE(VLOOKUP(E20,weapon_components!$A$8:$M$178,9,0),VLOOKUP(E20,weapon_components!$A$8:$M$178,10,0))+VLOOKUP(E20,weapon_components!$A$8:$M$178,11,0))/10</f>
        <v>3.75</v>
      </c>
      <c r="R20" s="2">
        <f>VLOOKUP(E20,weapon_components!$A$8:$M$178,13,0)</f>
        <v>0.82</v>
      </c>
      <c r="S20" s="2">
        <f t="shared" si="14"/>
        <v>24</v>
      </c>
      <c r="T20" s="2">
        <v>0</v>
      </c>
      <c r="U20" s="14">
        <f>-INDEX('Ship Design Balancing'!$K$2:$K$6,'Weapon Formulas'!C20)*(INDEX('Weapon Formulas'!$R$1:$R$3,'Weapon Formulas'!D20+2)*(1+'Weapon Formulas'!B20))</f>
        <v>-26.666666666666664</v>
      </c>
      <c r="X20" s="14"/>
      <c r="Y20" s="14"/>
    </row>
    <row r="21" spans="1:42" x14ac:dyDescent="0.25">
      <c r="A21" s="21">
        <f t="shared" si="9"/>
        <v>4.4999999999999998E-2</v>
      </c>
      <c r="C21" s="2">
        <v>4</v>
      </c>
      <c r="D21" s="2">
        <v>0</v>
      </c>
      <c r="E21" s="5" t="s">
        <v>34</v>
      </c>
      <c r="F21" s="2">
        <f t="shared" si="10"/>
        <v>10.045</v>
      </c>
      <c r="G21" s="2">
        <f t="shared" si="15"/>
        <v>14.062999999999999</v>
      </c>
      <c r="H21" s="2">
        <f t="shared" si="11"/>
        <v>14.062999999999999</v>
      </c>
      <c r="I21" s="2">
        <f t="shared" si="5"/>
        <v>4.8216000000000001</v>
      </c>
      <c r="J21" s="2">
        <f t="shared" si="5"/>
        <v>1.2054</v>
      </c>
      <c r="K21" s="10">
        <f t="shared" si="16"/>
        <v>-1.1904761904761902</v>
      </c>
      <c r="L21" s="10">
        <f t="shared" si="12"/>
        <v>6.6666666666666666E-2</v>
      </c>
      <c r="M21" s="10">
        <v>0</v>
      </c>
      <c r="N21" s="2">
        <f t="shared" si="13"/>
        <v>14.062999999999999</v>
      </c>
      <c r="O21" s="2">
        <f t="shared" si="7"/>
        <v>98.880468749999991</v>
      </c>
      <c r="P21" s="2">
        <f t="shared" si="8"/>
        <v>164.80078125</v>
      </c>
      <c r="Q21" s="2">
        <f>(AVERAGE(VLOOKUP(E21,weapon_components!$A$8:$M$178,9,0),VLOOKUP(E21,weapon_components!$A$8:$M$178,10,0))+VLOOKUP(E21,weapon_components!$A$8:$M$178,11,0))/10</f>
        <v>3.75</v>
      </c>
      <c r="R21" s="2">
        <f>VLOOKUP(E21,weapon_components!$A$8:$M$178,13,0)</f>
        <v>0.8</v>
      </c>
      <c r="S21" s="2">
        <f t="shared" si="14"/>
        <v>30</v>
      </c>
      <c r="T21" s="2">
        <v>0</v>
      </c>
      <c r="U21" s="14">
        <f>-INDEX('Ship Design Balancing'!$K$2:$K$6,'Weapon Formulas'!C21)*(INDEX('Weapon Formulas'!$R$1:$R$3,'Weapon Formulas'!D21+2)*(1+'Weapon Formulas'!B21))</f>
        <v>-53.333333333333329</v>
      </c>
    </row>
    <row r="22" spans="1:42" x14ac:dyDescent="0.25">
      <c r="A22" s="21">
        <f t="shared" si="9"/>
        <v>2.7E-2</v>
      </c>
      <c r="C22" s="2">
        <v>4</v>
      </c>
      <c r="D22" s="2">
        <v>1</v>
      </c>
      <c r="E22" s="5" t="s">
        <v>35</v>
      </c>
      <c r="F22" s="2">
        <f t="shared" si="10"/>
        <v>10.026999999999999</v>
      </c>
      <c r="G22" s="2">
        <f t="shared" si="15"/>
        <v>15.040499999999998</v>
      </c>
      <c r="H22" s="2">
        <f t="shared" si="11"/>
        <v>15.040499999999998</v>
      </c>
      <c r="I22" s="2">
        <f t="shared" si="5"/>
        <v>4.0107999999999997</v>
      </c>
      <c r="J22" s="2">
        <f t="shared" si="5"/>
        <v>1.0026999999999999</v>
      </c>
      <c r="K22" s="10">
        <f t="shared" si="16"/>
        <v>-1.4444444444444446</v>
      </c>
      <c r="L22" s="10">
        <f t="shared" si="12"/>
        <v>6.6666666666666666E-2</v>
      </c>
      <c r="M22" s="10">
        <v>0</v>
      </c>
      <c r="N22" s="2">
        <f t="shared" si="13"/>
        <v>15.040499999999998</v>
      </c>
      <c r="O22" s="2">
        <f t="shared" si="7"/>
        <v>225.60749999999996</v>
      </c>
      <c r="P22" s="2">
        <f t="shared" si="8"/>
        <v>376.01249999999993</v>
      </c>
      <c r="Q22" s="2">
        <f>(AVERAGE(VLOOKUP(E22,weapon_components!$A$8:$M$178,9,0),VLOOKUP(E22,weapon_components!$A$8:$M$178,10,0))+VLOOKUP(E22,weapon_components!$A$8:$M$178,11,0))/10</f>
        <v>3.75</v>
      </c>
      <c r="R22" s="2">
        <f>VLOOKUP(E22,weapon_components!$A$8:$M$178,13,0)</f>
        <v>0.75</v>
      </c>
      <c r="S22" s="2">
        <f t="shared" si="14"/>
        <v>36</v>
      </c>
      <c r="T22" s="2">
        <v>0</v>
      </c>
      <c r="U22" s="14">
        <f>-INDEX('Ship Design Balancing'!$K$2:$K$6,'Weapon Formulas'!C22)*(INDEX('Weapon Formulas'!$R$1:$R$3,'Weapon Formulas'!D22+2)*(1+'Weapon Formulas'!B22))</f>
        <v>-106.66666666666666</v>
      </c>
    </row>
    <row r="23" spans="1:42" x14ac:dyDescent="0.25">
      <c r="A23" s="21">
        <f t="shared" si="9"/>
        <v>6.3E-2</v>
      </c>
      <c r="C23" s="2">
        <v>5</v>
      </c>
      <c r="D23" s="2">
        <v>-1</v>
      </c>
      <c r="E23" s="5" t="s">
        <v>36</v>
      </c>
      <c r="F23" s="2">
        <f t="shared" si="10"/>
        <v>12.563000000000001</v>
      </c>
      <c r="G23" s="2">
        <f t="shared" si="15"/>
        <v>17.588200000000001</v>
      </c>
      <c r="H23" s="2">
        <f t="shared" si="11"/>
        <v>17.588200000000001</v>
      </c>
      <c r="I23" s="2">
        <f t="shared" si="5"/>
        <v>6.03024</v>
      </c>
      <c r="J23" s="2">
        <f t="shared" si="5"/>
        <v>1.50756</v>
      </c>
      <c r="K23" s="10">
        <f t="shared" si="16"/>
        <v>-0.75238095238095237</v>
      </c>
      <c r="L23" s="10">
        <f t="shared" si="12"/>
        <v>8.3333333333333329E-2</v>
      </c>
      <c r="M23" s="10">
        <v>0</v>
      </c>
      <c r="N23" s="2">
        <f t="shared" si="13"/>
        <v>17.588199999999997</v>
      </c>
      <c r="O23" s="2">
        <f t="shared" si="7"/>
        <v>60.325381097560978</v>
      </c>
      <c r="P23" s="2">
        <f t="shared" si="8"/>
        <v>100.5423018292683</v>
      </c>
      <c r="Q23" s="2">
        <f>(AVERAGE(VLOOKUP(E23,weapon_components!$A$8:$M$178,9,0),VLOOKUP(E23,weapon_components!$A$8:$M$178,10,0))+VLOOKUP(E23,weapon_components!$A$8:$M$178,11,0))/10</f>
        <v>3.75</v>
      </c>
      <c r="R23" s="2">
        <f>VLOOKUP(E23,weapon_components!$A$8:$M$178,13,0)</f>
        <v>0.82</v>
      </c>
      <c r="S23" s="2">
        <f t="shared" si="14"/>
        <v>24</v>
      </c>
      <c r="T23" s="2">
        <v>0</v>
      </c>
      <c r="U23" s="14">
        <f>-INDEX('Ship Design Balancing'!$K$2:$K$6,'Weapon Formulas'!C23)*(INDEX('Weapon Formulas'!$R$1:$R$3,'Weapon Formulas'!D23+2)*(1+'Weapon Formulas'!B23))</f>
        <v>-53.333333333333329</v>
      </c>
    </row>
    <row r="24" spans="1:42" x14ac:dyDescent="0.25">
      <c r="A24" s="21">
        <f t="shared" si="9"/>
        <v>4.4999999999999998E-2</v>
      </c>
      <c r="C24" s="2">
        <v>5</v>
      </c>
      <c r="D24" s="2">
        <v>0</v>
      </c>
      <c r="E24" s="5" t="s">
        <v>37</v>
      </c>
      <c r="F24" s="2">
        <f t="shared" si="10"/>
        <v>12.545</v>
      </c>
      <c r="G24" s="2">
        <f t="shared" si="15"/>
        <v>18.817499999999999</v>
      </c>
      <c r="H24" s="2">
        <f t="shared" si="11"/>
        <v>18.817499999999999</v>
      </c>
      <c r="I24" s="2">
        <f t="shared" si="5"/>
        <v>5.0179999999999998</v>
      </c>
      <c r="J24" s="2">
        <f t="shared" si="5"/>
        <v>1.2544999999999999</v>
      </c>
      <c r="K24" s="10">
        <f>1-((1-(I24/G24))/INDEX($P$2:$P$6,C24))</f>
        <v>-0.95555555555555571</v>
      </c>
      <c r="L24" s="10">
        <f t="shared" si="12"/>
        <v>8.3333333333333329E-2</v>
      </c>
      <c r="M24" s="10">
        <v>0</v>
      </c>
      <c r="N24" s="2">
        <f t="shared" si="13"/>
        <v>18.817499999999999</v>
      </c>
      <c r="O24" s="2">
        <f t="shared" si="7"/>
        <v>132.31054687499997</v>
      </c>
      <c r="P24" s="2">
        <f t="shared" si="8"/>
        <v>220.51757812499997</v>
      </c>
      <c r="Q24" s="2">
        <f>(AVERAGE(VLOOKUP(E24,weapon_components!$A$8:$M$178,9,0),VLOOKUP(E24,weapon_components!$A$8:$M$178,10,0))+VLOOKUP(E24,weapon_components!$A$8:$M$178,11,0))/10</f>
        <v>3.75</v>
      </c>
      <c r="R24" s="2">
        <f>VLOOKUP(E24,weapon_components!$A$8:$M$178,13,0)</f>
        <v>0.8</v>
      </c>
      <c r="S24" s="2">
        <f t="shared" si="14"/>
        <v>30</v>
      </c>
      <c r="T24" s="2">
        <v>0</v>
      </c>
      <c r="U24" s="14">
        <f>-INDEX('Ship Design Balancing'!$K$2:$K$6,'Weapon Formulas'!C24)*(INDEX('Weapon Formulas'!$R$1:$R$3,'Weapon Formulas'!D24+2)*(1+'Weapon Formulas'!B24))</f>
        <v>-106.66666666666666</v>
      </c>
    </row>
    <row r="25" spans="1:42" x14ac:dyDescent="0.25">
      <c r="A25" s="21">
        <f t="shared" si="9"/>
        <v>2.7E-2</v>
      </c>
      <c r="C25" s="2">
        <v>5</v>
      </c>
      <c r="D25" s="2">
        <v>1</v>
      </c>
      <c r="E25" s="5" t="s">
        <v>38</v>
      </c>
      <c r="F25" s="2">
        <f t="shared" si="10"/>
        <v>12.526999999999999</v>
      </c>
      <c r="G25" s="2">
        <f t="shared" si="15"/>
        <v>20.043199999999999</v>
      </c>
      <c r="H25" s="2">
        <f t="shared" si="11"/>
        <v>20.043199999999999</v>
      </c>
      <c r="I25" s="2">
        <f t="shared" si="5"/>
        <v>4.0086399999999989</v>
      </c>
      <c r="J25" s="2">
        <f t="shared" si="5"/>
        <v>1.0021599999999997</v>
      </c>
      <c r="K25" s="10">
        <f>1-((1-(I25/G25))/INDEX($P$2:$P$6,C25))</f>
        <v>-1.1333333333333333</v>
      </c>
      <c r="L25" s="10">
        <f>(INDEX($Q$2:$Q$6,C25)/((1/INDEX($F$4:$F$6,J$9))-1))</f>
        <v>8.3333333333333329E-2</v>
      </c>
      <c r="M25" s="10">
        <v>0</v>
      </c>
      <c r="N25" s="2">
        <f t="shared" si="13"/>
        <v>20.043199999999999</v>
      </c>
      <c r="O25" s="2">
        <f t="shared" si="7"/>
        <v>300.64799999999997</v>
      </c>
      <c r="P25" s="2">
        <f t="shared" si="8"/>
        <v>501.08</v>
      </c>
      <c r="Q25" s="2">
        <f>(AVERAGE(VLOOKUP(E25,weapon_components!$A$8:$M$178,9,0),VLOOKUP(E25,weapon_components!$A$8:$M$178,10,0))+VLOOKUP(E25,weapon_components!$A$8:$M$178,11,0))/10</f>
        <v>3.75</v>
      </c>
      <c r="R25" s="2">
        <f>VLOOKUP(E25,weapon_components!$A$8:$M$178,13,0)</f>
        <v>0.75</v>
      </c>
      <c r="S25" s="2">
        <f t="shared" si="14"/>
        <v>36</v>
      </c>
      <c r="T25" s="2">
        <v>0</v>
      </c>
      <c r="U25" s="14">
        <f>-INDEX('Ship Design Balancing'!$K$2:$K$6,'Weapon Formulas'!C25)*(INDEX('Weapon Formulas'!$R$1:$R$3,'Weapon Formulas'!D25+2)*(1+'Weapon Formulas'!B25))</f>
        <v>-213.33333333333331</v>
      </c>
      <c r="W25" s="14" t="s">
        <v>220</v>
      </c>
      <c r="X25" s="14" t="s">
        <v>144</v>
      </c>
    </row>
    <row r="26" spans="1:42" x14ac:dyDescent="0.25">
      <c r="A26" s="21">
        <f t="shared" si="9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14"/>
      <c r="W26" s="14" t="s">
        <v>130</v>
      </c>
      <c r="X26" s="2">
        <v>0.05</v>
      </c>
      <c r="Y26" s="2">
        <f t="shared" ref="Y26:AP26" si="17">X26+0.05</f>
        <v>0.1</v>
      </c>
      <c r="Z26" s="2">
        <f t="shared" si="17"/>
        <v>0.15000000000000002</v>
      </c>
      <c r="AA26" s="2">
        <f t="shared" si="17"/>
        <v>0.2</v>
      </c>
      <c r="AB26" s="2">
        <f t="shared" si="17"/>
        <v>0.25</v>
      </c>
      <c r="AC26" s="2">
        <f t="shared" si="17"/>
        <v>0.3</v>
      </c>
      <c r="AD26" s="2">
        <f t="shared" si="17"/>
        <v>0.35</v>
      </c>
      <c r="AE26" s="2">
        <f t="shared" si="17"/>
        <v>0.39999999999999997</v>
      </c>
      <c r="AF26" s="2">
        <f t="shared" si="17"/>
        <v>0.44999999999999996</v>
      </c>
      <c r="AG26" s="2">
        <f t="shared" si="17"/>
        <v>0.49999999999999994</v>
      </c>
      <c r="AH26" s="2">
        <f t="shared" si="17"/>
        <v>0.54999999999999993</v>
      </c>
      <c r="AI26" s="2">
        <f t="shared" si="17"/>
        <v>0.6</v>
      </c>
      <c r="AJ26" s="2">
        <f t="shared" si="17"/>
        <v>0.65</v>
      </c>
      <c r="AK26" s="2">
        <f t="shared" si="17"/>
        <v>0.70000000000000007</v>
      </c>
      <c r="AL26" s="2">
        <f t="shared" si="17"/>
        <v>0.75000000000000011</v>
      </c>
      <c r="AM26" s="2">
        <f t="shared" si="17"/>
        <v>0.80000000000000016</v>
      </c>
      <c r="AN26" s="2">
        <f t="shared" si="17"/>
        <v>0.8500000000000002</v>
      </c>
      <c r="AO26" s="2">
        <f t="shared" si="17"/>
        <v>0.90000000000000024</v>
      </c>
      <c r="AP26" s="2">
        <f t="shared" si="17"/>
        <v>0.95000000000000029</v>
      </c>
    </row>
    <row r="27" spans="1:42" x14ac:dyDescent="0.25">
      <c r="A27" s="21">
        <f t="shared" si="9"/>
        <v>2.7E-2</v>
      </c>
      <c r="B27" s="2">
        <v>1</v>
      </c>
      <c r="C27">
        <v>4</v>
      </c>
      <c r="D27">
        <v>1</v>
      </c>
      <c r="E27" s="5" t="s">
        <v>40</v>
      </c>
      <c r="F27" s="2">
        <f t="shared" si="10"/>
        <v>20.027000000000001</v>
      </c>
      <c r="G27" s="2">
        <f>IF(G$26=1,H27,H27/(1-INDEX($O$2:$O$6,C27)))</f>
        <v>11.444000000000001</v>
      </c>
      <c r="H27" s="2">
        <f>$F27*(INDEX($F$3:$F$5,H$26)+(($C27+($D27*$F$7))*INDEX($G$3:$G$5,H$26)))</f>
        <v>8.0107999999999997</v>
      </c>
      <c r="I27" s="2">
        <f>$F27*(INDEX($F$3:$F$5,I$26)+(($C27+($D27*$F$7))*INDEX($G$3:$G$5,I$26)))</f>
        <v>30.040500000000002</v>
      </c>
      <c r="J27" s="2">
        <f t="shared" ref="I27:J28" si="18">$F27*(INDEX($F$3:$F$5,J$26)+(($C27+($D27*$F$7))*INDEX($G$3:$G$5,J$26)))</f>
        <v>2.0026999999999999</v>
      </c>
      <c r="K27" s="10">
        <f>1-((1-(I27/G27))/INDEX($P$2:$P$6,C27))</f>
        <v>6.416666666666667</v>
      </c>
      <c r="L27" s="10">
        <f>(INDEX($Q$2:$Q$6,C27)/((1/INDEX($F$4:$F$6,J$26))-1))</f>
        <v>6.6666666666666666E-2</v>
      </c>
      <c r="M27" s="10">
        <v>0</v>
      </c>
      <c r="N27" s="2">
        <f>((AVERAGE(O27,P27)*R27)/Q27)/INDEX($R$1:$R$3,D27+2)</f>
        <v>11.444000000000001</v>
      </c>
      <c r="O27" s="2">
        <f>0.75*(((G27*INDEX($R$1:$R$3,$D27+2))*Q27)/R27)</f>
        <v>337.59800000000001</v>
      </c>
      <c r="P27" s="2">
        <f>1.25*(((G27*INDEX($R$1:$R$3,$D27+2))*Q27)/R27)</f>
        <v>562.66333333333341</v>
      </c>
      <c r="Q27" s="2">
        <f>(AVERAGE(VLOOKUP(E27,weapon_components!$A$8:$M$178,9,0),VLOOKUP(E27,weapon_components!$A$8:$M$178,10,0))+VLOOKUP(E27,weapon_components!$A$8:$M$178,11,0))/10</f>
        <v>8.85</v>
      </c>
      <c r="R27" s="2">
        <f>VLOOKUP(E27,weapon_components!$A$8:$M$178,13,0)</f>
        <v>0.9</v>
      </c>
      <c r="S27" s="2">
        <f>$S$26*(1+(D27*$F$8))</f>
        <v>36</v>
      </c>
      <c r="T27" s="2">
        <v>0</v>
      </c>
      <c r="U27" s="14">
        <f>-INDEX('Ship Design Balancing'!$K$2:$K$6,'Weapon Formulas'!C27)*(INDEX('Weapon Formulas'!$R$1:$R$3,'Weapon Formulas'!D27+2)*(1+'Weapon Formulas'!B27))</f>
        <v>-213.33333333333331</v>
      </c>
      <c r="W27" s="14" t="s">
        <v>221</v>
      </c>
      <c r="X27">
        <f>$G30*(1-(X$26*(1-$K30)))</f>
        <v>6.8744688172043009</v>
      </c>
      <c r="Y27" s="2">
        <f t="shared" ref="Y27:AP27" si="19">$G30*(1-(Y$26*(1-$K30)))</f>
        <v>7.5033634408602152</v>
      </c>
      <c r="Z27" s="2">
        <f t="shared" si="19"/>
        <v>8.1322580645161295</v>
      </c>
      <c r="AA27" s="2">
        <f t="shared" si="19"/>
        <v>8.761152688172043</v>
      </c>
      <c r="AB27" s="2">
        <f t="shared" si="19"/>
        <v>9.3900473118279546</v>
      </c>
      <c r="AC27" s="2">
        <f t="shared" si="19"/>
        <v>10.018941935483872</v>
      </c>
      <c r="AD27" s="2">
        <f t="shared" si="19"/>
        <v>10.647836559139783</v>
      </c>
      <c r="AE27" s="2">
        <f t="shared" si="19"/>
        <v>11.276731182795697</v>
      </c>
      <c r="AF27" s="2">
        <f t="shared" si="19"/>
        <v>11.90562580645161</v>
      </c>
      <c r="AG27" s="2">
        <f t="shared" si="19"/>
        <v>12.534520430107523</v>
      </c>
      <c r="AH27" s="2">
        <f t="shared" si="19"/>
        <v>13.163415053763439</v>
      </c>
      <c r="AI27" s="2">
        <f t="shared" si="19"/>
        <v>13.792309677419354</v>
      </c>
      <c r="AJ27" s="2">
        <f t="shared" si="19"/>
        <v>14.421204301075266</v>
      </c>
      <c r="AK27" s="2">
        <f t="shared" si="19"/>
        <v>15.050098924731179</v>
      </c>
      <c r="AL27" s="2">
        <f t="shared" si="19"/>
        <v>15.678993548387094</v>
      </c>
      <c r="AM27" s="2">
        <f t="shared" si="19"/>
        <v>16.307888172043011</v>
      </c>
      <c r="AN27" s="2">
        <f t="shared" si="19"/>
        <v>16.936782795698925</v>
      </c>
      <c r="AO27" s="2">
        <f t="shared" si="19"/>
        <v>17.565677419354838</v>
      </c>
      <c r="AP27" s="2">
        <f t="shared" si="19"/>
        <v>18.194572043010751</v>
      </c>
    </row>
    <row r="28" spans="1:42" x14ac:dyDescent="0.25">
      <c r="A28" s="21">
        <f t="shared" si="9"/>
        <v>2.7E-2</v>
      </c>
      <c r="B28" s="2">
        <v>1</v>
      </c>
      <c r="C28">
        <v>5</v>
      </c>
      <c r="D28">
        <v>1</v>
      </c>
      <c r="E28" s="5" t="s">
        <v>41</v>
      </c>
      <c r="F28" s="2">
        <f t="shared" si="10"/>
        <v>25.027000000000001</v>
      </c>
      <c r="G28" s="2">
        <f>IF(G$26=1,H28,H28/(1-INDEX($O$2:$O$6,C28)))</f>
        <v>12.813824</v>
      </c>
      <c r="H28" s="2">
        <f>$F28*(INDEX($F$3:$F$5,H$26)+(($C28+($D28*$F$7))*INDEX($G$3:$G$5,H$26)))</f>
        <v>8.0086399999999998</v>
      </c>
      <c r="I28" s="2">
        <f t="shared" si="18"/>
        <v>40.043200000000006</v>
      </c>
      <c r="J28" s="2">
        <f t="shared" si="18"/>
        <v>2.0021599999999999</v>
      </c>
      <c r="K28" s="10">
        <f>1-((1-(I28/G28))/INDEX($P$2:$P$6,C28))</f>
        <v>6.6666666666666679</v>
      </c>
      <c r="L28" s="10">
        <f>(INDEX($Q$2:$Q$6,C28)/((1/INDEX($F$4:$F$6,J$26))-1))</f>
        <v>8.3333333333333329E-2</v>
      </c>
      <c r="M28" s="10">
        <v>0</v>
      </c>
      <c r="N28" s="2">
        <f>((AVERAGE(O28,P28)*R28)/Q28)/INDEX($R$1:$R$3,D28+2)</f>
        <v>12.813824</v>
      </c>
      <c r="O28" s="2">
        <f>0.75*(((G28*INDEX($R$1:$R$3,$D28+2))*Q28)/R28)</f>
        <v>378.00780799999995</v>
      </c>
      <c r="P28" s="2">
        <f>1.25*(((G28*INDEX($R$1:$R$3,$D28+2))*Q28)/R28)</f>
        <v>630.01301333333333</v>
      </c>
      <c r="Q28" s="2">
        <f>(AVERAGE(VLOOKUP(E28,weapon_components!$A$8:$M$178,9,0),VLOOKUP(E28,weapon_components!$A$8:$M$178,10,0))+VLOOKUP(E28,weapon_components!$A$8:$M$178,11,0))/10</f>
        <v>8.85</v>
      </c>
      <c r="R28" s="2">
        <f>VLOOKUP(E28,weapon_components!$A$8:$M$178,13,0)</f>
        <v>0.9</v>
      </c>
      <c r="S28" s="2">
        <f t="shared" si="14"/>
        <v>36</v>
      </c>
      <c r="T28" s="2">
        <v>0</v>
      </c>
      <c r="U28" s="14">
        <f>-INDEX('Ship Design Balancing'!$K$2:$K$6,'Weapon Formulas'!C28)*(INDEX('Weapon Formulas'!$R$1:$R$3,'Weapon Formulas'!D28+2)*(1+'Weapon Formulas'!B28))</f>
        <v>-426.66666666666663</v>
      </c>
      <c r="W28" s="14" t="s">
        <v>222</v>
      </c>
      <c r="X28" s="2">
        <f t="shared" ref="X28:AP28" si="20">$G31*(1-(X$26*(1-$K31)))</f>
        <v>6.4200107526881718</v>
      </c>
      <c r="Y28" s="2">
        <f t="shared" si="20"/>
        <v>7.3881505376344085</v>
      </c>
      <c r="Z28" s="2">
        <f t="shared" si="20"/>
        <v>8.3562903225806444</v>
      </c>
      <c r="AA28" s="2">
        <f t="shared" si="20"/>
        <v>9.3244301075268812</v>
      </c>
      <c r="AB28" s="2">
        <f t="shared" si="20"/>
        <v>10.292569892473118</v>
      </c>
      <c r="AC28" s="2">
        <f t="shared" si="20"/>
        <v>11.260709677419355</v>
      </c>
      <c r="AD28" s="2">
        <f t="shared" si="20"/>
        <v>12.228849462365591</v>
      </c>
      <c r="AE28" s="2">
        <f t="shared" si="20"/>
        <v>13.196989247311828</v>
      </c>
      <c r="AF28" s="2">
        <f t="shared" si="20"/>
        <v>14.165129032258063</v>
      </c>
      <c r="AG28" s="2">
        <f t="shared" si="20"/>
        <v>15.133268817204302</v>
      </c>
      <c r="AH28" s="2">
        <f t="shared" si="20"/>
        <v>16.101408602150535</v>
      </c>
      <c r="AI28" s="2">
        <f t="shared" si="20"/>
        <v>17.069548387096773</v>
      </c>
      <c r="AJ28" s="2">
        <f t="shared" si="20"/>
        <v>18.037688172043012</v>
      </c>
      <c r="AK28" s="2">
        <f t="shared" si="20"/>
        <v>19.005827956989251</v>
      </c>
      <c r="AL28" s="2">
        <f t="shared" si="20"/>
        <v>19.973967741935489</v>
      </c>
      <c r="AM28" s="2">
        <f t="shared" si="20"/>
        <v>20.942107526881724</v>
      </c>
      <c r="AN28" s="2">
        <f t="shared" si="20"/>
        <v>21.910247311827963</v>
      </c>
      <c r="AO28" s="2">
        <f t="shared" si="20"/>
        <v>22.878387096774201</v>
      </c>
      <c r="AP28" s="2">
        <f t="shared" si="20"/>
        <v>23.84652688172044</v>
      </c>
    </row>
    <row r="29" spans="1:42" x14ac:dyDescent="0.25">
      <c r="A29" s="21">
        <f t="shared" si="9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si="14"/>
        <v>30</v>
      </c>
      <c r="T29" s="2">
        <v>0</v>
      </c>
      <c r="U29" s="14"/>
      <c r="W29" s="14" t="s">
        <v>223</v>
      </c>
      <c r="X29" s="2">
        <f t="shared" ref="X29:AP29" si="21">$G32*(1-(X$26*(1-$K32)))</f>
        <v>5.9676430107526883</v>
      </c>
      <c r="Y29" s="2">
        <f t="shared" si="21"/>
        <v>7.2734021505376347</v>
      </c>
      <c r="Z29" s="2">
        <f t="shared" si="21"/>
        <v>8.5791612903225811</v>
      </c>
      <c r="AA29" s="2">
        <f t="shared" si="21"/>
        <v>9.8849204301075293</v>
      </c>
      <c r="AB29" s="2">
        <f t="shared" si="21"/>
        <v>11.190679569892474</v>
      </c>
      <c r="AC29" s="2">
        <f t="shared" si="21"/>
        <v>12.49643870967742</v>
      </c>
      <c r="AD29" s="2">
        <f t="shared" si="21"/>
        <v>13.802197849462367</v>
      </c>
      <c r="AE29" s="2">
        <f t="shared" si="21"/>
        <v>15.107956989247311</v>
      </c>
      <c r="AF29" s="2">
        <f t="shared" si="21"/>
        <v>16.413716129032256</v>
      </c>
      <c r="AG29" s="2">
        <f t="shared" si="21"/>
        <v>17.719475268817202</v>
      </c>
      <c r="AH29" s="2">
        <f t="shared" si="21"/>
        <v>19.025234408602149</v>
      </c>
      <c r="AI29" s="2">
        <f t="shared" si="21"/>
        <v>20.330993548387099</v>
      </c>
      <c r="AJ29" s="2">
        <f t="shared" si="21"/>
        <v>21.636752688172045</v>
      </c>
      <c r="AK29" s="2">
        <f t="shared" si="21"/>
        <v>22.942511827956992</v>
      </c>
      <c r="AL29" s="2">
        <f t="shared" si="21"/>
        <v>24.248270967741941</v>
      </c>
      <c r="AM29" s="2">
        <f t="shared" si="21"/>
        <v>25.554030107526888</v>
      </c>
      <c r="AN29" s="2">
        <f t="shared" si="21"/>
        <v>26.859789247311838</v>
      </c>
      <c r="AO29" s="2">
        <f t="shared" si="21"/>
        <v>28.165548387096784</v>
      </c>
      <c r="AP29" s="2">
        <f t="shared" si="21"/>
        <v>29.471307526881734</v>
      </c>
    </row>
    <row r="30" spans="1:42" x14ac:dyDescent="0.25">
      <c r="A30" s="21">
        <f t="shared" si="9"/>
        <v>6.3E-2</v>
      </c>
      <c r="C30" s="2">
        <v>3</v>
      </c>
      <c r="D30">
        <v>-1</v>
      </c>
      <c r="E30" s="5" t="s">
        <v>43</v>
      </c>
      <c r="F30" s="2">
        <f t="shared" si="10"/>
        <v>7.5629999999999997</v>
      </c>
      <c r="G30" s="2">
        <f>IF(G$29=1,H30,H30/(1-INDEX($O$2:$O$6,C30)))</f>
        <v>6.2455741935483875</v>
      </c>
      <c r="H30" s="2">
        <f>$F30*(INDEX($F$3:$F$5,H$29)+(($C30+($D30*$F$7))*INDEX($G$3:$G$5,H$29)))</f>
        <v>4.8403200000000002</v>
      </c>
      <c r="I30" s="2">
        <f t="shared" ref="I30:J38" si="22">$F30*(INDEX($F$3:$F$5,I$29)+(($C30+($D30*$F$7))*INDEX($G$3:$G$5,I$29)))</f>
        <v>9.0755999999999997</v>
      </c>
      <c r="J30" s="2">
        <f t="shared" si="22"/>
        <v>1.21008</v>
      </c>
      <c r="K30" s="10">
        <f t="shared" ref="K30:K89" si="23">1-((1-(I30/G30))/INDEX($P$2:$P$6,C30))</f>
        <v>3.013888888888888</v>
      </c>
      <c r="L30" s="10">
        <f>(INDEX($Q$2:$Q$6,C30)/((1/INDEX($F$4:$F$6,J$29))-1))</f>
        <v>4.9999999999999996E-2</v>
      </c>
      <c r="M30" s="10">
        <v>0</v>
      </c>
      <c r="N30" s="2">
        <f t="shared" ref="N30:N38" si="24">((AVERAGE(O30,P30)*R30)/Q30)/INDEX($R$1:$R$3,D30+2)</f>
        <v>6.2455741935483875</v>
      </c>
      <c r="O30" s="2">
        <f t="shared" ref="O30:O38" si="25">0.75*(((G30*INDEX($R$1:$R$3,$D30+2))*Q30)/R30)</f>
        <v>24.849007081038554</v>
      </c>
      <c r="P30" s="2">
        <f t="shared" ref="P30:P38" si="26">1.25*(((G30*INDEX($R$1:$R$3,$D30+2))*Q30)/R30)</f>
        <v>41.415011801730927</v>
      </c>
      <c r="Q30" s="2">
        <f>(AVERAGE(VLOOKUP(E30,weapon_components!$A$8:$M$178,9,0),VLOOKUP(E30,weapon_components!$A$8:$M$178,10,0))+VLOOKUP(E30,weapon_components!$A$8:$M$178,11,0))/10</f>
        <v>4.3499999999999996</v>
      </c>
      <c r="R30" s="2">
        <f>VLOOKUP(E30,weapon_components!$A$8:$M$178,13,0)</f>
        <v>0.82</v>
      </c>
      <c r="S30" s="2">
        <f>$S$29*(1+(D30*$F$8))</f>
        <v>24</v>
      </c>
      <c r="T30" s="2">
        <v>0</v>
      </c>
      <c r="U30" s="14">
        <f>-INDEX('Ship Design Balancing'!$K$2:$K$6,'Weapon Formulas'!C30)*(INDEX('Weapon Formulas'!$R$1:$R$3,'Weapon Formulas'!D30+2)*(1+'Weapon Formulas'!B30))</f>
        <v>-13.333333333333332</v>
      </c>
      <c r="W30" s="14" t="s">
        <v>224</v>
      </c>
      <c r="X30" s="2">
        <f t="shared" ref="X30:AP30" si="27">$G33*(1-(X$26*(1-$K33)))</f>
        <v>8.8889833333333339</v>
      </c>
      <c r="Y30" s="2">
        <f t="shared" si="27"/>
        <v>9.727566666666668</v>
      </c>
      <c r="Z30" s="2">
        <f t="shared" si="27"/>
        <v>10.566150000000002</v>
      </c>
      <c r="AA30" s="2">
        <f t="shared" si="27"/>
        <v>11.404733333333334</v>
      </c>
      <c r="AB30" s="2">
        <f t="shared" si="27"/>
        <v>12.243316666666667</v>
      </c>
      <c r="AC30" s="2">
        <f t="shared" si="27"/>
        <v>13.081900000000001</v>
      </c>
      <c r="AD30" s="2">
        <f t="shared" si="27"/>
        <v>13.920483333333335</v>
      </c>
      <c r="AE30" s="2">
        <f t="shared" si="27"/>
        <v>14.759066666666667</v>
      </c>
      <c r="AF30" s="2">
        <f t="shared" si="27"/>
        <v>15.59765</v>
      </c>
      <c r="AG30" s="2">
        <f t="shared" si="27"/>
        <v>16.43623333333333</v>
      </c>
      <c r="AH30" s="2">
        <f t="shared" si="27"/>
        <v>17.274816666666666</v>
      </c>
      <c r="AI30" s="2">
        <f t="shared" si="27"/>
        <v>18.113399999999999</v>
      </c>
      <c r="AJ30" s="2">
        <f t="shared" si="27"/>
        <v>18.951983333333331</v>
      </c>
      <c r="AK30" s="2">
        <f t="shared" si="27"/>
        <v>19.790566666666667</v>
      </c>
      <c r="AL30" s="2">
        <f t="shared" si="27"/>
        <v>20.629150000000003</v>
      </c>
      <c r="AM30" s="2">
        <f t="shared" si="27"/>
        <v>21.467733333333332</v>
      </c>
      <c r="AN30" s="2">
        <f t="shared" si="27"/>
        <v>22.306316666666667</v>
      </c>
      <c r="AO30" s="2">
        <f t="shared" si="27"/>
        <v>23.144900000000003</v>
      </c>
      <c r="AP30" s="2">
        <f t="shared" si="27"/>
        <v>23.983483333333336</v>
      </c>
    </row>
    <row r="31" spans="1:42" x14ac:dyDescent="0.25">
      <c r="A31" s="21">
        <f t="shared" si="9"/>
        <v>4.4999999999999998E-2</v>
      </c>
      <c r="C31" s="2">
        <v>3</v>
      </c>
      <c r="D31">
        <v>0</v>
      </c>
      <c r="E31" s="5" t="s">
        <v>44</v>
      </c>
      <c r="F31" s="2">
        <f t="shared" si="10"/>
        <v>7.5449999999999999</v>
      </c>
      <c r="G31" s="2">
        <f t="shared" ref="G31:G38" si="28">IF(G$29=1,H31,H31/(1-INDEX($O$2:$O$6,C31)))</f>
        <v>5.451870967741935</v>
      </c>
      <c r="H31" s="2">
        <f t="shared" ref="H31:H38" si="29">$F31*(INDEX($F$3:$F$5,H$29)+(($C31+($D31*$F$7))*INDEX($G$3:$G$5,H$29)))</f>
        <v>4.2252000000000001</v>
      </c>
      <c r="I31" s="2">
        <f t="shared" si="22"/>
        <v>9.8085000000000004</v>
      </c>
      <c r="J31" s="2">
        <f t="shared" si="22"/>
        <v>1.0563</v>
      </c>
      <c r="K31" s="10">
        <f t="shared" si="23"/>
        <v>4.5515873015873023</v>
      </c>
      <c r="L31" s="10">
        <f t="shared" ref="L31:L38" si="30">(INDEX($Q$2:$Q$6,C31)/((1/INDEX($F$4:$F$6,J$29))-1))</f>
        <v>4.9999999999999996E-2</v>
      </c>
      <c r="M31" s="10">
        <v>0</v>
      </c>
      <c r="N31" s="2">
        <f t="shared" si="24"/>
        <v>5.4518709677419359</v>
      </c>
      <c r="O31" s="2">
        <f t="shared" si="25"/>
        <v>44.46682258064515</v>
      </c>
      <c r="P31" s="2">
        <f t="shared" si="26"/>
        <v>74.111370967741919</v>
      </c>
      <c r="Q31" s="2">
        <f>(AVERAGE(VLOOKUP(E31,weapon_components!$A$8:$M$178,9,0),VLOOKUP(E31,weapon_components!$A$8:$M$178,10,0))+VLOOKUP(E31,weapon_components!$A$8:$M$178,11,0))/10</f>
        <v>4.3499999999999996</v>
      </c>
      <c r="R31" s="2">
        <f>VLOOKUP(E31,weapon_components!$A$8:$M$178,13,0)</f>
        <v>0.8</v>
      </c>
      <c r="S31" s="2">
        <f t="shared" ref="S31:S38" si="31">$S$29*(1+(D31*$F$8))</f>
        <v>30</v>
      </c>
      <c r="T31" s="2">
        <v>0</v>
      </c>
      <c r="U31" s="14">
        <f>-INDEX('Ship Design Balancing'!$K$2:$K$6,'Weapon Formulas'!C31)*(INDEX('Weapon Formulas'!$R$1:$R$3,'Weapon Formulas'!D31+2)*(1+'Weapon Formulas'!B31))</f>
        <v>-26.666666666666664</v>
      </c>
      <c r="W31" s="14" t="s">
        <v>225</v>
      </c>
      <c r="X31" s="2">
        <f t="shared" ref="X31:AP31" si="32">$G34*(1-(X$26*(1-$K34)))</f>
        <v>8.0838333333333345</v>
      </c>
      <c r="Y31" s="2">
        <f t="shared" si="32"/>
        <v>9.2796666666666674</v>
      </c>
      <c r="Z31" s="2">
        <f t="shared" si="32"/>
        <v>10.475499999999998</v>
      </c>
      <c r="AA31" s="2">
        <f t="shared" si="32"/>
        <v>11.671333333333333</v>
      </c>
      <c r="AB31" s="2">
        <f t="shared" si="32"/>
        <v>12.867166666666666</v>
      </c>
      <c r="AC31" s="2">
        <f t="shared" si="32"/>
        <v>14.062999999999997</v>
      </c>
      <c r="AD31" s="2">
        <f t="shared" si="32"/>
        <v>15.258833333333328</v>
      </c>
      <c r="AE31" s="2">
        <f t="shared" si="32"/>
        <v>16.454666666666665</v>
      </c>
      <c r="AF31" s="2">
        <f t="shared" si="32"/>
        <v>17.650499999999997</v>
      </c>
      <c r="AG31" s="2">
        <f t="shared" si="32"/>
        <v>18.846333333333327</v>
      </c>
      <c r="AH31" s="2">
        <f t="shared" si="32"/>
        <v>20.04216666666666</v>
      </c>
      <c r="AI31" s="2">
        <f t="shared" si="32"/>
        <v>21.237999999999996</v>
      </c>
      <c r="AJ31" s="2">
        <f t="shared" si="32"/>
        <v>22.433833333333329</v>
      </c>
      <c r="AK31" s="2">
        <f t="shared" si="32"/>
        <v>23.629666666666662</v>
      </c>
      <c r="AL31" s="2">
        <f t="shared" si="32"/>
        <v>24.825499999999995</v>
      </c>
      <c r="AM31" s="2">
        <f t="shared" si="32"/>
        <v>26.021333333333331</v>
      </c>
      <c r="AN31" s="2">
        <f t="shared" si="32"/>
        <v>27.217166666666664</v>
      </c>
      <c r="AO31" s="2">
        <f t="shared" si="32"/>
        <v>28.413000000000004</v>
      </c>
      <c r="AP31" s="2">
        <f t="shared" si="32"/>
        <v>29.608833333333333</v>
      </c>
    </row>
    <row r="32" spans="1:42" x14ac:dyDescent="0.25">
      <c r="A32" s="21">
        <f t="shared" si="9"/>
        <v>2.7E-2</v>
      </c>
      <c r="C32" s="2">
        <v>3</v>
      </c>
      <c r="D32">
        <v>1</v>
      </c>
      <c r="E32" s="5" t="s">
        <v>45</v>
      </c>
      <c r="F32" s="2">
        <f t="shared" si="10"/>
        <v>7.5270000000000001</v>
      </c>
      <c r="G32" s="2">
        <f t="shared" si="28"/>
        <v>4.661883870967741</v>
      </c>
      <c r="H32" s="2">
        <f t="shared" si="29"/>
        <v>3.6129599999999997</v>
      </c>
      <c r="I32" s="2">
        <f t="shared" si="22"/>
        <v>10.537799999999999</v>
      </c>
      <c r="J32" s="2">
        <f t="shared" si="22"/>
        <v>0.90323999999999993</v>
      </c>
      <c r="K32" s="10">
        <f t="shared" si="23"/>
        <v>6.6018518518518539</v>
      </c>
      <c r="L32" s="10">
        <f t="shared" si="30"/>
        <v>4.9999999999999996E-2</v>
      </c>
      <c r="M32" s="10">
        <v>0</v>
      </c>
      <c r="N32" s="2">
        <f t="shared" si="24"/>
        <v>4.661883870967741</v>
      </c>
      <c r="O32" s="2">
        <f t="shared" si="25"/>
        <v>81.116779354838684</v>
      </c>
      <c r="P32" s="2">
        <f t="shared" si="26"/>
        <v>135.19463225806447</v>
      </c>
      <c r="Q32" s="2">
        <f>(AVERAGE(VLOOKUP(E32,weapon_components!$A$8:$M$178,9,0),VLOOKUP(E32,weapon_components!$A$8:$M$178,10,0))+VLOOKUP(E32,weapon_components!$A$8:$M$178,11,0))/10</f>
        <v>4.3499999999999996</v>
      </c>
      <c r="R32" s="2">
        <f>VLOOKUP(E32,weapon_components!$A$8:$M$178,13,0)</f>
        <v>0.75</v>
      </c>
      <c r="S32" s="2">
        <f t="shared" si="31"/>
        <v>36</v>
      </c>
      <c r="T32" s="2">
        <v>0</v>
      </c>
      <c r="U32" s="14">
        <f>-INDEX('Ship Design Balancing'!$K$2:$K$6,'Weapon Formulas'!C32)*(INDEX('Weapon Formulas'!$R$1:$R$3,'Weapon Formulas'!D32+2)*(1+'Weapon Formulas'!B32))</f>
        <v>-53.333333333333329</v>
      </c>
      <c r="W32" s="14" t="s">
        <v>226</v>
      </c>
      <c r="X32" s="2">
        <f t="shared" ref="X32:AP32" si="33">$G35*(1-(X$26*(1-$K35)))</f>
        <v>7.2815119047619037</v>
      </c>
      <c r="Y32" s="2">
        <f t="shared" si="33"/>
        <v>8.8333095238095218</v>
      </c>
      <c r="Z32" s="2">
        <f t="shared" si="33"/>
        <v>10.385107142857143</v>
      </c>
      <c r="AA32" s="2">
        <f t="shared" si="33"/>
        <v>11.93690476190476</v>
      </c>
      <c r="AB32" s="2">
        <f t="shared" si="33"/>
        <v>13.488702380952377</v>
      </c>
      <c r="AC32" s="2">
        <f t="shared" si="33"/>
        <v>15.040499999999996</v>
      </c>
      <c r="AD32" s="2">
        <f t="shared" si="33"/>
        <v>16.592297619047613</v>
      </c>
      <c r="AE32" s="2">
        <f t="shared" si="33"/>
        <v>18.144095238095233</v>
      </c>
      <c r="AF32" s="2">
        <f t="shared" si="33"/>
        <v>19.695892857142852</v>
      </c>
      <c r="AG32" s="2">
        <f t="shared" si="33"/>
        <v>21.247690476190467</v>
      </c>
      <c r="AH32" s="2">
        <f t="shared" si="33"/>
        <v>22.79948809523809</v>
      </c>
      <c r="AI32" s="2">
        <f t="shared" si="33"/>
        <v>24.351285714285709</v>
      </c>
      <c r="AJ32" s="2">
        <f t="shared" si="33"/>
        <v>25.903083333333324</v>
      </c>
      <c r="AK32" s="2">
        <f t="shared" si="33"/>
        <v>27.454880952380947</v>
      </c>
      <c r="AL32" s="2">
        <f t="shared" si="33"/>
        <v>29.006678571428566</v>
      </c>
      <c r="AM32" s="2">
        <f t="shared" si="33"/>
        <v>30.558476190476188</v>
      </c>
      <c r="AN32" s="2">
        <f t="shared" si="33"/>
        <v>32.110273809523804</v>
      </c>
      <c r="AO32" s="2">
        <f t="shared" si="33"/>
        <v>33.66207142857143</v>
      </c>
      <c r="AP32" s="2">
        <f t="shared" si="33"/>
        <v>35.213869047619049</v>
      </c>
    </row>
    <row r="33" spans="1:42" x14ac:dyDescent="0.25">
      <c r="A33" s="21">
        <f t="shared" si="9"/>
        <v>6.3E-2</v>
      </c>
      <c r="C33" s="2">
        <v>4</v>
      </c>
      <c r="D33">
        <v>-1</v>
      </c>
      <c r="E33" s="5" t="s">
        <v>46</v>
      </c>
      <c r="F33" s="2">
        <f t="shared" si="10"/>
        <v>10.063000000000001</v>
      </c>
      <c r="G33" s="2">
        <f t="shared" si="28"/>
        <v>8.0504000000000016</v>
      </c>
      <c r="H33" s="2">
        <f t="shared" si="29"/>
        <v>5.6352800000000007</v>
      </c>
      <c r="I33" s="2">
        <f t="shared" si="22"/>
        <v>13.081900000000001</v>
      </c>
      <c r="J33" s="2">
        <f t="shared" si="22"/>
        <v>1.4088200000000002</v>
      </c>
      <c r="K33" s="10">
        <f t="shared" si="23"/>
        <v>3.0833333333333326</v>
      </c>
      <c r="L33" s="10">
        <f t="shared" si="30"/>
        <v>6.6666666666666666E-2</v>
      </c>
      <c r="M33" s="10">
        <v>0</v>
      </c>
      <c r="N33" s="2">
        <f t="shared" si="24"/>
        <v>8.0504000000000016</v>
      </c>
      <c r="O33" s="2">
        <f t="shared" si="25"/>
        <v>32.029792682926839</v>
      </c>
      <c r="P33" s="2">
        <f t="shared" si="26"/>
        <v>53.382987804878056</v>
      </c>
      <c r="Q33" s="2">
        <f>(AVERAGE(VLOOKUP(E33,weapon_components!$A$8:$M$178,9,0),VLOOKUP(E33,weapon_components!$A$8:$M$178,10,0))+VLOOKUP(E33,weapon_components!$A$8:$M$178,11,0))/10</f>
        <v>4.3499999999999996</v>
      </c>
      <c r="R33" s="2">
        <f>VLOOKUP(E33,weapon_components!$A$8:$M$178,13,0)</f>
        <v>0.82</v>
      </c>
      <c r="S33" s="2">
        <f t="shared" si="31"/>
        <v>24</v>
      </c>
      <c r="T33" s="2">
        <v>0</v>
      </c>
      <c r="U33" s="14">
        <f>-INDEX('Ship Design Balancing'!$K$2:$K$6,'Weapon Formulas'!C33)*(INDEX('Weapon Formulas'!$R$1:$R$3,'Weapon Formulas'!D33+2)*(1+'Weapon Formulas'!B33))</f>
        <v>-26.666666666666664</v>
      </c>
      <c r="W33" s="14" t="s">
        <v>227</v>
      </c>
      <c r="X33" s="2">
        <f t="shared" ref="X33:AP33" si="34">$G36*(1-(X$26*(1-$K36)))</f>
        <v>10.707026133333335</v>
      </c>
      <c r="Y33" s="2">
        <f t="shared" si="34"/>
        <v>11.765668266666667</v>
      </c>
      <c r="Z33" s="2">
        <f t="shared" si="34"/>
        <v>12.8243104</v>
      </c>
      <c r="AA33" s="2">
        <f t="shared" si="34"/>
        <v>13.882952533333333</v>
      </c>
      <c r="AB33" s="2">
        <f t="shared" si="34"/>
        <v>14.941594666666667</v>
      </c>
      <c r="AC33" s="2">
        <f t="shared" si="34"/>
        <v>16.0002368</v>
      </c>
      <c r="AD33" s="2">
        <f t="shared" si="34"/>
        <v>17.058878933333336</v>
      </c>
      <c r="AE33" s="2">
        <f t="shared" si="34"/>
        <v>18.117521066666665</v>
      </c>
      <c r="AF33" s="2">
        <f t="shared" si="34"/>
        <v>19.176163200000001</v>
      </c>
      <c r="AG33" s="2">
        <f t="shared" si="34"/>
        <v>20.234805333333334</v>
      </c>
      <c r="AH33" s="2">
        <f t="shared" si="34"/>
        <v>21.293447466666667</v>
      </c>
      <c r="AI33" s="2">
        <f t="shared" si="34"/>
        <v>22.352089599999999</v>
      </c>
      <c r="AJ33" s="2">
        <f t="shared" si="34"/>
        <v>23.410731733333336</v>
      </c>
      <c r="AK33" s="2">
        <f t="shared" si="34"/>
        <v>24.469373866666668</v>
      </c>
      <c r="AL33" s="2">
        <f t="shared" si="34"/>
        <v>25.528016000000004</v>
      </c>
      <c r="AM33" s="2">
        <f t="shared" si="34"/>
        <v>26.586658133333337</v>
      </c>
      <c r="AN33" s="2">
        <f t="shared" si="34"/>
        <v>27.645300266666673</v>
      </c>
      <c r="AO33" s="2">
        <f t="shared" si="34"/>
        <v>28.703942400000006</v>
      </c>
      <c r="AP33" s="2">
        <f t="shared" si="34"/>
        <v>29.762584533333342</v>
      </c>
    </row>
    <row r="34" spans="1:42" x14ac:dyDescent="0.25">
      <c r="A34" s="21">
        <f t="shared" si="9"/>
        <v>4.4999999999999998E-2</v>
      </c>
      <c r="C34" s="2">
        <v>4</v>
      </c>
      <c r="D34">
        <v>0</v>
      </c>
      <c r="E34" s="5" t="s">
        <v>47</v>
      </c>
      <c r="F34" s="2">
        <f t="shared" si="10"/>
        <v>10.045</v>
      </c>
      <c r="G34" s="2">
        <f t="shared" si="28"/>
        <v>6.8880000000000008</v>
      </c>
      <c r="H34" s="2">
        <f t="shared" si="29"/>
        <v>4.8216000000000001</v>
      </c>
      <c r="I34" s="2">
        <f t="shared" si="22"/>
        <v>14.062999999999999</v>
      </c>
      <c r="J34" s="2">
        <f t="shared" si="22"/>
        <v>1.2054</v>
      </c>
      <c r="K34" s="10">
        <f t="shared" si="23"/>
        <v>4.4722222222222205</v>
      </c>
      <c r="L34" s="10">
        <f t="shared" si="30"/>
        <v>6.6666666666666666E-2</v>
      </c>
      <c r="M34" s="10">
        <v>0</v>
      </c>
      <c r="N34" s="2">
        <f t="shared" si="24"/>
        <v>6.8880000000000008</v>
      </c>
      <c r="O34" s="2">
        <f t="shared" si="25"/>
        <v>56.180250000000001</v>
      </c>
      <c r="P34" s="2">
        <f t="shared" si="26"/>
        <v>93.633749999999992</v>
      </c>
      <c r="Q34" s="2">
        <f>(AVERAGE(VLOOKUP(E34,weapon_components!$A$8:$M$178,9,0),VLOOKUP(E34,weapon_components!$A$8:$M$178,10,0))+VLOOKUP(E34,weapon_components!$A$8:$M$178,11,0))/10</f>
        <v>4.3499999999999996</v>
      </c>
      <c r="R34" s="2">
        <f>VLOOKUP(E34,weapon_components!$A$8:$M$178,13,0)</f>
        <v>0.8</v>
      </c>
      <c r="S34" s="2">
        <f t="shared" si="31"/>
        <v>30</v>
      </c>
      <c r="T34" s="2">
        <v>0</v>
      </c>
      <c r="U34" s="14">
        <f>-INDEX('Ship Design Balancing'!$K$2:$K$6,'Weapon Formulas'!C34)*(INDEX('Weapon Formulas'!$R$1:$R$3,'Weapon Formulas'!D34+2)*(1+'Weapon Formulas'!B34))</f>
        <v>-53.333333333333329</v>
      </c>
      <c r="W34" s="14" t="s">
        <v>228</v>
      </c>
      <c r="X34" s="2">
        <f t="shared" ref="X34:AP34" si="35">$G37*(1-(X$26*(1-$K37)))</f>
        <v>9.467293333333334</v>
      </c>
      <c r="Y34" s="2">
        <f t="shared" si="35"/>
        <v>10.905786666666666</v>
      </c>
      <c r="Z34" s="2">
        <f t="shared" si="35"/>
        <v>12.344279999999999</v>
      </c>
      <c r="AA34" s="2">
        <f t="shared" si="35"/>
        <v>13.782773333333331</v>
      </c>
      <c r="AB34" s="2">
        <f t="shared" si="35"/>
        <v>15.221266666666665</v>
      </c>
      <c r="AC34" s="2">
        <f t="shared" si="35"/>
        <v>16.659759999999995</v>
      </c>
      <c r="AD34" s="2">
        <f t="shared" si="35"/>
        <v>18.098253333333332</v>
      </c>
      <c r="AE34" s="2">
        <f t="shared" si="35"/>
        <v>19.536746666666662</v>
      </c>
      <c r="AF34" s="2">
        <f t="shared" si="35"/>
        <v>20.975239999999996</v>
      </c>
      <c r="AG34" s="2">
        <f t="shared" si="35"/>
        <v>22.41373333333333</v>
      </c>
      <c r="AH34" s="2">
        <f t="shared" si="35"/>
        <v>23.85222666666666</v>
      </c>
      <c r="AI34" s="2">
        <f t="shared" si="35"/>
        <v>25.290719999999993</v>
      </c>
      <c r="AJ34" s="2">
        <f t="shared" si="35"/>
        <v>26.72921333333333</v>
      </c>
      <c r="AK34" s="2">
        <f t="shared" si="35"/>
        <v>28.167706666666664</v>
      </c>
      <c r="AL34" s="2">
        <f t="shared" si="35"/>
        <v>29.606199999999998</v>
      </c>
      <c r="AM34" s="2">
        <f t="shared" si="35"/>
        <v>31.044693333333331</v>
      </c>
      <c r="AN34" s="2">
        <f t="shared" si="35"/>
        <v>32.483186666666661</v>
      </c>
      <c r="AO34" s="2">
        <f t="shared" si="35"/>
        <v>33.921680000000002</v>
      </c>
      <c r="AP34" s="2">
        <f t="shared" si="35"/>
        <v>35.360173333333336</v>
      </c>
    </row>
    <row r="35" spans="1:42" x14ac:dyDescent="0.25">
      <c r="A35" s="21">
        <f t="shared" si="9"/>
        <v>2.7E-2</v>
      </c>
      <c r="C35" s="2">
        <v>4</v>
      </c>
      <c r="D35">
        <v>1</v>
      </c>
      <c r="E35" s="5" t="s">
        <v>48</v>
      </c>
      <c r="F35" s="2">
        <f t="shared" si="10"/>
        <v>10.026999999999999</v>
      </c>
      <c r="G35" s="2">
        <f t="shared" si="28"/>
        <v>5.7297142857142855</v>
      </c>
      <c r="H35" s="2">
        <f t="shared" si="29"/>
        <v>4.0107999999999997</v>
      </c>
      <c r="I35" s="2">
        <f t="shared" si="22"/>
        <v>15.040499999999998</v>
      </c>
      <c r="J35" s="2">
        <f t="shared" si="22"/>
        <v>1.0026999999999999</v>
      </c>
      <c r="K35" s="10">
        <f t="shared" si="23"/>
        <v>6.4166666666666652</v>
      </c>
      <c r="L35" s="10">
        <f t="shared" si="30"/>
        <v>6.6666666666666666E-2</v>
      </c>
      <c r="M35" s="10">
        <v>0</v>
      </c>
      <c r="N35" s="2">
        <f t="shared" si="24"/>
        <v>5.7297142857142855</v>
      </c>
      <c r="O35" s="2">
        <f t="shared" si="25"/>
        <v>99.697028571428561</v>
      </c>
      <c r="P35" s="2">
        <f t="shared" si="26"/>
        <v>166.16171428571425</v>
      </c>
      <c r="Q35" s="2">
        <f>(AVERAGE(VLOOKUP(E35,weapon_components!$A$8:$M$178,9,0),VLOOKUP(E35,weapon_components!$A$8:$M$178,10,0))+VLOOKUP(E35,weapon_components!$A$8:$M$178,11,0))/10</f>
        <v>4.3499999999999996</v>
      </c>
      <c r="R35" s="2">
        <f>VLOOKUP(E35,weapon_components!$A$8:$M$178,13,0)</f>
        <v>0.75</v>
      </c>
      <c r="S35" s="2">
        <f t="shared" si="31"/>
        <v>36</v>
      </c>
      <c r="T35" s="2">
        <v>0</v>
      </c>
      <c r="U35" s="14">
        <f>-INDEX('Ship Design Balancing'!$K$2:$K$6,'Weapon Formulas'!C35)*(INDEX('Weapon Formulas'!$R$1:$R$3,'Weapon Formulas'!D35+2)*(1+'Weapon Formulas'!B35))</f>
        <v>-106.66666666666666</v>
      </c>
      <c r="W35" s="14" t="s">
        <v>229</v>
      </c>
      <c r="X35" s="2">
        <f t="shared" ref="X35:AP35" si="36">$G38*(1-(X$26*(1-$K38)))</f>
        <v>8.2310741333333315</v>
      </c>
      <c r="Y35" s="2">
        <f t="shared" si="36"/>
        <v>10.048324266666665</v>
      </c>
      <c r="Z35" s="2">
        <f t="shared" si="36"/>
        <v>11.8655744</v>
      </c>
      <c r="AA35" s="2">
        <f t="shared" si="36"/>
        <v>13.682824533333331</v>
      </c>
      <c r="AB35" s="2">
        <f t="shared" si="36"/>
        <v>15.500074666666665</v>
      </c>
      <c r="AC35" s="2">
        <f t="shared" si="36"/>
        <v>17.317324799999998</v>
      </c>
      <c r="AD35" s="2">
        <f t="shared" si="36"/>
        <v>19.134574933333329</v>
      </c>
      <c r="AE35" s="2">
        <f t="shared" si="36"/>
        <v>20.951825066666665</v>
      </c>
      <c r="AF35" s="2">
        <f t="shared" si="36"/>
        <v>22.7690752</v>
      </c>
      <c r="AG35" s="2">
        <f t="shared" si="36"/>
        <v>24.586325333333331</v>
      </c>
      <c r="AH35" s="2">
        <f t="shared" si="36"/>
        <v>26.403575466666663</v>
      </c>
      <c r="AI35" s="2">
        <f t="shared" si="36"/>
        <v>28.220825600000001</v>
      </c>
      <c r="AJ35" s="2">
        <f t="shared" si="36"/>
        <v>30.038075733333336</v>
      </c>
      <c r="AK35" s="2">
        <f t="shared" si="36"/>
        <v>31.855325866666671</v>
      </c>
      <c r="AL35" s="2">
        <f t="shared" si="36"/>
        <v>33.672575999999999</v>
      </c>
      <c r="AM35" s="2">
        <f t="shared" si="36"/>
        <v>35.489826133333338</v>
      </c>
      <c r="AN35" s="2">
        <f t="shared" si="36"/>
        <v>37.307076266666677</v>
      </c>
      <c r="AO35" s="2">
        <f t="shared" si="36"/>
        <v>39.124326400000008</v>
      </c>
      <c r="AP35" s="2">
        <f t="shared" si="36"/>
        <v>40.941576533333347</v>
      </c>
    </row>
    <row r="36" spans="1:42" x14ac:dyDescent="0.25">
      <c r="A36" s="21">
        <f t="shared" si="9"/>
        <v>6.3E-2</v>
      </c>
      <c r="C36" s="2">
        <v>5</v>
      </c>
      <c r="D36">
        <v>-1</v>
      </c>
      <c r="E36" s="5" t="s">
        <v>49</v>
      </c>
      <c r="F36" s="2">
        <f t="shared" si="10"/>
        <v>12.563000000000001</v>
      </c>
      <c r="G36" s="2">
        <f t="shared" si="28"/>
        <v>9.6483840000000001</v>
      </c>
      <c r="H36" s="2">
        <f t="shared" si="29"/>
        <v>6.03024</v>
      </c>
      <c r="I36" s="2">
        <f t="shared" si="22"/>
        <v>17.588200000000001</v>
      </c>
      <c r="J36" s="2">
        <f t="shared" si="22"/>
        <v>1.50756</v>
      </c>
      <c r="K36" s="10">
        <f t="shared" si="23"/>
        <v>3.1944444444444446</v>
      </c>
      <c r="L36" s="10">
        <f t="shared" si="30"/>
        <v>8.3333333333333329E-2</v>
      </c>
      <c r="M36" s="10">
        <v>0</v>
      </c>
      <c r="N36" s="2">
        <f t="shared" si="24"/>
        <v>9.6483840000000001</v>
      </c>
      <c r="O36" s="2">
        <f t="shared" si="25"/>
        <v>38.387625365853658</v>
      </c>
      <c r="P36" s="2">
        <f t="shared" si="26"/>
        <v>63.979375609756097</v>
      </c>
      <c r="Q36" s="2">
        <f>(AVERAGE(VLOOKUP(E36,weapon_components!$A$8:$M$178,9,0),VLOOKUP(E36,weapon_components!$A$8:$M$178,10,0))+VLOOKUP(E36,weapon_components!$A$8:$M$178,11,0))/10</f>
        <v>4.3499999999999996</v>
      </c>
      <c r="R36" s="2">
        <f>VLOOKUP(E36,weapon_components!$A$8:$M$178,13,0)</f>
        <v>0.82</v>
      </c>
      <c r="S36" s="2">
        <f t="shared" si="31"/>
        <v>24</v>
      </c>
      <c r="T36" s="2">
        <v>0</v>
      </c>
      <c r="U36" s="14">
        <f>-INDEX('Ship Design Balancing'!$K$2:$K$6,'Weapon Formulas'!C36)*(INDEX('Weapon Formulas'!$R$1:$R$3,'Weapon Formulas'!D36+2)*(1+'Weapon Formulas'!B36))</f>
        <v>-53.333333333333329</v>
      </c>
      <c r="W36" s="14" t="s">
        <v>230</v>
      </c>
      <c r="X36" s="2">
        <f>($G27*(1-(X$26*(1-$K27))))/2</f>
        <v>7.2717083333333346</v>
      </c>
      <c r="Y36" s="2">
        <f t="shared" ref="Y36:AP36" si="37">($G27*(1-(Y$26*(1-$K27))))/2</f>
        <v>8.8214166666666678</v>
      </c>
      <c r="Z36" s="2">
        <f t="shared" si="37"/>
        <v>10.371125000000001</v>
      </c>
      <c r="AA36" s="2">
        <f t="shared" si="37"/>
        <v>11.920833333333334</v>
      </c>
      <c r="AB36" s="2">
        <f t="shared" si="37"/>
        <v>13.470541666666669</v>
      </c>
      <c r="AC36" s="2">
        <f t="shared" si="37"/>
        <v>15.020250000000001</v>
      </c>
      <c r="AD36" s="2">
        <f t="shared" si="37"/>
        <v>16.569958333333332</v>
      </c>
      <c r="AE36" s="2">
        <f t="shared" si="37"/>
        <v>18.119666666666667</v>
      </c>
      <c r="AF36" s="2">
        <f t="shared" si="37"/>
        <v>19.669375000000002</v>
      </c>
      <c r="AG36" s="2">
        <f t="shared" si="37"/>
        <v>21.219083333333334</v>
      </c>
      <c r="AH36" s="2">
        <f t="shared" si="37"/>
        <v>22.768791666666669</v>
      </c>
      <c r="AI36" s="2">
        <f t="shared" si="37"/>
        <v>24.3185</v>
      </c>
      <c r="AJ36" s="2">
        <f t="shared" si="37"/>
        <v>25.868208333333339</v>
      </c>
      <c r="AK36" s="2">
        <f t="shared" si="37"/>
        <v>27.417916666666674</v>
      </c>
      <c r="AL36" s="2">
        <f t="shared" si="37"/>
        <v>28.967625000000009</v>
      </c>
      <c r="AM36" s="2">
        <f t="shared" si="37"/>
        <v>30.517333333333344</v>
      </c>
      <c r="AN36" s="2">
        <f t="shared" si="37"/>
        <v>32.067041666666675</v>
      </c>
      <c r="AO36" s="2">
        <f t="shared" si="37"/>
        <v>33.61675000000001</v>
      </c>
      <c r="AP36" s="2">
        <f t="shared" si="37"/>
        <v>35.166458333333345</v>
      </c>
    </row>
    <row r="37" spans="1:42" x14ac:dyDescent="0.25">
      <c r="A37" s="21">
        <f t="shared" si="9"/>
        <v>4.4999999999999998E-2</v>
      </c>
      <c r="C37" s="2">
        <v>5</v>
      </c>
      <c r="D37">
        <v>0</v>
      </c>
      <c r="E37" s="5" t="s">
        <v>50</v>
      </c>
      <c r="F37" s="2">
        <f t="shared" si="10"/>
        <v>12.545</v>
      </c>
      <c r="G37" s="2">
        <f t="shared" si="28"/>
        <v>8.0288000000000004</v>
      </c>
      <c r="H37" s="2">
        <f t="shared" si="29"/>
        <v>5.0179999999999998</v>
      </c>
      <c r="I37" s="2">
        <f t="shared" si="22"/>
        <v>18.817499999999999</v>
      </c>
      <c r="J37" s="2">
        <f t="shared" si="22"/>
        <v>1.2544999999999999</v>
      </c>
      <c r="K37" s="10">
        <f t="shared" si="23"/>
        <v>4.5833333333333321</v>
      </c>
      <c r="L37" s="10">
        <f t="shared" si="30"/>
        <v>8.3333333333333329E-2</v>
      </c>
      <c r="M37" s="10">
        <v>0</v>
      </c>
      <c r="N37" s="2">
        <f t="shared" si="24"/>
        <v>8.0288000000000004</v>
      </c>
      <c r="O37" s="2">
        <f t="shared" si="25"/>
        <v>65.484899999999996</v>
      </c>
      <c r="P37" s="2">
        <f t="shared" si="26"/>
        <v>109.14149999999999</v>
      </c>
      <c r="Q37" s="2">
        <f>(AVERAGE(VLOOKUP(E37,weapon_components!$A$8:$M$178,9,0),VLOOKUP(E37,weapon_components!$A$8:$M$178,10,0))+VLOOKUP(E37,weapon_components!$A$8:$M$178,11,0))/10</f>
        <v>4.3499999999999996</v>
      </c>
      <c r="R37" s="2">
        <f>VLOOKUP(E37,weapon_components!$A$8:$M$178,13,0)</f>
        <v>0.8</v>
      </c>
      <c r="S37" s="2">
        <f t="shared" si="31"/>
        <v>30</v>
      </c>
      <c r="T37" s="2">
        <v>0</v>
      </c>
      <c r="U37" s="14">
        <f>-INDEX('Ship Design Balancing'!$K$2:$K$6,'Weapon Formulas'!C37)*(INDEX('Weapon Formulas'!$R$1:$R$3,'Weapon Formulas'!D37+2)*(1+'Weapon Formulas'!B37))</f>
        <v>-106.66666666666666</v>
      </c>
      <c r="W37" s="14" t="s">
        <v>231</v>
      </c>
      <c r="X37" s="2">
        <f>($G28*(1-(X$26*(1-$K28))))/2</f>
        <v>8.222203733333334</v>
      </c>
      <c r="Y37" s="2">
        <f t="shared" ref="Y37:AP37" si="38">($G28*(1-(Y$26*(1-$K28))))/2</f>
        <v>10.037495466666668</v>
      </c>
      <c r="Z37" s="2">
        <f t="shared" si="38"/>
        <v>11.852787200000002</v>
      </c>
      <c r="AA37" s="2">
        <f t="shared" si="38"/>
        <v>13.668078933333335</v>
      </c>
      <c r="AB37" s="2">
        <f t="shared" si="38"/>
        <v>15.483370666666669</v>
      </c>
      <c r="AC37" s="2">
        <f t="shared" si="38"/>
        <v>17.298662400000001</v>
      </c>
      <c r="AD37" s="2">
        <f t="shared" si="38"/>
        <v>19.113954133333333</v>
      </c>
      <c r="AE37" s="2">
        <f t="shared" si="38"/>
        <v>20.929245866666669</v>
      </c>
      <c r="AF37" s="2">
        <f t="shared" si="38"/>
        <v>22.744537600000001</v>
      </c>
      <c r="AG37" s="2">
        <f t="shared" si="38"/>
        <v>24.559829333333337</v>
      </c>
      <c r="AH37" s="2">
        <f t="shared" si="38"/>
        <v>26.375121066666669</v>
      </c>
      <c r="AI37" s="2">
        <f t="shared" si="38"/>
        <v>28.190412800000004</v>
      </c>
      <c r="AJ37" s="2">
        <f t="shared" si="38"/>
        <v>30.005704533333336</v>
      </c>
      <c r="AK37" s="2">
        <f t="shared" si="38"/>
        <v>31.820996266666675</v>
      </c>
      <c r="AL37" s="2">
        <f t="shared" si="38"/>
        <v>33.636288000000015</v>
      </c>
      <c r="AM37" s="2">
        <f t="shared" si="38"/>
        <v>35.451579733333347</v>
      </c>
      <c r="AN37" s="2">
        <f t="shared" si="38"/>
        <v>37.266871466666686</v>
      </c>
      <c r="AO37" s="2">
        <f t="shared" si="38"/>
        <v>39.082163200000018</v>
      </c>
      <c r="AP37" s="2">
        <f t="shared" si="38"/>
        <v>40.897454933333357</v>
      </c>
    </row>
    <row r="38" spans="1:42" x14ac:dyDescent="0.25">
      <c r="A38" s="21">
        <f t="shared" si="9"/>
        <v>2.7E-2</v>
      </c>
      <c r="C38" s="2">
        <v>5</v>
      </c>
      <c r="D38">
        <v>1</v>
      </c>
      <c r="E38" s="5" t="s">
        <v>51</v>
      </c>
      <c r="F38" s="2">
        <f t="shared" si="10"/>
        <v>12.526999999999999</v>
      </c>
      <c r="G38" s="2">
        <f t="shared" si="28"/>
        <v>6.4138239999999982</v>
      </c>
      <c r="H38" s="2">
        <f t="shared" si="29"/>
        <v>4.0086399999999989</v>
      </c>
      <c r="I38" s="2">
        <f t="shared" si="22"/>
        <v>20.043199999999999</v>
      </c>
      <c r="J38" s="2">
        <f t="shared" si="22"/>
        <v>1.0021599999999997</v>
      </c>
      <c r="K38" s="10">
        <f t="shared" si="23"/>
        <v>6.6666666666666687</v>
      </c>
      <c r="L38" s="10">
        <f t="shared" si="30"/>
        <v>8.3333333333333329E-2</v>
      </c>
      <c r="M38" s="10">
        <v>0</v>
      </c>
      <c r="N38" s="2">
        <f t="shared" si="24"/>
        <v>6.4138239999999982</v>
      </c>
      <c r="O38" s="2">
        <f t="shared" si="25"/>
        <v>111.60053759999997</v>
      </c>
      <c r="P38" s="2">
        <f t="shared" si="26"/>
        <v>186.00089599999993</v>
      </c>
      <c r="Q38" s="2">
        <f>(AVERAGE(VLOOKUP(E38,weapon_components!$A$8:$M$178,9,0),VLOOKUP(E38,weapon_components!$A$8:$M$178,10,0))+VLOOKUP(E38,weapon_components!$A$8:$M$178,11,0))/10</f>
        <v>4.3499999999999996</v>
      </c>
      <c r="R38" s="2">
        <f>VLOOKUP(E38,weapon_components!$A$8:$M$178,13,0)</f>
        <v>0.75</v>
      </c>
      <c r="S38" s="2">
        <f t="shared" si="31"/>
        <v>36</v>
      </c>
      <c r="T38" s="2">
        <v>0</v>
      </c>
      <c r="U38" s="14">
        <f>-INDEX('Ship Design Balancing'!$K$2:$K$6,'Weapon Formulas'!C38)*(INDEX('Weapon Formulas'!$R$1:$R$3,'Weapon Formulas'!D38+2)*(1+'Weapon Formulas'!B38))</f>
        <v>-213.33333333333331</v>
      </c>
      <c r="W38" s="2"/>
    </row>
    <row r="39" spans="1:42" x14ac:dyDescent="0.25">
      <c r="A39" s="21">
        <f t="shared" si="9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14"/>
      <c r="W39" s="2"/>
    </row>
    <row r="40" spans="1:42" x14ac:dyDescent="0.25">
      <c r="A40" s="21">
        <f t="shared" si="9"/>
        <v>2.7E-2</v>
      </c>
      <c r="B40" s="2">
        <v>1</v>
      </c>
      <c r="C40">
        <v>4</v>
      </c>
      <c r="D40">
        <v>1</v>
      </c>
      <c r="E40" s="5" t="s">
        <v>53</v>
      </c>
      <c r="F40" s="2">
        <f t="shared" si="10"/>
        <v>20.027000000000001</v>
      </c>
      <c r="G40" s="2">
        <f>IF(G$39=1,H40,H40/(1-INDEX($O$2:$O$6,C40)))</f>
        <v>42.915000000000006</v>
      </c>
      <c r="H40" s="2">
        <f>$F40*(INDEX($F$3:$F$5,H$39)+(($C40+($D40*$F$7))*INDEX($G$3:$G$5,H$39)))</f>
        <v>30.040500000000002</v>
      </c>
      <c r="I40" s="2">
        <f t="shared" ref="I40:J41" si="39">$F40*(INDEX($F$3:$F$5,I$39)+(($C40+($D40*$F$7))*INDEX($G$3:$G$5,I$39)))</f>
        <v>8.0107999999999997</v>
      </c>
      <c r="J40" s="2">
        <f t="shared" si="39"/>
        <v>2.0026999999999999</v>
      </c>
      <c r="K40" s="10">
        <f t="shared" si="23"/>
        <v>-1.7111111111111112</v>
      </c>
      <c r="L40" s="10">
        <f>(INDEX($Q$2:$Q$6,C40)/((1/INDEX($F$4:$F$6,J$39))-1))</f>
        <v>6.6666666666666666E-2</v>
      </c>
      <c r="M40" s="10">
        <v>0</v>
      </c>
      <c r="N40" s="2">
        <f>((AVERAGE(O40,P40)*R40)/Q40)/INDEX($R$1:$R$3,D40+2)</f>
        <v>42.915000000000006</v>
      </c>
      <c r="O40" s="2">
        <f>0.75*(((G40*INDEX($R$1:$R$3,$D40+2))*Q40)/R40)</f>
        <v>849.7170000000001</v>
      </c>
      <c r="P40" s="2">
        <f>1.25*(((G40*INDEX($R$1:$R$3,$D40+2))*Q40)/R40)</f>
        <v>1416.1950000000002</v>
      </c>
      <c r="Q40" s="2">
        <f>(AVERAGE(VLOOKUP(E40,weapon_components!$A$8:$M$178,9,0),VLOOKUP(E40,weapon_components!$A$8:$M$178,10,0))+VLOOKUP(E40,weapon_components!$A$8:$M$178,11,0))/10</f>
        <v>6.6</v>
      </c>
      <c r="R40" s="2">
        <f>VLOOKUP(E40,weapon_components!$A$8:$M$178,13,0)</f>
        <v>1</v>
      </c>
      <c r="S40" s="2">
        <f>$S$39*(1+(D40*$F$8))</f>
        <v>36</v>
      </c>
      <c r="T40" s="2">
        <v>0</v>
      </c>
      <c r="U40" s="14">
        <f>-INDEX('Ship Design Balancing'!$K$2:$K$6,'Weapon Formulas'!C40)*(INDEX('Weapon Formulas'!$R$1:$R$3,'Weapon Formulas'!D40+2)*(1+'Weapon Formulas'!B40))</f>
        <v>-213.33333333333331</v>
      </c>
      <c r="W40" s="2"/>
    </row>
    <row r="41" spans="1:42" x14ac:dyDescent="0.25">
      <c r="A41" s="21">
        <f t="shared" si="9"/>
        <v>2.7E-2</v>
      </c>
      <c r="B41" s="2">
        <v>1</v>
      </c>
      <c r="C41">
        <v>5</v>
      </c>
      <c r="D41">
        <v>1</v>
      </c>
      <c r="E41" s="5" t="s">
        <v>54</v>
      </c>
      <c r="F41" s="2">
        <f t="shared" si="10"/>
        <v>25.027000000000001</v>
      </c>
      <c r="G41" s="2">
        <f>IF(G$39=1,H41,H41/(1-INDEX($O$2:$O$6,C41)))</f>
        <v>64.069120000000012</v>
      </c>
      <c r="H41" s="2">
        <f>$F41*(INDEX($F$3:$F$5,H$39)+(($C41+($D41*$F$7))*INDEX($G$3:$G$5,H$39)))</f>
        <v>40.043200000000006</v>
      </c>
      <c r="I41" s="2">
        <f t="shared" si="39"/>
        <v>8.0086399999999998</v>
      </c>
      <c r="J41" s="2">
        <f t="shared" si="39"/>
        <v>2.0021599999999999</v>
      </c>
      <c r="K41" s="10">
        <f t="shared" si="23"/>
        <v>-1.3333333333333335</v>
      </c>
      <c r="L41" s="10">
        <f>(INDEX($Q$2:$Q$6,C41)/((1/INDEX($F$4:$F$6,J$39))-1))</f>
        <v>8.3333333333333329E-2</v>
      </c>
      <c r="M41" s="10">
        <v>0</v>
      </c>
      <c r="N41" s="2">
        <f>((AVERAGE(O41,P41)*R41)/Q41)/INDEX($R$1:$R$3,D41+2)</f>
        <v>64.069120000000012</v>
      </c>
      <c r="O41" s="2">
        <f>0.75*(((G41*INDEX($R$1:$R$3,$D41+2))*Q41)/R41)</f>
        <v>1268.5685760000001</v>
      </c>
      <c r="P41" s="2">
        <f>1.25*(((G41*INDEX($R$1:$R$3,$D41+2))*Q41)/R41)</f>
        <v>2114.2809600000005</v>
      </c>
      <c r="Q41" s="2">
        <f>(AVERAGE(VLOOKUP(E41,weapon_components!$A$8:$M$178,9,0),VLOOKUP(E41,weapon_components!$A$8:$M$178,10,0))+VLOOKUP(E41,weapon_components!$A$8:$M$178,11,0))/10</f>
        <v>6.6</v>
      </c>
      <c r="R41" s="2">
        <f>VLOOKUP(E41,weapon_components!$A$8:$M$178,13,0)</f>
        <v>1</v>
      </c>
      <c r="S41" s="2">
        <f>$S$39*(1+(D41*$F$8))</f>
        <v>36</v>
      </c>
      <c r="T41" s="2">
        <v>0</v>
      </c>
      <c r="U41" s="14">
        <f>-INDEX('Ship Design Balancing'!$K$2:$K$6,'Weapon Formulas'!C41)*(INDEX('Weapon Formulas'!$R$1:$R$3,'Weapon Formulas'!D41+2)*(1+'Weapon Formulas'!B41))</f>
        <v>-426.66666666666663</v>
      </c>
      <c r="W41" s="2"/>
    </row>
    <row r="42" spans="1:42" x14ac:dyDescent="0.25">
      <c r="A42" s="21">
        <f t="shared" si="9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14"/>
      <c r="W42" s="2"/>
    </row>
    <row r="43" spans="1:42" x14ac:dyDescent="0.25">
      <c r="A43" s="21">
        <f t="shared" si="9"/>
        <v>8.1000000000000003E-2</v>
      </c>
      <c r="C43" s="2">
        <v>3</v>
      </c>
      <c r="D43" s="2">
        <v>1</v>
      </c>
      <c r="E43" s="5" t="s">
        <v>56</v>
      </c>
      <c r="F43" s="2">
        <f t="shared" si="10"/>
        <v>7.5810000000000004</v>
      </c>
      <c r="G43" s="2">
        <f>IF(G$42=1,H43,H43/(1-INDEX($O$2:$O$6,C43)))</f>
        <v>4.6953290322580639</v>
      </c>
      <c r="H43" s="2">
        <f>$F43*(INDEX($F$3:$F$5,H$42)+(($C43+($D43*$F$7))*INDEX($G$3:$G$5,H$42)))</f>
        <v>3.6388799999999999</v>
      </c>
      <c r="I43" s="2">
        <f>$F43*(INDEX($F$3:$F$5,I$42)+(($C43+($D43*$F$7))*INDEX($G$3:$G$5,I$42)))</f>
        <v>0.90971999999999997</v>
      </c>
      <c r="J43" s="2">
        <f t="shared" ref="I43:J51" si="40">$F43*(INDEX($F$3:$F$5,J$42)+(($C43+($D43*$F$7))*INDEX($G$3:$G$5,J$42)))</f>
        <v>10.6134</v>
      </c>
      <c r="K43" s="10">
        <f>1-((1-(I43/G43))/INDEX($P$2:$P$6,C43))</f>
        <v>-2.5833333333333335</v>
      </c>
      <c r="L43" s="10">
        <f>(INDEX($Q$2:$Q$6,C43)/((1/INDEX($F$4:$F$6,J$42))-1))</f>
        <v>1.7999999999999998</v>
      </c>
      <c r="M43" s="10">
        <v>0</v>
      </c>
      <c r="N43" s="2">
        <f>((AVERAGE(O43,P43)*R43)/Q43)/INDEX($R$1:$R$3,D43)</f>
        <v>18.781316129032255</v>
      </c>
      <c r="O43" s="2">
        <f>0.75*(((G43*INDEX($R$1:$R$3,$D43+2))*Q43)/R43)</f>
        <v>61.84091896144767</v>
      </c>
      <c r="P43" s="2">
        <f>1.25*(((G43*INDEX($R$1:$R$3,$D43+2))*Q43)/R43)</f>
        <v>103.06819826907946</v>
      </c>
      <c r="Q43" s="2">
        <f>(AVERAGE(VLOOKUP(E43,weapon_components!$A$8:$M$178,9,0),VLOOKUP(E43,weapon_components!$A$8:$M$178,10,0))+VLOOKUP(E43,weapon_components!$A$8:$M$178,11,0))/10</f>
        <v>3.6</v>
      </c>
      <c r="R43" s="2">
        <f>VLOOKUP(E43,weapon_components!$A$8:$M$178,13,0)</f>
        <v>0.82</v>
      </c>
      <c r="S43" s="2">
        <f>$S$42*(1+(D43*$F$8))</f>
        <v>18</v>
      </c>
      <c r="T43" s="2">
        <v>0</v>
      </c>
      <c r="U43" s="14">
        <f>-INDEX('Ship Design Balancing'!$K$2:$K$6,'Weapon Formulas'!C43)*(INDEX('Weapon Formulas'!$R$1:$R$3,'Weapon Formulas'!D43)*(1+'Weapon Formulas'!B43))</f>
        <v>-13.333333333333332</v>
      </c>
      <c r="W43" s="2"/>
    </row>
    <row r="44" spans="1:42" x14ac:dyDescent="0.25">
      <c r="A44" s="21">
        <f t="shared" si="9"/>
        <v>7.2000000000000008E-2</v>
      </c>
      <c r="C44" s="2">
        <v>3</v>
      </c>
      <c r="D44" s="2">
        <v>2</v>
      </c>
      <c r="E44" s="5" t="s">
        <v>57</v>
      </c>
      <c r="F44" s="2">
        <f t="shared" si="10"/>
        <v>7.5720000000000001</v>
      </c>
      <c r="G44" s="2">
        <f t="shared" ref="G44:G51" si="41">IF(G$42=1,H44,H44/(1-INDEX($O$2:$O$6,C44)))</f>
        <v>3.9081290322580644</v>
      </c>
      <c r="H44" s="2">
        <f t="shared" ref="H44:H51" si="42">$F44*(INDEX($F$3:$F$5,H$42)+(($C44+($D44*$F$7))*INDEX($G$3:$G$5,H$42)))</f>
        <v>3.0287999999999999</v>
      </c>
      <c r="I44" s="2">
        <f t="shared" si="40"/>
        <v>0.75719999999999998</v>
      </c>
      <c r="J44" s="2">
        <f t="shared" si="40"/>
        <v>11.358000000000001</v>
      </c>
      <c r="K44" s="10">
        <f t="shared" si="23"/>
        <v>-2.5833333333333339</v>
      </c>
      <c r="L44" s="10">
        <f t="shared" ref="L44:L51" si="43">(INDEX($Q$2:$Q$6,C44)/((1/INDEX($F$4:$F$6,J$42))-1))</f>
        <v>1.7999999999999998</v>
      </c>
      <c r="M44" s="10">
        <v>0</v>
      </c>
      <c r="N44" s="2">
        <f t="shared" ref="N44:N51" si="44">((AVERAGE(O44,P44)*R44)/Q44)/INDEX($R$1:$R$3,D44)</f>
        <v>3.9081290322580644</v>
      </c>
      <c r="O44" s="2">
        <f>0.75*(((G44*INDEX($R$1:$R$3,$D44))*Q44)/R44)</f>
        <v>26.37987096774193</v>
      </c>
      <c r="P44" s="2">
        <f>1.25*(((G44*INDEX($R$1:$R$3,$D44))*Q44)/R44)</f>
        <v>43.966451612903221</v>
      </c>
      <c r="Q44" s="2">
        <f>(AVERAGE(VLOOKUP(E44,weapon_components!$A$8:$M$178,9,0),VLOOKUP(E44,weapon_components!$A$8:$M$178,10,0))+VLOOKUP(E44,weapon_components!$A$8:$M$178,11,0))/10</f>
        <v>3.6</v>
      </c>
      <c r="R44" s="2">
        <f>VLOOKUP(E44,weapon_components!$A$8:$M$178,13,0)</f>
        <v>0.8</v>
      </c>
      <c r="S44" s="2">
        <f t="shared" ref="S44:S51" si="45">$S$42*(1+(D44*$F$8))</f>
        <v>21</v>
      </c>
      <c r="T44" s="2">
        <v>0</v>
      </c>
      <c r="U44" s="14">
        <f>-INDEX('Ship Design Balancing'!$K$2:$K$6,'Weapon Formulas'!C44)*(INDEX('Weapon Formulas'!$R$1:$R$3,'Weapon Formulas'!D44)*(1+'Weapon Formulas'!B44))</f>
        <v>-26.666666666666664</v>
      </c>
      <c r="W44" s="2"/>
    </row>
    <row r="45" spans="1:42" x14ac:dyDescent="0.25">
      <c r="A45" s="21">
        <f t="shared" si="9"/>
        <v>6.3E-2</v>
      </c>
      <c r="C45" s="2">
        <v>3</v>
      </c>
      <c r="D45" s="2">
        <v>3</v>
      </c>
      <c r="E45" s="5" t="s">
        <v>58</v>
      </c>
      <c r="F45" s="2">
        <f t="shared" si="10"/>
        <v>7.5629999999999997</v>
      </c>
      <c r="G45" s="2">
        <f t="shared" si="41"/>
        <v>3.1227870967741929</v>
      </c>
      <c r="H45" s="2">
        <f t="shared" si="42"/>
        <v>2.4201599999999996</v>
      </c>
      <c r="I45" s="2">
        <f t="shared" si="40"/>
        <v>0.60503999999999991</v>
      </c>
      <c r="J45" s="2">
        <f t="shared" si="40"/>
        <v>12.1008</v>
      </c>
      <c r="K45" s="10">
        <f>1-((1-(I45/G45))/INDEX($P$2:$P$6,C45))</f>
        <v>-2.5833333333333339</v>
      </c>
      <c r="L45" s="10">
        <f t="shared" si="43"/>
        <v>1.7999999999999998</v>
      </c>
      <c r="M45" s="10">
        <v>0</v>
      </c>
      <c r="N45" s="2">
        <f t="shared" si="44"/>
        <v>3.1227870967741929</v>
      </c>
      <c r="O45" s="2">
        <f t="shared" ref="O45:O51" si="46">0.75*(((G45*INDEX($R$1:$R$3,$D45))*Q45)/R45)</f>
        <v>44.96813419354838</v>
      </c>
      <c r="P45" s="2">
        <f>1.25*(((G45*INDEX($R$1:$R$3,$D45))*Q45)/R45)</f>
        <v>74.946890322580629</v>
      </c>
      <c r="Q45" s="2">
        <f>(AVERAGE(VLOOKUP(E45,weapon_components!$A$8:$M$178,9,0),VLOOKUP(E45,weapon_components!$A$8:$M$178,10,0))+VLOOKUP(E45,weapon_components!$A$8:$M$178,11,0))/10</f>
        <v>3.6</v>
      </c>
      <c r="R45" s="2">
        <f>VLOOKUP(E45,weapon_components!$A$8:$M$178,13,0)</f>
        <v>0.75</v>
      </c>
      <c r="S45" s="2">
        <f t="shared" si="45"/>
        <v>24</v>
      </c>
      <c r="T45" s="2">
        <v>0</v>
      </c>
      <c r="U45" s="14">
        <f>-INDEX('Ship Design Balancing'!$K$2:$K$6,'Weapon Formulas'!C45)*(INDEX('Weapon Formulas'!$R$1:$R$3,'Weapon Formulas'!D45)*(1+'Weapon Formulas'!B45))</f>
        <v>-53.333333333333329</v>
      </c>
      <c r="W45" s="2"/>
    </row>
    <row r="46" spans="1:42" x14ac:dyDescent="0.25">
      <c r="A46" s="21">
        <f t="shared" si="9"/>
        <v>8.1000000000000003E-2</v>
      </c>
      <c r="C46" s="2">
        <v>4</v>
      </c>
      <c r="D46" s="2">
        <v>1</v>
      </c>
      <c r="E46" s="5" t="s">
        <v>59</v>
      </c>
      <c r="F46" s="2">
        <f t="shared" si="10"/>
        <v>10.081</v>
      </c>
      <c r="G46" s="2">
        <f t="shared" si="41"/>
        <v>5.7605714285714278</v>
      </c>
      <c r="H46" s="2">
        <f t="shared" si="42"/>
        <v>4.0323999999999991</v>
      </c>
      <c r="I46" s="2">
        <f t="shared" si="40"/>
        <v>1.0080999999999998</v>
      </c>
      <c r="J46" s="2">
        <f t="shared" si="40"/>
        <v>15.121499999999999</v>
      </c>
      <c r="K46" s="10">
        <f t="shared" si="23"/>
        <v>-1.75</v>
      </c>
      <c r="L46" s="10">
        <f t="shared" si="43"/>
        <v>2.4</v>
      </c>
      <c r="M46" s="10">
        <v>0</v>
      </c>
      <c r="N46" s="2">
        <f t="shared" si="44"/>
        <v>5.7605714285714278</v>
      </c>
      <c r="O46" s="2">
        <f t="shared" si="46"/>
        <v>18.96773519163763</v>
      </c>
      <c r="P46" s="2">
        <f t="shared" ref="P46:P51" si="47">1.25*(((G46*INDEX($R$1:$R$3,$D46))*Q46)/R46)</f>
        <v>31.612891986062714</v>
      </c>
      <c r="Q46" s="2">
        <f>(AVERAGE(VLOOKUP(E46,weapon_components!$A$8:$M$178,9,0),VLOOKUP(E46,weapon_components!$A$8:$M$178,10,0))+VLOOKUP(E46,weapon_components!$A$8:$M$178,11,0))/10</f>
        <v>3.6</v>
      </c>
      <c r="R46" s="2">
        <f>VLOOKUP(E46,weapon_components!$A$8:$M$178,13,0)</f>
        <v>0.82</v>
      </c>
      <c r="S46" s="2">
        <f t="shared" si="45"/>
        <v>18</v>
      </c>
      <c r="T46" s="2">
        <v>0</v>
      </c>
      <c r="U46" s="14">
        <f>-INDEX('Ship Design Balancing'!$K$2:$K$6,'Weapon Formulas'!C46)*(INDEX('Weapon Formulas'!$R$1:$R$3,'Weapon Formulas'!D46)*(1+'Weapon Formulas'!B46))</f>
        <v>-26.666666666666664</v>
      </c>
      <c r="W46" s="2"/>
    </row>
    <row r="47" spans="1:42" x14ac:dyDescent="0.25">
      <c r="A47" s="21">
        <f t="shared" si="9"/>
        <v>7.2000000000000008E-2</v>
      </c>
      <c r="C47" s="2">
        <v>4</v>
      </c>
      <c r="D47" s="2">
        <v>2</v>
      </c>
      <c r="E47" s="5" t="s">
        <v>60</v>
      </c>
      <c r="F47" s="2">
        <f t="shared" si="10"/>
        <v>10.071999999999999</v>
      </c>
      <c r="G47" s="2">
        <f t="shared" si="41"/>
        <v>4.6043428571428562</v>
      </c>
      <c r="H47" s="2">
        <f t="shared" si="42"/>
        <v>3.2230399999999992</v>
      </c>
      <c r="I47" s="2">
        <f t="shared" si="40"/>
        <v>0.80575999999999981</v>
      </c>
      <c r="J47" s="2">
        <f t="shared" si="40"/>
        <v>16.115199999999998</v>
      </c>
      <c r="K47" s="10">
        <f t="shared" si="23"/>
        <v>-1.75</v>
      </c>
      <c r="L47" s="10">
        <f t="shared" si="43"/>
        <v>2.4</v>
      </c>
      <c r="M47" s="10">
        <v>0</v>
      </c>
      <c r="N47" s="2">
        <f t="shared" si="44"/>
        <v>4.6043428571428562</v>
      </c>
      <c r="O47" s="2">
        <f t="shared" si="46"/>
        <v>31.079314285714275</v>
      </c>
      <c r="P47" s="2">
        <f t="shared" si="47"/>
        <v>51.79885714285713</v>
      </c>
      <c r="Q47" s="2">
        <f>(AVERAGE(VLOOKUP(E47,weapon_components!$A$8:$M$178,9,0),VLOOKUP(E47,weapon_components!$A$8:$M$178,10,0))+VLOOKUP(E47,weapon_components!$A$8:$M$178,11,0))/10</f>
        <v>3.6</v>
      </c>
      <c r="R47" s="2">
        <f>VLOOKUP(E47,weapon_components!$A$8:$M$178,13,0)</f>
        <v>0.8</v>
      </c>
      <c r="S47" s="2">
        <f t="shared" si="45"/>
        <v>21</v>
      </c>
      <c r="T47" s="2">
        <v>0</v>
      </c>
      <c r="U47" s="14">
        <f>-INDEX('Ship Design Balancing'!$K$2:$K$6,'Weapon Formulas'!C47)*(INDEX('Weapon Formulas'!$R$1:$R$3,'Weapon Formulas'!D47)*(1+'Weapon Formulas'!B47))</f>
        <v>-53.333333333333329</v>
      </c>
      <c r="W47" s="14"/>
    </row>
    <row r="48" spans="1:42" x14ac:dyDescent="0.25">
      <c r="A48" s="21">
        <f t="shared" si="9"/>
        <v>6.3E-2</v>
      </c>
      <c r="C48" s="2">
        <v>4</v>
      </c>
      <c r="D48" s="2">
        <v>3</v>
      </c>
      <c r="E48" s="5" t="s">
        <v>61</v>
      </c>
      <c r="F48" s="2">
        <f t="shared" si="10"/>
        <v>10.063000000000001</v>
      </c>
      <c r="G48" s="2">
        <f t="shared" si="41"/>
        <v>3.4501714285714287</v>
      </c>
      <c r="H48" s="2">
        <f t="shared" si="42"/>
        <v>2.4151199999999999</v>
      </c>
      <c r="I48" s="2">
        <f t="shared" si="40"/>
        <v>0.60377999999999998</v>
      </c>
      <c r="J48" s="2">
        <f t="shared" si="40"/>
        <v>17.107100000000003</v>
      </c>
      <c r="K48" s="10">
        <f t="shared" si="23"/>
        <v>-1.75</v>
      </c>
      <c r="L48" s="10">
        <f t="shared" si="43"/>
        <v>2.4</v>
      </c>
      <c r="M48" s="10">
        <v>0</v>
      </c>
      <c r="N48" s="2">
        <f t="shared" si="44"/>
        <v>3.4501714285714287</v>
      </c>
      <c r="O48" s="2">
        <f t="shared" si="46"/>
        <v>49.682468571428572</v>
      </c>
      <c r="P48" s="2">
        <f t="shared" si="47"/>
        <v>82.804114285714277</v>
      </c>
      <c r="Q48" s="2">
        <f>(AVERAGE(VLOOKUP(E48,weapon_components!$A$8:$M$178,9,0),VLOOKUP(E48,weapon_components!$A$8:$M$178,10,0))+VLOOKUP(E48,weapon_components!$A$8:$M$178,11,0))/10</f>
        <v>3.6</v>
      </c>
      <c r="R48" s="2">
        <f>VLOOKUP(E48,weapon_components!$A$8:$M$178,13,0)</f>
        <v>0.75</v>
      </c>
      <c r="S48" s="2">
        <f t="shared" si="45"/>
        <v>24</v>
      </c>
      <c r="T48" s="2">
        <v>0</v>
      </c>
      <c r="U48" s="14">
        <f>-INDEX('Ship Design Balancing'!$K$2:$K$6,'Weapon Formulas'!C48)*(INDEX('Weapon Formulas'!$R$1:$R$3,'Weapon Formulas'!D48)*(1+'Weapon Formulas'!B48))</f>
        <v>-106.66666666666666</v>
      </c>
    </row>
    <row r="49" spans="1:24" x14ac:dyDescent="0.25">
      <c r="A49" s="21">
        <f t="shared" si="9"/>
        <v>8.1000000000000003E-2</v>
      </c>
      <c r="C49" s="2">
        <v>5</v>
      </c>
      <c r="D49" s="2">
        <v>1</v>
      </c>
      <c r="E49" s="5" t="s">
        <v>62</v>
      </c>
      <c r="F49" s="2">
        <f t="shared" si="10"/>
        <v>12.581</v>
      </c>
      <c r="G49" s="2">
        <f t="shared" si="41"/>
        <v>6.4414719999999992</v>
      </c>
      <c r="H49" s="2">
        <f t="shared" si="42"/>
        <v>4.0259199999999993</v>
      </c>
      <c r="I49" s="2">
        <f t="shared" si="40"/>
        <v>1.0064799999999998</v>
      </c>
      <c r="J49" s="2">
        <f t="shared" si="40"/>
        <v>20.1296</v>
      </c>
      <c r="K49" s="10">
        <f t="shared" si="23"/>
        <v>-1.25</v>
      </c>
      <c r="L49" s="10">
        <f t="shared" si="43"/>
        <v>3</v>
      </c>
      <c r="M49" s="10">
        <v>0</v>
      </c>
      <c r="N49" s="2">
        <f t="shared" si="44"/>
        <v>6.4414719999999992</v>
      </c>
      <c r="O49" s="2">
        <f t="shared" si="46"/>
        <v>21.209724878048782</v>
      </c>
      <c r="P49" s="2">
        <f t="shared" si="47"/>
        <v>35.349541463414631</v>
      </c>
      <c r="Q49" s="2">
        <f>(AVERAGE(VLOOKUP(E49,weapon_components!$A$8:$M$178,9,0),VLOOKUP(E49,weapon_components!$A$8:$M$178,10,0))+VLOOKUP(E49,weapon_components!$A$8:$M$178,11,0))/10</f>
        <v>3.6</v>
      </c>
      <c r="R49" s="2">
        <f>VLOOKUP(E49,weapon_components!$A$8:$M$178,13,0)</f>
        <v>0.82</v>
      </c>
      <c r="S49" s="2">
        <f t="shared" si="45"/>
        <v>18</v>
      </c>
      <c r="T49" s="2">
        <v>0</v>
      </c>
      <c r="U49" s="14">
        <f>-INDEX('Ship Design Balancing'!$K$2:$K$6,'Weapon Formulas'!C49)*(INDEX('Weapon Formulas'!$R$1:$R$3,'Weapon Formulas'!D49)*(1+'Weapon Formulas'!B49))</f>
        <v>-53.333333333333329</v>
      </c>
    </row>
    <row r="50" spans="1:24" x14ac:dyDescent="0.25">
      <c r="A50" s="21">
        <f t="shared" si="9"/>
        <v>7.2000000000000008E-2</v>
      </c>
      <c r="C50" s="2">
        <v>5</v>
      </c>
      <c r="D50" s="2">
        <v>2</v>
      </c>
      <c r="E50" s="5" t="s">
        <v>63</v>
      </c>
      <c r="F50" s="2">
        <f t="shared" si="10"/>
        <v>12.571999999999999</v>
      </c>
      <c r="G50" s="2">
        <f t="shared" si="41"/>
        <v>4.8276479999999991</v>
      </c>
      <c r="H50" s="2">
        <f t="shared" si="42"/>
        <v>3.0172799999999995</v>
      </c>
      <c r="I50" s="2">
        <f t="shared" si="40"/>
        <v>0.75431999999999988</v>
      </c>
      <c r="J50" s="2">
        <f t="shared" si="40"/>
        <v>21.372400000000003</v>
      </c>
      <c r="K50" s="10">
        <f t="shared" si="23"/>
        <v>-1.25</v>
      </c>
      <c r="L50" s="10">
        <f t="shared" si="43"/>
        <v>3</v>
      </c>
      <c r="M50" s="10">
        <v>0</v>
      </c>
      <c r="N50" s="2">
        <f t="shared" si="44"/>
        <v>4.8276479999999991</v>
      </c>
      <c r="O50" s="2">
        <f t="shared" si="46"/>
        <v>32.586623999999993</v>
      </c>
      <c r="P50" s="2">
        <f t="shared" si="47"/>
        <v>54.311039999999984</v>
      </c>
      <c r="Q50" s="2">
        <f>(AVERAGE(VLOOKUP(E50,weapon_components!$A$8:$M$178,9,0),VLOOKUP(E50,weapon_components!$A$8:$M$178,10,0))+VLOOKUP(E50,weapon_components!$A$8:$M$178,11,0))/10</f>
        <v>3.6</v>
      </c>
      <c r="R50" s="2">
        <f>VLOOKUP(E50,weapon_components!$A$8:$M$178,13,0)</f>
        <v>0.8</v>
      </c>
      <c r="S50" s="2">
        <f t="shared" si="45"/>
        <v>21</v>
      </c>
      <c r="T50" s="2">
        <v>0</v>
      </c>
      <c r="U50" s="14">
        <f>-INDEX('Ship Design Balancing'!$K$2:$K$6,'Weapon Formulas'!C50)*(INDEX('Weapon Formulas'!$R$1:$R$3,'Weapon Formulas'!D50)*(1+'Weapon Formulas'!B50))</f>
        <v>-106.66666666666666</v>
      </c>
    </row>
    <row r="51" spans="1:24" x14ac:dyDescent="0.25">
      <c r="A51" s="21">
        <f t="shared" si="9"/>
        <v>6.3E-2</v>
      </c>
      <c r="C51" s="2">
        <v>5</v>
      </c>
      <c r="D51" s="2">
        <v>3</v>
      </c>
      <c r="E51" s="5" t="s">
        <v>64</v>
      </c>
      <c r="F51" s="2">
        <f t="shared" si="10"/>
        <v>12.563000000000001</v>
      </c>
      <c r="G51" s="2">
        <f t="shared" si="41"/>
        <v>3.2161279999999985</v>
      </c>
      <c r="H51" s="2">
        <f t="shared" si="42"/>
        <v>2.010079999999999</v>
      </c>
      <c r="I51" s="2">
        <f t="shared" si="40"/>
        <v>0.50251999999999974</v>
      </c>
      <c r="J51" s="2">
        <f t="shared" si="40"/>
        <v>22.613400000000002</v>
      </c>
      <c r="K51" s="10">
        <f>1-((1-(I51/G51))/INDEX($P$2:$P$6,C51))</f>
        <v>-1.25</v>
      </c>
      <c r="L51" s="10">
        <f t="shared" si="43"/>
        <v>3</v>
      </c>
      <c r="M51" s="10">
        <v>0</v>
      </c>
      <c r="N51" s="2">
        <f t="shared" si="44"/>
        <v>3.2161279999999985</v>
      </c>
      <c r="O51" s="2">
        <f t="shared" si="46"/>
        <v>46.312243199999983</v>
      </c>
      <c r="P51" s="2">
        <f t="shared" si="47"/>
        <v>77.187071999999972</v>
      </c>
      <c r="Q51" s="2">
        <f>(AVERAGE(VLOOKUP(E51,weapon_components!$A$8:$M$178,9,0),VLOOKUP(E51,weapon_components!$A$8:$M$178,10,0))+VLOOKUP(E51,weapon_components!$A$8:$M$178,11,0))/10</f>
        <v>3.6</v>
      </c>
      <c r="R51" s="2">
        <f>VLOOKUP(E51,weapon_components!$A$8:$M$178,13,0)</f>
        <v>0.75</v>
      </c>
      <c r="S51" s="2">
        <f t="shared" si="45"/>
        <v>24</v>
      </c>
      <c r="T51" s="2">
        <v>0</v>
      </c>
      <c r="U51" s="14">
        <f>-INDEX('Ship Design Balancing'!$K$2:$K$6,'Weapon Formulas'!C51)*(INDEX('Weapon Formulas'!$R$1:$R$3,'Weapon Formulas'!D51)*(1+'Weapon Formulas'!B51))</f>
        <v>-213.33333333333331</v>
      </c>
    </row>
    <row r="52" spans="1:24" x14ac:dyDescent="0.25">
      <c r="A52" s="21">
        <f t="shared" si="9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14"/>
    </row>
    <row r="53" spans="1:24" x14ac:dyDescent="0.25">
      <c r="A53" s="21">
        <f t="shared" si="9"/>
        <v>-8.1000000000000003E-2</v>
      </c>
      <c r="B53" s="2">
        <v>1</v>
      </c>
      <c r="C53">
        <v>4</v>
      </c>
      <c r="D53">
        <v>1</v>
      </c>
      <c r="E53" s="5" t="s">
        <v>66</v>
      </c>
      <c r="F53" s="2">
        <f t="shared" si="10"/>
        <v>19.919</v>
      </c>
      <c r="G53" s="2">
        <f>IF(G$52=1,H53,H53/(1-INDEX($O$2:$O$6,C53)))</f>
        <v>29.878500000000003</v>
      </c>
      <c r="H53" s="2">
        <f>$F53*(INDEX($F$3:$F$5,H$9)+(($C53+($D53*$F$7))*INDEX($G$3:$G$5,H$9)))</f>
        <v>29.878500000000003</v>
      </c>
      <c r="I53" s="2">
        <f>$F53*(INDEX($F$3:$F$5,I$9)+(($C53+($D53*$F$7))*INDEX($G$3:$G$5,I$9)))</f>
        <v>7.9675999999999991</v>
      </c>
      <c r="J53" s="2">
        <f>$F53*(INDEX($F$3:$F$5,J$9)+(($C53+($D53*$F$7))*INDEX($G$3:$G$5,J$9)))</f>
        <v>1.9918999999999998</v>
      </c>
      <c r="K53" s="10">
        <f>1-((1-(I53/G53))/INDEX($P$2:$P$6,C53))</f>
        <v>-1.4444444444444446</v>
      </c>
      <c r="L53" s="10">
        <f>(INDEX($Q$2:$Q$6,C53)/((1/INDEX($F$4:$F$6,J$52))-1))</f>
        <v>6.6666666666666666E-2</v>
      </c>
      <c r="M53" s="10">
        <v>0</v>
      </c>
      <c r="N53" s="2">
        <f t="shared" ref="N53:N89" si="48">(AVERAGE(O53,P53)*R53)/Q53</f>
        <v>119.51400000000001</v>
      </c>
      <c r="O53" s="2">
        <f>0.75*(((G53*INDEX($R$1:$R$3,$D53+2))*Q53)/R53)</f>
        <v>636.88381578947372</v>
      </c>
      <c r="P53" s="2">
        <f>1.25*(((G53*INDEX($R$1:$R$3,$D53+2))*Q53)/R53)</f>
        <v>1061.4730263157894</v>
      </c>
      <c r="Q53" s="2">
        <f>(AVERAGE(VLOOKUP(E53,weapon_components!$A$8:$M$178,9,0),VLOOKUP(E53,weapon_components!$A$8:$M$178,10,0))+VLOOKUP(E53,weapon_components!$A$8:$M$178,11,0))/10</f>
        <v>6.75</v>
      </c>
      <c r="R53" s="2">
        <f>VLOOKUP(E53,weapon_components!$A$8:$M$178,13,0)</f>
        <v>0.95</v>
      </c>
      <c r="S53" s="2">
        <f>$S$52*(1+(D53*$F$8))</f>
        <v>72</v>
      </c>
      <c r="T53" s="2">
        <f>INDEX($T$2:$T$6,C53)</f>
        <v>7.5</v>
      </c>
      <c r="U53" s="14">
        <f>-INDEX('Ship Design Balancing'!$K$2:$K$6,'Weapon Formulas'!C53)*(INDEX('Weapon Formulas'!$R$1:$R$3,'Weapon Formulas'!D53+2)*(1+'Weapon Formulas'!B53))</f>
        <v>-213.33333333333331</v>
      </c>
    </row>
    <row r="54" spans="1:24" x14ac:dyDescent="0.25">
      <c r="A54" s="21">
        <f t="shared" si="9"/>
        <v>-8.1000000000000003E-2</v>
      </c>
      <c r="B54" s="2">
        <v>1</v>
      </c>
      <c r="C54">
        <v>5</v>
      </c>
      <c r="D54">
        <v>1</v>
      </c>
      <c r="E54" s="5" t="s">
        <v>67</v>
      </c>
      <c r="F54" s="2">
        <f t="shared" si="10"/>
        <v>24.919</v>
      </c>
      <c r="G54" s="2">
        <f>IF(G$52=1,H54,H54/(1-INDEX($O$2:$O$6,C54)))</f>
        <v>39.870400000000004</v>
      </c>
      <c r="H54" s="2">
        <f t="shared" ref="H54:J75" si="49">$F54*(INDEX($F$3:$F$5,H$9)+(($C54+($D54*$F$7))*INDEX($G$3:$G$5,H$9)))</f>
        <v>39.870400000000004</v>
      </c>
      <c r="I54" s="2">
        <f t="shared" si="49"/>
        <v>7.9740799999999989</v>
      </c>
      <c r="J54" s="2">
        <f t="shared" si="49"/>
        <v>1.9935199999999997</v>
      </c>
      <c r="K54" s="10">
        <f>1-((1-(I54/G54))/INDEX($P$2:$P$6,C54))</f>
        <v>-1.1333333333333333</v>
      </c>
      <c r="L54" s="10">
        <f>(INDEX($Q$2:$Q$6,C54)/((1/INDEX($F$4:$F$6,J$52))-1))</f>
        <v>8.3333333333333329E-2</v>
      </c>
      <c r="M54" s="10">
        <v>0</v>
      </c>
      <c r="N54" s="2">
        <f t="shared" si="48"/>
        <v>159.48160000000001</v>
      </c>
      <c r="O54" s="2">
        <f>0.75*(((G54*INDEX($R$1:$R$3,$D54+2))*Q54)/R54)</f>
        <v>849.86905263157905</v>
      </c>
      <c r="P54" s="2">
        <f>1.25*(((G54*INDEX($R$1:$R$3,$D54+2))*Q54)/R54)</f>
        <v>1416.4484210526316</v>
      </c>
      <c r="Q54" s="2">
        <f>(AVERAGE(VLOOKUP(E54,weapon_components!$A$8:$M$178,9,0),VLOOKUP(E54,weapon_components!$A$8:$M$178,10,0))+VLOOKUP(E54,weapon_components!$A$8:$M$178,11,0))/10</f>
        <v>6.75</v>
      </c>
      <c r="R54" s="2">
        <f>VLOOKUP(E54,weapon_components!$A$8:$M$178,13,0)</f>
        <v>0.95</v>
      </c>
      <c r="S54" s="2">
        <f>$S$52*(1+(D54*$F$8))</f>
        <v>72</v>
      </c>
      <c r="T54" s="2">
        <f>INDEX($T$2:$T$6,C54)</f>
        <v>10</v>
      </c>
      <c r="U54" s="14">
        <f>-INDEX('Ship Design Balancing'!$K$2:$K$6,'Weapon Formulas'!C54)*(INDEX('Weapon Formulas'!$R$1:$R$3,'Weapon Formulas'!D54+2)*(1+'Weapon Formulas'!B54))</f>
        <v>-426.66666666666663</v>
      </c>
    </row>
    <row r="55" spans="1:24" x14ac:dyDescent="0.25">
      <c r="A55" s="21">
        <f t="shared" si="9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14"/>
    </row>
    <row r="56" spans="1:24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10"/>
        <v>2.5270000000000001</v>
      </c>
      <c r="G56" s="2">
        <f>IF(G$55=1,H56,H56/(1-INDEX($O$2:$O$6,C56)))</f>
        <v>2.1855135135135138</v>
      </c>
      <c r="H56" s="2">
        <f>$F56*(0.68-(0.12*$D56))</f>
        <v>2.0216000000000003</v>
      </c>
      <c r="I56" s="2">
        <f>$F56*(0.32+(0.12*D56))</f>
        <v>0.50540000000000007</v>
      </c>
      <c r="J56" s="2">
        <f>F56</f>
        <v>2.5270000000000001</v>
      </c>
      <c r="K56" s="10">
        <f t="shared" ref="K56:K70" si="50">1-((1-(I56/G56))/INDEX($P$2:$P$6,C56))</f>
        <v>-9.2500000000000018</v>
      </c>
      <c r="L56" s="10">
        <v>0</v>
      </c>
      <c r="M56" s="10">
        <v>1</v>
      </c>
      <c r="N56" s="2">
        <f t="shared" si="48"/>
        <v>2.1855135135135138</v>
      </c>
      <c r="O56" s="2">
        <f t="shared" ref="O56:O70" si="51">0.75*(((G56*INDEX($R$1:$R$3,$D56+2))*Q56)/R56)</f>
        <v>8.0878378378378386</v>
      </c>
      <c r="P56" s="2">
        <f t="shared" ref="P56:P70" si="52">1.25*(((G56*INDEX($R$1:$R$3,$D56+2))*Q56)/R56)</f>
        <v>13.479729729729733</v>
      </c>
      <c r="Q56" s="2">
        <f>(AVERAGE(VLOOKUP(E56,weapon_components!$A$8:$M$178,9,0),VLOOKUP(E56,weapon_components!$A$8:$M$178,10,0))+VLOOKUP(E56,weapon_components!$A$8:$M$178,11,0))/10</f>
        <v>3.75</v>
      </c>
      <c r="R56" s="2">
        <f>VLOOKUP(E56,weapon_components!$A$8:$M$178,13,0)</f>
        <v>0.76</v>
      </c>
      <c r="S56" s="2">
        <f>$S$55*(1+(D56*$F$8))</f>
        <v>36</v>
      </c>
      <c r="T56" s="2">
        <v>0</v>
      </c>
      <c r="U56" s="14">
        <f>-INDEX('Ship Design Balancing'!$K$2:$K$6,'Weapon Formulas'!C56)*(INDEX('Weapon Formulas'!$R$1:$R$3,'Weapon Formulas'!D56+2)*(1+'Weapon Formulas'!B56))</f>
        <v>-3.333333333333333</v>
      </c>
    </row>
    <row r="57" spans="1:24" x14ac:dyDescent="0.25">
      <c r="A57" s="21">
        <f t="shared" si="9"/>
        <v>0</v>
      </c>
      <c r="C57" s="2">
        <v>1</v>
      </c>
      <c r="D57" s="2">
        <v>0</v>
      </c>
      <c r="E57" s="16" t="s">
        <v>70</v>
      </c>
      <c r="F57" s="2">
        <f t="shared" si="10"/>
        <v>2.5</v>
      </c>
      <c r="G57" s="2">
        <f t="shared" ref="G57:G70" si="53">IF(G$55=1,H57,H57/(1-INDEX($O$2:$O$6,C57)))</f>
        <v>1.8378378378378379</v>
      </c>
      <c r="H57" s="2">
        <f>$F57*(0.68-(0.12*$D57))</f>
        <v>1.7000000000000002</v>
      </c>
      <c r="I57" s="2">
        <f t="shared" ref="I57:I70" si="54">$F57*(0.32+(0.12*D57))</f>
        <v>0.8</v>
      </c>
      <c r="J57" s="2">
        <f t="shared" ref="J57:J70" si="55">F57</f>
        <v>2.5</v>
      </c>
      <c r="K57" s="10">
        <f t="shared" si="50"/>
        <v>-6.5294117647058822</v>
      </c>
      <c r="L57" s="10">
        <v>0</v>
      </c>
      <c r="M57" s="10">
        <v>1</v>
      </c>
      <c r="N57" s="2">
        <f t="shared" si="48"/>
        <v>3.6756756756756759</v>
      </c>
      <c r="O57" s="2">
        <f t="shared" si="51"/>
        <v>14.358108108108109</v>
      </c>
      <c r="P57" s="2">
        <f t="shared" si="52"/>
        <v>23.930180180180184</v>
      </c>
      <c r="Q57" s="2">
        <f>(AVERAGE(VLOOKUP(E57,weapon_components!$A$8:$M$178,9,0),VLOOKUP(E57,weapon_components!$A$8:$M$178,10,0))+VLOOKUP(E57,weapon_components!$A$8:$M$178,11,0))/10</f>
        <v>3.75</v>
      </c>
      <c r="R57" s="2">
        <f>VLOOKUP(E57,weapon_components!$A$8:$M$178,13,0)</f>
        <v>0.72</v>
      </c>
      <c r="S57" s="2">
        <f t="shared" ref="S57:S70" si="56">$S$55*(1+(D57*$F$8))</f>
        <v>45</v>
      </c>
      <c r="T57" s="2">
        <v>0</v>
      </c>
      <c r="U57" s="14">
        <f>-INDEX('Ship Design Balancing'!$K$2:$K$6,'Weapon Formulas'!C57)*(INDEX('Weapon Formulas'!$R$1:$R$3,'Weapon Formulas'!D57+2)*(1+'Weapon Formulas'!B57))</f>
        <v>-6.6666666666666661</v>
      </c>
    </row>
    <row r="58" spans="1:24" x14ac:dyDescent="0.25">
      <c r="A58" s="21">
        <f t="shared" si="9"/>
        <v>-2.7E-2</v>
      </c>
      <c r="C58" s="2">
        <v>1</v>
      </c>
      <c r="D58" s="2">
        <v>1</v>
      </c>
      <c r="E58" s="16" t="s">
        <v>71</v>
      </c>
      <c r="F58" s="2">
        <f t="shared" si="10"/>
        <v>2.4729999999999999</v>
      </c>
      <c r="G58" s="2">
        <f t="shared" si="53"/>
        <v>1.4971675675675675</v>
      </c>
      <c r="H58" s="2">
        <f t="shared" ref="H58:H70" si="57">$F58*(0.68-(0.12*$D58))</f>
        <v>1.3848800000000001</v>
      </c>
      <c r="I58" s="2">
        <f t="shared" si="54"/>
        <v>1.08812</v>
      </c>
      <c r="J58" s="2">
        <f t="shared" si="55"/>
        <v>2.4729999999999999</v>
      </c>
      <c r="K58" s="10">
        <f t="shared" si="50"/>
        <v>-2.6428571428571432</v>
      </c>
      <c r="L58" s="10">
        <v>0</v>
      </c>
      <c r="M58" s="10">
        <v>1</v>
      </c>
      <c r="N58" s="2">
        <f t="shared" si="48"/>
        <v>5.9886702702702701</v>
      </c>
      <c r="O58" s="2">
        <f t="shared" si="51"/>
        <v>25.139007664380795</v>
      </c>
      <c r="P58" s="2">
        <f t="shared" si="52"/>
        <v>41.898346107301322</v>
      </c>
      <c r="Q58" s="2">
        <f>(AVERAGE(VLOOKUP(E58,weapon_components!$A$8:$M$178,9,0),VLOOKUP(E58,weapon_components!$A$8:$M$178,10,0))+VLOOKUP(E58,weapon_components!$A$8:$M$178,11,0))/10</f>
        <v>3.75</v>
      </c>
      <c r="R58" s="2">
        <f>VLOOKUP(E58,weapon_components!$A$8:$M$178,13,0)</f>
        <v>0.67</v>
      </c>
      <c r="S58" s="2">
        <f t="shared" si="56"/>
        <v>54</v>
      </c>
      <c r="T58" s="2">
        <v>0</v>
      </c>
      <c r="U58" s="14">
        <f>-INDEX('Ship Design Balancing'!$K$2:$K$6,'Weapon Formulas'!C58)*(INDEX('Weapon Formulas'!$R$1:$R$3,'Weapon Formulas'!D58+2)*(1+'Weapon Formulas'!B58))</f>
        <v>-13.333333333333332</v>
      </c>
    </row>
    <row r="59" spans="1:24" x14ac:dyDescent="0.25">
      <c r="A59" s="21">
        <f t="shared" si="9"/>
        <v>2.7E-2</v>
      </c>
      <c r="C59" s="2">
        <v>2</v>
      </c>
      <c r="D59" s="2">
        <v>-1</v>
      </c>
      <c r="E59" s="16" t="s">
        <v>72</v>
      </c>
      <c r="F59" s="2">
        <f t="shared" si="10"/>
        <v>5.0270000000000001</v>
      </c>
      <c r="G59" s="2">
        <f t="shared" si="53"/>
        <v>4.7312941176470593</v>
      </c>
      <c r="H59" s="2">
        <f t="shared" si="57"/>
        <v>4.0216000000000003</v>
      </c>
      <c r="I59" s="2">
        <f t="shared" si="54"/>
        <v>1.0054000000000001</v>
      </c>
      <c r="J59" s="2">
        <f t="shared" si="55"/>
        <v>5.0270000000000001</v>
      </c>
      <c r="K59" s="10">
        <f t="shared" si="50"/>
        <v>-4.25</v>
      </c>
      <c r="L59" s="10">
        <v>0</v>
      </c>
      <c r="M59" s="10">
        <v>1</v>
      </c>
      <c r="N59" s="2">
        <f t="shared" si="48"/>
        <v>4.7312941176470593</v>
      </c>
      <c r="O59" s="2">
        <f t="shared" si="51"/>
        <v>17.508900928792571</v>
      </c>
      <c r="P59" s="2">
        <f t="shared" si="52"/>
        <v>29.181501547987622</v>
      </c>
      <c r="Q59" s="2">
        <f>(AVERAGE(VLOOKUP(E59,weapon_components!$A$8:$M$178,9,0),VLOOKUP(E59,weapon_components!$A$8:$M$178,10,0))+VLOOKUP(E59,weapon_components!$A$8:$M$178,11,0))/10</f>
        <v>3.75</v>
      </c>
      <c r="R59" s="2">
        <f>VLOOKUP(E59,weapon_components!$A$8:$M$178,13,0)</f>
        <v>0.76</v>
      </c>
      <c r="S59" s="2">
        <f t="shared" si="56"/>
        <v>36</v>
      </c>
      <c r="T59" s="2">
        <v>0</v>
      </c>
      <c r="U59" s="14">
        <f>-INDEX('Ship Design Balancing'!$K$2:$K$6,'Weapon Formulas'!C59)*(INDEX('Weapon Formulas'!$R$1:$R$3,'Weapon Formulas'!D59+2)*(1+'Weapon Formulas'!B59))</f>
        <v>-6.6666666666666661</v>
      </c>
    </row>
    <row r="60" spans="1:24" x14ac:dyDescent="0.25">
      <c r="A60" s="21">
        <f t="shared" si="9"/>
        <v>0</v>
      </c>
      <c r="C60" s="2">
        <v>2</v>
      </c>
      <c r="D60" s="2">
        <v>0</v>
      </c>
      <c r="E60" s="16" t="s">
        <v>73</v>
      </c>
      <c r="F60" s="2">
        <f t="shared" si="10"/>
        <v>5</v>
      </c>
      <c r="G60" s="2">
        <f t="shared" si="53"/>
        <v>4.0000000000000009</v>
      </c>
      <c r="H60" s="2">
        <f t="shared" si="57"/>
        <v>3.4000000000000004</v>
      </c>
      <c r="I60" s="2">
        <f t="shared" si="54"/>
        <v>1.6</v>
      </c>
      <c r="J60" s="2">
        <f t="shared" si="55"/>
        <v>5</v>
      </c>
      <c r="K60" s="10">
        <f t="shared" si="50"/>
        <v>-3.0000000000000009</v>
      </c>
      <c r="L60" s="10">
        <v>0</v>
      </c>
      <c r="M60" s="10">
        <v>1</v>
      </c>
      <c r="N60" s="2">
        <f t="shared" si="48"/>
        <v>8.0000000000000018</v>
      </c>
      <c r="O60" s="2">
        <f t="shared" si="51"/>
        <v>31.250000000000007</v>
      </c>
      <c r="P60" s="2">
        <f t="shared" si="52"/>
        <v>52.08333333333335</v>
      </c>
      <c r="Q60" s="2">
        <f>(AVERAGE(VLOOKUP(E60,weapon_components!$A$8:$M$178,9,0),VLOOKUP(E60,weapon_components!$A$8:$M$178,10,0))+VLOOKUP(E60,weapon_components!$A$8:$M$178,11,0))/10</f>
        <v>3.75</v>
      </c>
      <c r="R60" s="2">
        <f>VLOOKUP(E60,weapon_components!$A$8:$M$178,13,0)</f>
        <v>0.72</v>
      </c>
      <c r="S60" s="2">
        <f t="shared" si="56"/>
        <v>45</v>
      </c>
      <c r="T60" s="2">
        <v>0</v>
      </c>
      <c r="U60" s="14">
        <f>-INDEX('Ship Design Balancing'!$K$2:$K$6,'Weapon Formulas'!C60)*(INDEX('Weapon Formulas'!$R$1:$R$3,'Weapon Formulas'!D60+2)*(1+'Weapon Formulas'!B60))</f>
        <v>-13.333333333333332</v>
      </c>
    </row>
    <row r="61" spans="1:24" x14ac:dyDescent="0.25">
      <c r="A61" s="21">
        <f t="shared" si="9"/>
        <v>-2.7E-2</v>
      </c>
      <c r="C61" s="2">
        <v>2</v>
      </c>
      <c r="D61" s="2">
        <v>1</v>
      </c>
      <c r="E61" s="16" t="s">
        <v>74</v>
      </c>
      <c r="F61" s="2">
        <f t="shared" si="10"/>
        <v>4.9729999999999999</v>
      </c>
      <c r="G61" s="2">
        <f t="shared" si="53"/>
        <v>3.2763294117647064</v>
      </c>
      <c r="H61" s="2">
        <f t="shared" si="57"/>
        <v>2.7848800000000002</v>
      </c>
      <c r="I61" s="2">
        <f t="shared" si="54"/>
        <v>2.1881200000000001</v>
      </c>
      <c r="J61" s="2">
        <f t="shared" si="55"/>
        <v>4.9729999999999999</v>
      </c>
      <c r="K61" s="10">
        <f t="shared" si="50"/>
        <v>-1.2142857142857149</v>
      </c>
      <c r="L61" s="10">
        <v>0</v>
      </c>
      <c r="M61" s="10">
        <v>1</v>
      </c>
      <c r="N61" s="2">
        <f t="shared" si="48"/>
        <v>13.105317647058826</v>
      </c>
      <c r="O61" s="2">
        <f t="shared" si="51"/>
        <v>55.012993854258127</v>
      </c>
      <c r="P61" s="2">
        <f t="shared" si="52"/>
        <v>91.688323090430202</v>
      </c>
      <c r="Q61" s="2">
        <f>(AVERAGE(VLOOKUP(E61,weapon_components!$A$8:$M$178,9,0),VLOOKUP(E61,weapon_components!$A$8:$M$178,10,0))+VLOOKUP(E61,weapon_components!$A$8:$M$178,11,0))/10</f>
        <v>3.75</v>
      </c>
      <c r="R61" s="2">
        <f>VLOOKUP(E61,weapon_components!$A$8:$M$178,13,0)</f>
        <v>0.67</v>
      </c>
      <c r="S61" s="2">
        <f t="shared" si="56"/>
        <v>54</v>
      </c>
      <c r="T61" s="2">
        <v>0</v>
      </c>
      <c r="U61" s="14">
        <f>-INDEX('Ship Design Balancing'!$K$2:$K$6,'Weapon Formulas'!C61)*(INDEX('Weapon Formulas'!$R$1:$R$3,'Weapon Formulas'!D61+2)*(1+'Weapon Formulas'!B61))</f>
        <v>-26.666666666666664</v>
      </c>
    </row>
    <row r="62" spans="1:24" x14ac:dyDescent="0.25">
      <c r="A62" s="21">
        <f t="shared" si="9"/>
        <v>2.7E-2</v>
      </c>
      <c r="C62" s="2">
        <v>3</v>
      </c>
      <c r="D62" s="2">
        <v>-1</v>
      </c>
      <c r="E62" s="16" t="s">
        <v>75</v>
      </c>
      <c r="F62" s="2">
        <f t="shared" si="10"/>
        <v>7.5270000000000001</v>
      </c>
      <c r="G62" s="2">
        <f t="shared" si="53"/>
        <v>7.7698064516129035</v>
      </c>
      <c r="H62" s="2">
        <f t="shared" si="57"/>
        <v>6.0216000000000003</v>
      </c>
      <c r="I62" s="2">
        <f t="shared" si="54"/>
        <v>1.5054000000000001</v>
      </c>
      <c r="J62" s="2">
        <f t="shared" si="55"/>
        <v>7.5270000000000001</v>
      </c>
      <c r="K62" s="10">
        <f t="shared" si="50"/>
        <v>-2.5833333333333339</v>
      </c>
      <c r="L62" s="10">
        <v>0</v>
      </c>
      <c r="M62" s="10">
        <v>1</v>
      </c>
      <c r="N62" s="2">
        <f t="shared" si="48"/>
        <v>7.7698064516129035</v>
      </c>
      <c r="O62" s="2">
        <f t="shared" si="51"/>
        <v>28.753395585738538</v>
      </c>
      <c r="P62" s="2">
        <f t="shared" si="52"/>
        <v>47.922325976230901</v>
      </c>
      <c r="Q62" s="2">
        <f>(AVERAGE(VLOOKUP(E62,weapon_components!$A$8:$M$178,9,0),VLOOKUP(E62,weapon_components!$A$8:$M$178,10,0))+VLOOKUP(E62,weapon_components!$A$8:$M$178,11,0))/10</f>
        <v>3.75</v>
      </c>
      <c r="R62" s="2">
        <f>VLOOKUP(E62,weapon_components!$A$8:$M$178,13,0)</f>
        <v>0.76</v>
      </c>
      <c r="S62" s="2">
        <f t="shared" si="56"/>
        <v>36</v>
      </c>
      <c r="T62" s="2">
        <v>0</v>
      </c>
      <c r="U62" s="14">
        <f>-INDEX('Ship Design Balancing'!$K$2:$K$6,'Weapon Formulas'!C62)*(INDEX('Weapon Formulas'!$R$1:$R$3,'Weapon Formulas'!D62+2)*(1+'Weapon Formulas'!B62))</f>
        <v>-13.333333333333332</v>
      </c>
    </row>
    <row r="63" spans="1:24" x14ac:dyDescent="0.25">
      <c r="A63" s="21">
        <f t="shared" si="9"/>
        <v>0</v>
      </c>
      <c r="C63" s="2">
        <v>3</v>
      </c>
      <c r="D63" s="2">
        <v>0</v>
      </c>
      <c r="E63" s="16" t="s">
        <v>76</v>
      </c>
      <c r="F63" s="2">
        <f t="shared" si="10"/>
        <v>7.5</v>
      </c>
      <c r="G63" s="2">
        <f t="shared" si="53"/>
        <v>6.580645161290323</v>
      </c>
      <c r="H63" s="2">
        <f t="shared" si="57"/>
        <v>5.1000000000000005</v>
      </c>
      <c r="I63" s="2">
        <f t="shared" si="54"/>
        <v>2.4</v>
      </c>
      <c r="J63" s="2">
        <f t="shared" si="55"/>
        <v>7.5</v>
      </c>
      <c r="K63" s="10">
        <f t="shared" si="50"/>
        <v>-1.8235294117647061</v>
      </c>
      <c r="L63" s="10">
        <v>0</v>
      </c>
      <c r="M63" s="10">
        <v>1</v>
      </c>
      <c r="N63" s="2">
        <f t="shared" si="48"/>
        <v>13.161290322580646</v>
      </c>
      <c r="O63" s="2">
        <f t="shared" si="51"/>
        <v>51.411290322580655</v>
      </c>
      <c r="P63" s="2">
        <f t="shared" si="52"/>
        <v>85.685483870967758</v>
      </c>
      <c r="Q63" s="2">
        <f>(AVERAGE(VLOOKUP(E63,weapon_components!$A$8:$M$178,9,0),VLOOKUP(E63,weapon_components!$A$8:$M$178,10,0))+VLOOKUP(E63,weapon_components!$A$8:$M$178,11,0))/10</f>
        <v>3.75</v>
      </c>
      <c r="R63" s="2">
        <f>VLOOKUP(E63,weapon_components!$A$8:$M$178,13,0)</f>
        <v>0.72</v>
      </c>
      <c r="S63" s="2">
        <f t="shared" si="56"/>
        <v>45</v>
      </c>
      <c r="T63" s="2">
        <v>0</v>
      </c>
      <c r="U63" s="14">
        <f>-INDEX('Ship Design Balancing'!$K$2:$K$6,'Weapon Formulas'!C63)*(INDEX('Weapon Formulas'!$R$1:$R$3,'Weapon Formulas'!D63+2)*(1+'Weapon Formulas'!B63))</f>
        <v>-26.666666666666664</v>
      </c>
      <c r="X63" s="14"/>
    </row>
    <row r="64" spans="1:24" x14ac:dyDescent="0.25">
      <c r="A64" s="21">
        <f t="shared" si="9"/>
        <v>-2.7E-2</v>
      </c>
      <c r="C64" s="2">
        <v>3</v>
      </c>
      <c r="D64" s="2">
        <v>1</v>
      </c>
      <c r="E64" s="16" t="s">
        <v>77</v>
      </c>
      <c r="F64" s="2">
        <f t="shared" si="10"/>
        <v>7.4729999999999999</v>
      </c>
      <c r="G64" s="2">
        <f t="shared" si="53"/>
        <v>5.3998451612903233</v>
      </c>
      <c r="H64" s="2">
        <f t="shared" si="57"/>
        <v>4.1848800000000006</v>
      </c>
      <c r="I64" s="2">
        <f t="shared" si="54"/>
        <v>3.2881200000000002</v>
      </c>
      <c r="J64" s="2">
        <f t="shared" si="55"/>
        <v>7.4729999999999999</v>
      </c>
      <c r="K64" s="10">
        <f t="shared" si="50"/>
        <v>-0.73809523809523858</v>
      </c>
      <c r="L64" s="10">
        <v>0</v>
      </c>
      <c r="M64" s="10">
        <v>1</v>
      </c>
      <c r="N64" s="2">
        <f t="shared" si="48"/>
        <v>21.599380645161297</v>
      </c>
      <c r="O64" s="2">
        <f t="shared" si="51"/>
        <v>90.669041887337514</v>
      </c>
      <c r="P64" s="2">
        <f t="shared" si="52"/>
        <v>151.11506981222919</v>
      </c>
      <c r="Q64" s="2">
        <f>(AVERAGE(VLOOKUP(E64,weapon_components!$A$8:$M$178,9,0),VLOOKUP(E64,weapon_components!$A$8:$M$178,10,0))+VLOOKUP(E64,weapon_components!$A$8:$M$178,11,0))/10</f>
        <v>3.75</v>
      </c>
      <c r="R64" s="2">
        <f>VLOOKUP(E64,weapon_components!$A$8:$M$178,13,0)</f>
        <v>0.67</v>
      </c>
      <c r="S64" s="2">
        <f t="shared" si="56"/>
        <v>54</v>
      </c>
      <c r="T64" s="2">
        <v>0</v>
      </c>
      <c r="U64" s="14">
        <f>-INDEX('Ship Design Balancing'!$K$2:$K$6,'Weapon Formulas'!C64)*(INDEX('Weapon Formulas'!$R$1:$R$3,'Weapon Formulas'!D64+2)*(1+'Weapon Formulas'!B64))</f>
        <v>-53.333333333333329</v>
      </c>
    </row>
    <row r="65" spans="1:21" x14ac:dyDescent="0.25">
      <c r="A65" s="21">
        <f t="shared" si="9"/>
        <v>2.7E-2</v>
      </c>
      <c r="C65" s="2">
        <v>4</v>
      </c>
      <c r="D65" s="2">
        <v>-1</v>
      </c>
      <c r="E65" s="16" t="s">
        <v>78</v>
      </c>
      <c r="F65" s="2">
        <f t="shared" si="10"/>
        <v>10.026999999999999</v>
      </c>
      <c r="G65" s="2">
        <f t="shared" si="53"/>
        <v>11.459428571428571</v>
      </c>
      <c r="H65" s="2">
        <f t="shared" si="57"/>
        <v>8.0215999999999994</v>
      </c>
      <c r="I65" s="2">
        <f t="shared" si="54"/>
        <v>2.0053999999999998</v>
      </c>
      <c r="J65" s="2">
        <f t="shared" si="55"/>
        <v>10.026999999999999</v>
      </c>
      <c r="K65" s="10">
        <f t="shared" si="50"/>
        <v>-1.75</v>
      </c>
      <c r="L65" s="10">
        <v>0</v>
      </c>
      <c r="M65" s="10">
        <v>1</v>
      </c>
      <c r="N65" s="2">
        <f t="shared" si="48"/>
        <v>11.459428571428573</v>
      </c>
      <c r="O65" s="2">
        <f t="shared" si="51"/>
        <v>42.407424812030079</v>
      </c>
      <c r="P65" s="2">
        <f t="shared" si="52"/>
        <v>70.679041353383468</v>
      </c>
      <c r="Q65" s="2">
        <f>(AVERAGE(VLOOKUP(E65,weapon_components!$A$8:$M$178,9,0),VLOOKUP(E65,weapon_components!$A$8:$M$178,10,0))+VLOOKUP(E65,weapon_components!$A$8:$M$178,11,0))/10</f>
        <v>3.75</v>
      </c>
      <c r="R65" s="2">
        <f>VLOOKUP(E65,weapon_components!$A$8:$M$178,13,0)</f>
        <v>0.76</v>
      </c>
      <c r="S65" s="2">
        <f t="shared" si="56"/>
        <v>36</v>
      </c>
      <c r="T65" s="2">
        <v>0</v>
      </c>
      <c r="U65" s="14">
        <f>-INDEX('Ship Design Balancing'!$K$2:$K$6,'Weapon Formulas'!C65)*(INDEX('Weapon Formulas'!$R$1:$R$3,'Weapon Formulas'!D65+2)*(1+'Weapon Formulas'!B65))</f>
        <v>-26.666666666666664</v>
      </c>
    </row>
    <row r="66" spans="1:21" x14ac:dyDescent="0.25">
      <c r="A66" s="21">
        <f t="shared" si="9"/>
        <v>0</v>
      </c>
      <c r="C66" s="2">
        <v>4</v>
      </c>
      <c r="D66" s="2">
        <v>0</v>
      </c>
      <c r="E66" s="16" t="s">
        <v>79</v>
      </c>
      <c r="F66" s="2">
        <f t="shared" si="10"/>
        <v>10</v>
      </c>
      <c r="G66" s="2">
        <f t="shared" si="53"/>
        <v>9.7142857142857153</v>
      </c>
      <c r="H66" s="2">
        <f t="shared" si="57"/>
        <v>6.8000000000000007</v>
      </c>
      <c r="I66" s="2">
        <f t="shared" si="54"/>
        <v>3.2</v>
      </c>
      <c r="J66" s="2">
        <f t="shared" si="55"/>
        <v>10</v>
      </c>
      <c r="K66" s="10">
        <f t="shared" si="50"/>
        <v>-1.2352941176470593</v>
      </c>
      <c r="L66" s="10">
        <v>0</v>
      </c>
      <c r="M66" s="10">
        <v>1</v>
      </c>
      <c r="N66" s="2">
        <f t="shared" si="48"/>
        <v>19.428571428571431</v>
      </c>
      <c r="O66" s="2">
        <f t="shared" si="51"/>
        <v>75.892857142857153</v>
      </c>
      <c r="P66" s="2">
        <f t="shared" si="52"/>
        <v>126.48809523809526</v>
      </c>
      <c r="Q66" s="2">
        <f>(AVERAGE(VLOOKUP(E66,weapon_components!$A$8:$M$178,9,0),VLOOKUP(E66,weapon_components!$A$8:$M$178,10,0))+VLOOKUP(E66,weapon_components!$A$8:$M$178,11,0))/10</f>
        <v>3.75</v>
      </c>
      <c r="R66" s="2">
        <f>VLOOKUP(E66,weapon_components!$A$8:$M$178,13,0)</f>
        <v>0.72</v>
      </c>
      <c r="S66" s="2">
        <f t="shared" si="56"/>
        <v>45</v>
      </c>
      <c r="T66" s="2">
        <v>0</v>
      </c>
      <c r="U66" s="14">
        <f>-INDEX('Ship Design Balancing'!$K$2:$K$6,'Weapon Formulas'!C66)*(INDEX('Weapon Formulas'!$R$1:$R$3,'Weapon Formulas'!D66+2)*(1+'Weapon Formulas'!B66))</f>
        <v>-53.333333333333329</v>
      </c>
    </row>
    <row r="67" spans="1:21" x14ac:dyDescent="0.25">
      <c r="A67" s="21">
        <f t="shared" si="9"/>
        <v>-2.7E-2</v>
      </c>
      <c r="C67" s="2">
        <v>4</v>
      </c>
      <c r="D67" s="2">
        <v>1</v>
      </c>
      <c r="E67" s="16" t="s">
        <v>80</v>
      </c>
      <c r="F67" s="2">
        <f t="shared" si="10"/>
        <v>9.9730000000000008</v>
      </c>
      <c r="G67" s="2">
        <f t="shared" si="53"/>
        <v>7.9784000000000015</v>
      </c>
      <c r="H67" s="2">
        <f t="shared" si="57"/>
        <v>5.584880000000001</v>
      </c>
      <c r="I67" s="2">
        <f t="shared" si="54"/>
        <v>4.3881200000000007</v>
      </c>
      <c r="J67" s="2">
        <f t="shared" si="55"/>
        <v>9.9730000000000008</v>
      </c>
      <c r="K67" s="10">
        <f t="shared" si="50"/>
        <v>-0.50000000000000022</v>
      </c>
      <c r="L67" s="10">
        <v>0</v>
      </c>
      <c r="M67" s="10">
        <v>1</v>
      </c>
      <c r="N67" s="2">
        <f t="shared" si="48"/>
        <v>31.913600000000006</v>
      </c>
      <c r="O67" s="2">
        <f t="shared" si="51"/>
        <v>133.96567164179106</v>
      </c>
      <c r="P67" s="2">
        <f t="shared" si="52"/>
        <v>223.2761194029851</v>
      </c>
      <c r="Q67" s="2">
        <f>(AVERAGE(VLOOKUP(E67,weapon_components!$A$8:$M$178,9,0),VLOOKUP(E67,weapon_components!$A$8:$M$178,10,0))+VLOOKUP(E67,weapon_components!$A$8:$M$178,11,0))/10</f>
        <v>3.75</v>
      </c>
      <c r="R67" s="2">
        <f>VLOOKUP(E67,weapon_components!$A$8:$M$178,13,0)</f>
        <v>0.67</v>
      </c>
      <c r="S67" s="2">
        <f t="shared" si="56"/>
        <v>54</v>
      </c>
      <c r="T67" s="2">
        <v>0</v>
      </c>
      <c r="U67" s="14">
        <f>-INDEX('Ship Design Balancing'!$K$2:$K$6,'Weapon Formulas'!C67)*(INDEX('Weapon Formulas'!$R$1:$R$3,'Weapon Formulas'!D67+2)*(1+'Weapon Formulas'!B67))</f>
        <v>-106.66666666666666</v>
      </c>
    </row>
    <row r="68" spans="1:21" x14ac:dyDescent="0.25">
      <c r="A68" s="21">
        <f t="shared" si="9"/>
        <v>2.7E-2</v>
      </c>
      <c r="C68" s="2">
        <v>5</v>
      </c>
      <c r="D68" s="2">
        <v>-1</v>
      </c>
      <c r="E68" s="16" t="s">
        <v>81</v>
      </c>
      <c r="F68" s="2">
        <f t="shared" si="10"/>
        <v>12.526999999999999</v>
      </c>
      <c r="G68" s="2">
        <f t="shared" si="53"/>
        <v>16.034559999999999</v>
      </c>
      <c r="H68" s="2">
        <f t="shared" si="57"/>
        <v>10.021599999999999</v>
      </c>
      <c r="I68" s="2">
        <f t="shared" si="54"/>
        <v>2.5053999999999998</v>
      </c>
      <c r="J68" s="2">
        <f t="shared" si="55"/>
        <v>12.526999999999999</v>
      </c>
      <c r="K68" s="10">
        <f t="shared" si="50"/>
        <v>-1.25</v>
      </c>
      <c r="L68" s="10">
        <v>0</v>
      </c>
      <c r="M68" s="10">
        <v>1</v>
      </c>
      <c r="N68" s="2">
        <f t="shared" si="48"/>
        <v>16.034559999999999</v>
      </c>
      <c r="O68" s="2">
        <f t="shared" si="51"/>
        <v>59.338421052631574</v>
      </c>
      <c r="P68" s="2">
        <f t="shared" si="52"/>
        <v>98.897368421052633</v>
      </c>
      <c r="Q68" s="2">
        <f>(AVERAGE(VLOOKUP(E68,weapon_components!$A$8:$M$178,9,0),VLOOKUP(E68,weapon_components!$A$8:$M$178,10,0))+VLOOKUP(E68,weapon_components!$A$8:$M$178,11,0))/10</f>
        <v>3.75</v>
      </c>
      <c r="R68" s="2">
        <f>VLOOKUP(E68,weapon_components!$A$8:$M$178,13,0)</f>
        <v>0.76</v>
      </c>
      <c r="S68" s="2">
        <f t="shared" si="56"/>
        <v>36</v>
      </c>
      <c r="T68" s="2">
        <v>0</v>
      </c>
      <c r="U68" s="14">
        <f>-INDEX('Ship Design Balancing'!$K$2:$K$6,'Weapon Formulas'!C68)*(INDEX('Weapon Formulas'!$R$1:$R$3,'Weapon Formulas'!D68+2)*(1+'Weapon Formulas'!B68))</f>
        <v>-53.333333333333329</v>
      </c>
    </row>
    <row r="69" spans="1:21" x14ac:dyDescent="0.25">
      <c r="A69" s="21">
        <f t="shared" si="9"/>
        <v>0</v>
      </c>
      <c r="C69" s="2">
        <v>5</v>
      </c>
      <c r="D69" s="2">
        <v>0</v>
      </c>
      <c r="E69" s="16" t="s">
        <v>82</v>
      </c>
      <c r="F69" s="2">
        <f t="shared" si="10"/>
        <v>12.5</v>
      </c>
      <c r="G69" s="2">
        <f t="shared" si="53"/>
        <v>13.6</v>
      </c>
      <c r="H69" s="2">
        <f>$F69*(0.68-(0.12*$D69))</f>
        <v>8.5</v>
      </c>
      <c r="I69" s="2">
        <f t="shared" si="54"/>
        <v>4</v>
      </c>
      <c r="J69" s="2">
        <f t="shared" si="55"/>
        <v>12.5</v>
      </c>
      <c r="K69" s="10">
        <f t="shared" si="50"/>
        <v>-0.88235294117647034</v>
      </c>
      <c r="L69" s="10">
        <v>0</v>
      </c>
      <c r="M69" s="10">
        <v>1</v>
      </c>
      <c r="N69" s="2">
        <f t="shared" si="48"/>
        <v>27.200000000000003</v>
      </c>
      <c r="O69" s="2">
        <f t="shared" si="51"/>
        <v>106.25000000000001</v>
      </c>
      <c r="P69" s="2">
        <f t="shared" si="52"/>
        <v>177.08333333333337</v>
      </c>
      <c r="Q69" s="2">
        <f>(AVERAGE(VLOOKUP(E69,weapon_components!$A$8:$M$178,9,0),VLOOKUP(E69,weapon_components!$A$8:$M$178,10,0))+VLOOKUP(E69,weapon_components!$A$8:$M$178,11,0))/10</f>
        <v>3.75</v>
      </c>
      <c r="R69" s="2">
        <f>VLOOKUP(E69,weapon_components!$A$8:$M$178,13,0)</f>
        <v>0.72</v>
      </c>
      <c r="S69" s="2">
        <f t="shared" si="56"/>
        <v>45</v>
      </c>
      <c r="T69" s="2">
        <v>0</v>
      </c>
      <c r="U69" s="14">
        <f>-INDEX('Ship Design Balancing'!$K$2:$K$6,'Weapon Formulas'!C69)*(INDEX('Weapon Formulas'!$R$1:$R$3,'Weapon Formulas'!D69+2)*(1+'Weapon Formulas'!B69))</f>
        <v>-106.66666666666666</v>
      </c>
    </row>
    <row r="70" spans="1:21" x14ac:dyDescent="0.25">
      <c r="A70" s="21">
        <f t="shared" si="9"/>
        <v>-2.7E-2</v>
      </c>
      <c r="C70" s="2">
        <v>5</v>
      </c>
      <c r="D70" s="2">
        <v>1</v>
      </c>
      <c r="E70" s="16" t="s">
        <v>83</v>
      </c>
      <c r="F70" s="2">
        <f t="shared" si="10"/>
        <v>12.473000000000001</v>
      </c>
      <c r="G70" s="2">
        <f t="shared" si="53"/>
        <v>11.175808000000002</v>
      </c>
      <c r="H70" s="2">
        <f t="shared" si="57"/>
        <v>6.9848800000000013</v>
      </c>
      <c r="I70" s="2">
        <f t="shared" si="54"/>
        <v>5.4881200000000003</v>
      </c>
      <c r="J70" s="2">
        <f t="shared" si="55"/>
        <v>12.473000000000001</v>
      </c>
      <c r="K70" s="10">
        <f t="shared" si="50"/>
        <v>-0.35714285714285698</v>
      </c>
      <c r="L70" s="10">
        <v>0</v>
      </c>
      <c r="M70" s="10">
        <v>1</v>
      </c>
      <c r="N70" s="2">
        <f t="shared" si="48"/>
        <v>44.703232000000007</v>
      </c>
      <c r="O70" s="2">
        <f t="shared" si="51"/>
        <v>187.65349253731347</v>
      </c>
      <c r="P70" s="2">
        <f t="shared" si="52"/>
        <v>312.75582089552245</v>
      </c>
      <c r="Q70" s="2">
        <f>(AVERAGE(VLOOKUP(E70,weapon_components!$A$8:$M$178,9,0),VLOOKUP(E70,weapon_components!$A$8:$M$178,10,0))+VLOOKUP(E70,weapon_components!$A$8:$M$178,11,0))/10</f>
        <v>3.75</v>
      </c>
      <c r="R70" s="2">
        <f>VLOOKUP(E70,weapon_components!$A$8:$M$178,13,0)</f>
        <v>0.67</v>
      </c>
      <c r="S70" s="2">
        <f t="shared" si="56"/>
        <v>54</v>
      </c>
      <c r="T70" s="2">
        <v>0</v>
      </c>
      <c r="U70" s="14">
        <f>-INDEX('Ship Design Balancing'!$K$2:$K$6,'Weapon Formulas'!C70)*(INDEX('Weapon Formulas'!$R$1:$R$3,'Weapon Formulas'!D70+2)*(1+'Weapon Formulas'!B70))</f>
        <v>-213.33333333333331</v>
      </c>
    </row>
    <row r="71" spans="1:21" x14ac:dyDescent="0.25">
      <c r="A71" s="21">
        <f t="shared" si="9"/>
        <v>-4.4999999999999998E-2</v>
      </c>
      <c r="E71" s="3" t="s">
        <v>84</v>
      </c>
      <c r="F71" s="2" t="s">
        <v>140</v>
      </c>
      <c r="G71" s="2">
        <v>0</v>
      </c>
      <c r="H71" s="2"/>
      <c r="I71" s="2"/>
      <c r="J71" s="2">
        <v>1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60</v>
      </c>
      <c r="T71" s="2">
        <v>0</v>
      </c>
      <c r="U71" s="14"/>
    </row>
    <row r="72" spans="1:21" x14ac:dyDescent="0.25">
      <c r="A72" s="21">
        <f t="shared" si="9"/>
        <v>-8.1000000000000003E-2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58">($F$2+(C72*$F$1))*(B72+1)</f>
        <v>20</v>
      </c>
      <c r="G72" s="2">
        <f>IF(G$71=1,H72,H72/(1-INDEX($O$2:$O$6,C72)))</f>
        <v>14.285714285714286</v>
      </c>
      <c r="H72" s="2">
        <f>F72*0.5</f>
        <v>10</v>
      </c>
      <c r="I72" s="2">
        <f>F72*0.5</f>
        <v>10</v>
      </c>
      <c r="J72" s="2">
        <f t="shared" si="49"/>
        <v>1.9999999999999998</v>
      </c>
      <c r="K72" s="10">
        <f>1-((1-(I72/G72))/INDEX($P$2:$P$6,C72))</f>
        <v>0</v>
      </c>
      <c r="L72" s="10">
        <v>1</v>
      </c>
      <c r="M72" s="10">
        <v>1</v>
      </c>
      <c r="N72" s="2">
        <f>(AVERAGE(O72,P72)*R72)/Q72</f>
        <v>57.142857142857146</v>
      </c>
      <c r="O72" s="2">
        <f>0.75*(((G72*INDEX($R$1:$R$3,$D72+2))*Q72)/R72)</f>
        <v>489.79591836734699</v>
      </c>
      <c r="P72" s="2">
        <f>1.25*(((G72*INDEX($R$1:$R$3,$D72+2))*Q72)/R72)</f>
        <v>816.32653061224505</v>
      </c>
      <c r="Q72" s="2">
        <f>(AVERAGE(VLOOKUP(E72,weapon_components!$A$8:$M$178,9,0),VLOOKUP(E72,weapon_components!$A$8:$M$178,10,0))+VLOOKUP(E72,weapon_components!$A$8:$M$178,11,0))/10</f>
        <v>8</v>
      </c>
      <c r="R72" s="2">
        <f>VLOOKUP(E72,weapon_components!$A$8:$M$178,13,0)</f>
        <v>0.7</v>
      </c>
      <c r="S72" s="2">
        <f>$S$71*(1+(D72*$F$8))</f>
        <v>72</v>
      </c>
      <c r="T72" s="2">
        <v>0</v>
      </c>
      <c r="U72" s="14">
        <f>-INDEX('Ship Design Balancing'!$K$2:$K$6,'Weapon Formulas'!C72)*(INDEX('Weapon Formulas'!$R$1:$R$3,'Weapon Formulas'!D72+2)*(1+'Weapon Formulas'!B72))</f>
        <v>-213.33333333333331</v>
      </c>
    </row>
    <row r="73" spans="1:21" x14ac:dyDescent="0.25">
      <c r="A73" s="21">
        <f t="shared" si="9"/>
        <v>-8.1000000000000003E-2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25</v>
      </c>
      <c r="G73" s="2">
        <f>IF(G$71=1,H73,H73/(1-INDEX($O$2:$O$6,C73)))</f>
        <v>20</v>
      </c>
      <c r="H73" s="2">
        <f>F73*0.5</f>
        <v>12.5</v>
      </c>
      <c r="I73" s="2">
        <f>F73*0.5</f>
        <v>12.5</v>
      </c>
      <c r="J73" s="2">
        <f t="shared" si="49"/>
        <v>1.9999999999999998</v>
      </c>
      <c r="K73" s="10">
        <f>1-((1-(I73/G73))/INDEX($P$2:$P$6,C73))</f>
        <v>0</v>
      </c>
      <c r="L73" s="10">
        <v>0</v>
      </c>
      <c r="M73" s="10">
        <v>1</v>
      </c>
      <c r="N73" s="2">
        <f t="shared" si="48"/>
        <v>80</v>
      </c>
      <c r="O73" s="2">
        <f>0.75*(((G73*INDEX($R$1:$R$3,$D73+2))*Q73)/R73)</f>
        <v>685.71428571428578</v>
      </c>
      <c r="P73" s="2">
        <f>1.25*(((G73*INDEX($R$1:$R$3,$D73+2))*Q73)/R73)</f>
        <v>1142.8571428571429</v>
      </c>
      <c r="Q73" s="2">
        <f>(AVERAGE(VLOOKUP(E73,weapon_components!$A$8:$M$178,9,0),VLOOKUP(E73,weapon_components!$A$8:$M$178,10,0))+VLOOKUP(E73,weapon_components!$A$8:$M$178,11,0))/10</f>
        <v>8</v>
      </c>
      <c r="R73" s="2">
        <f>VLOOKUP(E73,weapon_components!$A$8:$M$178,13,0)</f>
        <v>0.7</v>
      </c>
      <c r="S73" s="2">
        <f>$S$71*(1+(D73*$F$8))</f>
        <v>72</v>
      </c>
      <c r="T73" s="2">
        <v>0</v>
      </c>
      <c r="U73" s="14">
        <f>-INDEX('Ship Design Balancing'!$K$2:$K$6,'Weapon Formulas'!C73)*(INDEX('Weapon Formulas'!$R$1:$R$3,'Weapon Formulas'!D73+2)*(1+'Weapon Formulas'!B73))</f>
        <v>-426.66666666666663</v>
      </c>
    </row>
    <row r="74" spans="1:21" x14ac:dyDescent="0.25">
      <c r="A74" s="21">
        <f t="shared" si="9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14"/>
    </row>
    <row r="75" spans="1:21" x14ac:dyDescent="0.25">
      <c r="A75" s="21">
        <f t="shared" si="9"/>
        <v>2.7E-2</v>
      </c>
      <c r="C75" s="2">
        <v>3</v>
      </c>
      <c r="D75" s="2">
        <v>-1</v>
      </c>
      <c r="E75" s="16" t="s">
        <v>88</v>
      </c>
      <c r="F75" s="2">
        <f t="shared" si="58"/>
        <v>7.5</v>
      </c>
      <c r="G75" s="2">
        <f>IF(G$74=1,H75,H75/(1-INDEX($O$2:$O$6,C75)))</f>
        <v>4.258064516129032</v>
      </c>
      <c r="H75" s="2">
        <f>$F75*(0.32-(0.12*$D75))</f>
        <v>3.3</v>
      </c>
      <c r="I75" s="2">
        <f>$F75*(0.68+(0.12*D75))</f>
        <v>4.2</v>
      </c>
      <c r="J75" s="2">
        <f t="shared" si="49"/>
        <v>1.2</v>
      </c>
      <c r="K75" s="10">
        <f t="shared" si="23"/>
        <v>0.93939393939393978</v>
      </c>
      <c r="L75" s="10">
        <v>0</v>
      </c>
      <c r="M75" s="10">
        <v>1</v>
      </c>
      <c r="N75" s="2">
        <f t="shared" si="48"/>
        <v>4.258064516129032</v>
      </c>
      <c r="O75" s="2">
        <f t="shared" ref="O75:O83" si="59">0.75*(((G75*INDEX($R$1:$R$3,$D75+2))*Q75)/R75)</f>
        <v>12.267899291896143</v>
      </c>
      <c r="P75" s="2">
        <f t="shared" ref="P75:P83" si="60">1.25*(((G75*INDEX($R$1:$R$3,$D75+2))*Q75)/R75)</f>
        <v>20.446498819826907</v>
      </c>
      <c r="Q75" s="2">
        <f>(AVERAGE(VLOOKUP(E75,weapon_components!$A$8:$M$178,9,0),VLOOKUP(E75,weapon_components!$A$8:$M$178,10,0))+VLOOKUP(E75,weapon_components!$A$8:$M$178,11,0))/10</f>
        <v>3.15</v>
      </c>
      <c r="R75" s="2">
        <f>VLOOKUP(E75,weapon_components!$A$8:$M$178,13,0)</f>
        <v>0.82</v>
      </c>
      <c r="S75" s="2">
        <f>$S$74*(1+(D75*$F$8))</f>
        <v>36</v>
      </c>
      <c r="T75" s="2">
        <v>0</v>
      </c>
      <c r="U75" s="14">
        <f>-INDEX('Ship Design Balancing'!$K$2:$K$6,'Weapon Formulas'!C75)*(INDEX('Weapon Formulas'!$R$1:$R$3,'Weapon Formulas'!D75+2)*(1+'Weapon Formulas'!B75))</f>
        <v>-13.333333333333332</v>
      </c>
    </row>
    <row r="76" spans="1:21" x14ac:dyDescent="0.25">
      <c r="A76" s="21">
        <f t="shared" ref="A76:A119" si="61">(S76-$I$2)*$J$2</f>
        <v>0</v>
      </c>
      <c r="C76" s="2">
        <v>3</v>
      </c>
      <c r="D76" s="2">
        <v>0</v>
      </c>
      <c r="E76" s="16" t="s">
        <v>89</v>
      </c>
      <c r="F76" s="2">
        <f t="shared" ref="F76:F115" si="62">($F$2+(C76*$F$1))*(B76+1)</f>
        <v>7.5</v>
      </c>
      <c r="G76" s="2">
        <f t="shared" ref="G76:G83" si="63">IF(G$74=1,H76,H76/(1-INDEX($O$2:$O$6,C76)))</f>
        <v>3.096774193548387</v>
      </c>
      <c r="H76" s="2">
        <f t="shared" ref="H76:H83" si="64">$F76*(0.32-(0.12*$D76))</f>
        <v>2.4</v>
      </c>
      <c r="I76" s="2">
        <f t="shared" ref="I76:I83" si="65">$F76*(0.68+(0.12*D76))</f>
        <v>5.1000000000000005</v>
      </c>
      <c r="J76" s="2">
        <f t="shared" ref="H76:J86" si="66">$F76*(INDEX($F$3:$F$5,J$9)+(($C76+($D76*$F$7))*INDEX($G$3:$G$5,J$9)))</f>
        <v>1.05</v>
      </c>
      <c r="K76" s="10">
        <f t="shared" si="23"/>
        <v>3.8750000000000018</v>
      </c>
      <c r="L76" s="10">
        <v>0</v>
      </c>
      <c r="M76" s="10">
        <v>1</v>
      </c>
      <c r="N76" s="2">
        <f t="shared" si="48"/>
        <v>6.193548387096774</v>
      </c>
      <c r="O76" s="2">
        <f t="shared" si="59"/>
        <v>18.29032258064516</v>
      </c>
      <c r="P76" s="2">
        <f t="shared" si="60"/>
        <v>30.483870967741929</v>
      </c>
      <c r="Q76" s="2">
        <f>(AVERAGE(VLOOKUP(E76,weapon_components!$A$8:$M$178,9,0),VLOOKUP(E76,weapon_components!$A$8:$M$178,10,0))+VLOOKUP(E76,weapon_components!$A$8:$M$178,11,0))/10</f>
        <v>3.15</v>
      </c>
      <c r="R76" s="2">
        <f>VLOOKUP(E76,weapon_components!$A$8:$M$178,13,0)</f>
        <v>0.8</v>
      </c>
      <c r="S76" s="2">
        <f t="shared" ref="S76:S83" si="67">$S$74*(1+(D76*$F$8))</f>
        <v>45</v>
      </c>
      <c r="T76" s="2">
        <v>0</v>
      </c>
      <c r="U76" s="14">
        <f>-INDEX('Ship Design Balancing'!$K$2:$K$6,'Weapon Formulas'!C76)*(INDEX('Weapon Formulas'!$R$1:$R$3,'Weapon Formulas'!D76+2)*(1+'Weapon Formulas'!B76))</f>
        <v>-26.666666666666664</v>
      </c>
    </row>
    <row r="77" spans="1:21" x14ac:dyDescent="0.25">
      <c r="A77" s="21">
        <f t="shared" si="61"/>
        <v>-2.7E-2</v>
      </c>
      <c r="C77" s="2">
        <v>3</v>
      </c>
      <c r="D77" s="2">
        <v>1</v>
      </c>
      <c r="E77" s="16" t="s">
        <v>90</v>
      </c>
      <c r="F77" s="2">
        <f t="shared" si="62"/>
        <v>7.5</v>
      </c>
      <c r="G77" s="2">
        <f t="shared" si="63"/>
        <v>1.9354838709677418</v>
      </c>
      <c r="H77" s="2">
        <f t="shared" si="64"/>
        <v>1.5</v>
      </c>
      <c r="I77" s="2">
        <f t="shared" si="65"/>
        <v>6</v>
      </c>
      <c r="J77" s="2">
        <f t="shared" si="66"/>
        <v>0.89999999999999991</v>
      </c>
      <c r="K77" s="10">
        <f t="shared" si="23"/>
        <v>10.333333333333334</v>
      </c>
      <c r="L77" s="10">
        <v>0</v>
      </c>
      <c r="M77" s="10">
        <v>1</v>
      </c>
      <c r="N77" s="2">
        <f t="shared" si="48"/>
        <v>7.7419354838709671</v>
      </c>
      <c r="O77" s="2">
        <f t="shared" si="59"/>
        <v>24.387096774193544</v>
      </c>
      <c r="P77" s="2">
        <f t="shared" si="60"/>
        <v>40.645161290322569</v>
      </c>
      <c r="Q77" s="2">
        <f>(AVERAGE(VLOOKUP(E77,weapon_components!$A$8:$M$178,9,0),VLOOKUP(E77,weapon_components!$A$8:$M$178,10,0))+VLOOKUP(E77,weapon_components!$A$8:$M$178,11,0))/10</f>
        <v>3.15</v>
      </c>
      <c r="R77" s="2">
        <f>VLOOKUP(E77,weapon_components!$A$8:$M$178,13,0)</f>
        <v>0.75</v>
      </c>
      <c r="S77" s="2">
        <f t="shared" si="67"/>
        <v>54</v>
      </c>
      <c r="T77" s="2">
        <v>0</v>
      </c>
      <c r="U77" s="14">
        <f>-INDEX('Ship Design Balancing'!$K$2:$K$6,'Weapon Formulas'!C77)*(INDEX('Weapon Formulas'!$R$1:$R$3,'Weapon Formulas'!D77+2)*(1+'Weapon Formulas'!B77))</f>
        <v>-53.333333333333329</v>
      </c>
    </row>
    <row r="78" spans="1:21" x14ac:dyDescent="0.25">
      <c r="A78" s="21">
        <f t="shared" si="61"/>
        <v>2.7E-2</v>
      </c>
      <c r="C78" s="2">
        <v>4</v>
      </c>
      <c r="D78" s="2">
        <v>-1</v>
      </c>
      <c r="E78" s="16" t="s">
        <v>91</v>
      </c>
      <c r="F78" s="2">
        <f t="shared" si="62"/>
        <v>10</v>
      </c>
      <c r="G78" s="2">
        <f t="shared" si="63"/>
        <v>6.2857142857142865</v>
      </c>
      <c r="H78" s="2">
        <f t="shared" si="64"/>
        <v>4.4000000000000004</v>
      </c>
      <c r="I78" s="2">
        <f t="shared" si="65"/>
        <v>5.6000000000000005</v>
      </c>
      <c r="J78" s="2">
        <f t="shared" si="66"/>
        <v>1.4000000000000001</v>
      </c>
      <c r="K78" s="10">
        <f t="shared" si="23"/>
        <v>0.63636363636363624</v>
      </c>
      <c r="L78" s="10">
        <v>0</v>
      </c>
      <c r="M78" s="10">
        <v>1</v>
      </c>
      <c r="N78" s="2">
        <f t="shared" si="48"/>
        <v>6.2857142857142865</v>
      </c>
      <c r="O78" s="2">
        <f t="shared" si="59"/>
        <v>18.109756097560975</v>
      </c>
      <c r="P78" s="2">
        <f t="shared" si="60"/>
        <v>30.182926829268297</v>
      </c>
      <c r="Q78" s="2">
        <f>(AVERAGE(VLOOKUP(E78,weapon_components!$A$8:$M$178,9,0),VLOOKUP(E78,weapon_components!$A$8:$M$178,10,0))+VLOOKUP(E78,weapon_components!$A$8:$M$178,11,0))/10</f>
        <v>3.15</v>
      </c>
      <c r="R78" s="2">
        <f>VLOOKUP(E78,weapon_components!$A$8:$M$178,13,0)</f>
        <v>0.82</v>
      </c>
      <c r="S78" s="2">
        <f t="shared" si="67"/>
        <v>36</v>
      </c>
      <c r="T78" s="2">
        <v>0</v>
      </c>
      <c r="U78" s="14">
        <f>-INDEX('Ship Design Balancing'!$K$2:$K$6,'Weapon Formulas'!C78)*(INDEX('Weapon Formulas'!$R$1:$R$3,'Weapon Formulas'!D78+2)*(1+'Weapon Formulas'!B78))</f>
        <v>-26.666666666666664</v>
      </c>
    </row>
    <row r="79" spans="1:21" x14ac:dyDescent="0.25">
      <c r="A79" s="21">
        <f t="shared" si="61"/>
        <v>0</v>
      </c>
      <c r="C79" s="2">
        <v>4</v>
      </c>
      <c r="D79" s="2">
        <v>0</v>
      </c>
      <c r="E79" s="16" t="s">
        <v>92</v>
      </c>
      <c r="F79" s="2">
        <f t="shared" si="62"/>
        <v>10</v>
      </c>
      <c r="G79" s="2">
        <f t="shared" si="63"/>
        <v>4.5714285714285721</v>
      </c>
      <c r="H79" s="2">
        <f t="shared" si="64"/>
        <v>3.2</v>
      </c>
      <c r="I79" s="2">
        <f t="shared" si="65"/>
        <v>6.8000000000000007</v>
      </c>
      <c r="J79" s="2">
        <f t="shared" si="66"/>
        <v>1.2</v>
      </c>
      <c r="K79" s="10">
        <f t="shared" si="23"/>
        <v>2.625</v>
      </c>
      <c r="L79" s="10">
        <v>0</v>
      </c>
      <c r="M79" s="10">
        <v>1</v>
      </c>
      <c r="N79" s="2">
        <f t="shared" si="48"/>
        <v>9.1428571428571441</v>
      </c>
      <c r="O79" s="2">
        <f t="shared" si="59"/>
        <v>27</v>
      </c>
      <c r="P79" s="2">
        <f t="shared" si="60"/>
        <v>45</v>
      </c>
      <c r="Q79" s="2">
        <f>(AVERAGE(VLOOKUP(E79,weapon_components!$A$8:$M$178,9,0),VLOOKUP(E79,weapon_components!$A$8:$M$178,10,0))+VLOOKUP(E79,weapon_components!$A$8:$M$178,11,0))/10</f>
        <v>3.15</v>
      </c>
      <c r="R79" s="2">
        <f>VLOOKUP(E79,weapon_components!$A$8:$M$178,13,0)</f>
        <v>0.8</v>
      </c>
      <c r="S79" s="2">
        <f t="shared" si="67"/>
        <v>45</v>
      </c>
      <c r="T79" s="2">
        <v>0</v>
      </c>
      <c r="U79" s="14">
        <f>-INDEX('Ship Design Balancing'!$K$2:$K$6,'Weapon Formulas'!C79)*(INDEX('Weapon Formulas'!$R$1:$R$3,'Weapon Formulas'!D79+2)*(1+'Weapon Formulas'!B79))</f>
        <v>-53.333333333333329</v>
      </c>
    </row>
    <row r="80" spans="1:21" x14ac:dyDescent="0.25">
      <c r="A80" s="21">
        <f t="shared" si="61"/>
        <v>-2.7E-2</v>
      </c>
      <c r="C80" s="2">
        <v>4</v>
      </c>
      <c r="D80" s="2">
        <v>1</v>
      </c>
      <c r="E80" s="16" t="s">
        <v>93</v>
      </c>
      <c r="F80" s="2">
        <f t="shared" si="62"/>
        <v>10</v>
      </c>
      <c r="G80" s="2">
        <f t="shared" si="63"/>
        <v>2.8571428571428572</v>
      </c>
      <c r="H80" s="2">
        <f t="shared" si="64"/>
        <v>2</v>
      </c>
      <c r="I80" s="2">
        <f t="shared" si="65"/>
        <v>8</v>
      </c>
      <c r="J80" s="2">
        <f t="shared" si="66"/>
        <v>0.99999999999999989</v>
      </c>
      <c r="K80" s="10">
        <f t="shared" si="23"/>
        <v>7</v>
      </c>
      <c r="L80" s="10">
        <v>0</v>
      </c>
      <c r="M80" s="10">
        <v>1</v>
      </c>
      <c r="N80" s="2">
        <f t="shared" si="48"/>
        <v>11.428571428571429</v>
      </c>
      <c r="O80" s="2">
        <f t="shared" si="59"/>
        <v>36</v>
      </c>
      <c r="P80" s="2">
        <f t="shared" si="60"/>
        <v>60</v>
      </c>
      <c r="Q80" s="2">
        <f>(AVERAGE(VLOOKUP(E80,weapon_components!$A$8:$M$178,9,0),VLOOKUP(E80,weapon_components!$A$8:$M$178,10,0))+VLOOKUP(E80,weapon_components!$A$8:$M$178,11,0))/10</f>
        <v>3.15</v>
      </c>
      <c r="R80" s="2">
        <f>VLOOKUP(E80,weapon_components!$A$8:$M$178,13,0)</f>
        <v>0.75</v>
      </c>
      <c r="S80" s="2">
        <f t="shared" si="67"/>
        <v>54</v>
      </c>
      <c r="T80" s="2">
        <v>0</v>
      </c>
      <c r="U80" s="14">
        <f>-INDEX('Ship Design Balancing'!$K$2:$K$6,'Weapon Formulas'!C80)*(INDEX('Weapon Formulas'!$R$1:$R$3,'Weapon Formulas'!D80+2)*(1+'Weapon Formulas'!B80))</f>
        <v>-106.66666666666666</v>
      </c>
    </row>
    <row r="81" spans="1:21" x14ac:dyDescent="0.25">
      <c r="A81" s="21">
        <f t="shared" si="61"/>
        <v>2.7E-2</v>
      </c>
      <c r="C81" s="2">
        <v>5</v>
      </c>
      <c r="D81" s="2">
        <v>-1</v>
      </c>
      <c r="E81" s="16" t="s">
        <v>94</v>
      </c>
      <c r="F81" s="2">
        <f t="shared" si="62"/>
        <v>12.5</v>
      </c>
      <c r="G81" s="2">
        <f t="shared" si="63"/>
        <v>8.8000000000000007</v>
      </c>
      <c r="H81" s="2">
        <f t="shared" si="64"/>
        <v>5.5</v>
      </c>
      <c r="I81" s="2">
        <f t="shared" si="65"/>
        <v>7.0000000000000009</v>
      </c>
      <c r="J81" s="2">
        <f t="shared" si="66"/>
        <v>1.5</v>
      </c>
      <c r="K81" s="10">
        <f t="shared" si="23"/>
        <v>0.4545454545454547</v>
      </c>
      <c r="L81" s="10">
        <v>0</v>
      </c>
      <c r="M81" s="10">
        <v>1</v>
      </c>
      <c r="N81" s="2">
        <f t="shared" si="48"/>
        <v>8.8000000000000007</v>
      </c>
      <c r="O81" s="2">
        <f t="shared" si="59"/>
        <v>25.353658536585371</v>
      </c>
      <c r="P81" s="2">
        <f t="shared" si="60"/>
        <v>42.256097560975618</v>
      </c>
      <c r="Q81" s="2">
        <f>(AVERAGE(VLOOKUP(E81,weapon_components!$A$8:$M$178,9,0),VLOOKUP(E81,weapon_components!$A$8:$M$178,10,0))+VLOOKUP(E81,weapon_components!$A$8:$M$178,11,0))/10</f>
        <v>3.15</v>
      </c>
      <c r="R81" s="2">
        <f>VLOOKUP(E81,weapon_components!$A$8:$M$178,13,0)</f>
        <v>0.82</v>
      </c>
      <c r="S81" s="2">
        <f t="shared" si="67"/>
        <v>36</v>
      </c>
      <c r="T81" s="2">
        <v>0</v>
      </c>
      <c r="U81" s="14">
        <f>-INDEX('Ship Design Balancing'!$K$2:$K$6,'Weapon Formulas'!C81)*(INDEX('Weapon Formulas'!$R$1:$R$3,'Weapon Formulas'!D81+2)*(1+'Weapon Formulas'!B81))</f>
        <v>-53.333333333333329</v>
      </c>
    </row>
    <row r="82" spans="1:21" x14ac:dyDescent="0.25">
      <c r="A82" s="21">
        <f t="shared" si="61"/>
        <v>0</v>
      </c>
      <c r="C82" s="2">
        <v>5</v>
      </c>
      <c r="D82" s="2">
        <v>0</v>
      </c>
      <c r="E82" s="16" t="s">
        <v>95</v>
      </c>
      <c r="F82" s="2">
        <f t="shared" si="62"/>
        <v>12.5</v>
      </c>
      <c r="G82" s="2">
        <f t="shared" si="63"/>
        <v>6.4</v>
      </c>
      <c r="H82" s="2">
        <f t="shared" si="64"/>
        <v>4</v>
      </c>
      <c r="I82" s="2">
        <f t="shared" si="65"/>
        <v>8.5</v>
      </c>
      <c r="J82" s="2">
        <f t="shared" si="66"/>
        <v>1.25</v>
      </c>
      <c r="K82" s="10">
        <f t="shared" si="23"/>
        <v>1.875</v>
      </c>
      <c r="L82" s="10">
        <v>0</v>
      </c>
      <c r="M82" s="10">
        <v>1</v>
      </c>
      <c r="N82" s="2">
        <f t="shared" si="48"/>
        <v>12.8</v>
      </c>
      <c r="O82" s="2">
        <f t="shared" si="59"/>
        <v>37.799999999999997</v>
      </c>
      <c r="P82" s="2">
        <f t="shared" si="60"/>
        <v>63</v>
      </c>
      <c r="Q82" s="2">
        <f>(AVERAGE(VLOOKUP(E82,weapon_components!$A$8:$M$178,9,0),VLOOKUP(E82,weapon_components!$A$8:$M$178,10,0))+VLOOKUP(E82,weapon_components!$A$8:$M$178,11,0))/10</f>
        <v>3.15</v>
      </c>
      <c r="R82" s="2">
        <f>VLOOKUP(E82,weapon_components!$A$8:$M$178,13,0)</f>
        <v>0.8</v>
      </c>
      <c r="S82" s="2">
        <f t="shared" si="67"/>
        <v>45</v>
      </c>
      <c r="T82" s="2">
        <v>0</v>
      </c>
      <c r="U82" s="14">
        <f>-INDEX('Ship Design Balancing'!$K$2:$K$6,'Weapon Formulas'!C82)*(INDEX('Weapon Formulas'!$R$1:$R$3,'Weapon Formulas'!D82+2)*(1+'Weapon Formulas'!B82))</f>
        <v>-106.66666666666666</v>
      </c>
    </row>
    <row r="83" spans="1:21" x14ac:dyDescent="0.25">
      <c r="A83" s="21">
        <f t="shared" si="61"/>
        <v>-2.7E-2</v>
      </c>
      <c r="C83" s="2">
        <v>5</v>
      </c>
      <c r="D83" s="2">
        <v>1</v>
      </c>
      <c r="E83" s="16" t="s">
        <v>96</v>
      </c>
      <c r="F83" s="2">
        <f t="shared" si="62"/>
        <v>12.5</v>
      </c>
      <c r="G83" s="2">
        <f t="shared" si="63"/>
        <v>4</v>
      </c>
      <c r="H83" s="2">
        <f t="shared" si="64"/>
        <v>2.5</v>
      </c>
      <c r="I83" s="2">
        <f t="shared" si="65"/>
        <v>10</v>
      </c>
      <c r="J83" s="2">
        <f t="shared" si="66"/>
        <v>0.99999999999999989</v>
      </c>
      <c r="K83" s="10">
        <f t="shared" si="23"/>
        <v>5</v>
      </c>
      <c r="L83" s="10">
        <v>0</v>
      </c>
      <c r="M83" s="10">
        <v>1</v>
      </c>
      <c r="N83" s="2">
        <f t="shared" si="48"/>
        <v>16.000000000000004</v>
      </c>
      <c r="O83" s="2">
        <f t="shared" si="59"/>
        <v>50.400000000000006</v>
      </c>
      <c r="P83" s="2">
        <f t="shared" si="60"/>
        <v>84</v>
      </c>
      <c r="Q83" s="2">
        <f>(AVERAGE(VLOOKUP(E83,weapon_components!$A$8:$M$178,9,0),VLOOKUP(E83,weapon_components!$A$8:$M$178,10,0))+VLOOKUP(E83,weapon_components!$A$8:$M$178,11,0))/10</f>
        <v>3.15</v>
      </c>
      <c r="R83" s="2">
        <f>VLOOKUP(E83,weapon_components!$A$8:$M$178,13,0)</f>
        <v>0.75</v>
      </c>
      <c r="S83" s="2">
        <f t="shared" si="67"/>
        <v>54</v>
      </c>
      <c r="T83" s="2">
        <v>0</v>
      </c>
      <c r="U83" s="14">
        <f>-INDEX('Ship Design Balancing'!$K$2:$K$6,'Weapon Formulas'!C83)*(INDEX('Weapon Formulas'!$R$1:$R$3,'Weapon Formulas'!D83+2)*(1+'Weapon Formulas'!B83))</f>
        <v>-213.33333333333331</v>
      </c>
    </row>
    <row r="84" spans="1:21" x14ac:dyDescent="0.25">
      <c r="A84" s="21">
        <f t="shared" si="61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14"/>
    </row>
    <row r="85" spans="1:21" x14ac:dyDescent="0.25">
      <c r="A85" s="21">
        <f t="shared" si="61"/>
        <v>7.4999999999999997E-2</v>
      </c>
      <c r="C85">
        <v>4</v>
      </c>
      <c r="D85">
        <v>1</v>
      </c>
      <c r="E85" s="5" t="s">
        <v>98</v>
      </c>
      <c r="F85" s="2">
        <f t="shared" si="62"/>
        <v>10</v>
      </c>
      <c r="G85" s="2">
        <f>IF(G$84=1,H85,H85/(1-INDEX($O$2:$O$6,C85)))</f>
        <v>21.428571428571431</v>
      </c>
      <c r="H85" s="2">
        <f t="shared" si="66"/>
        <v>15</v>
      </c>
      <c r="I85" s="2">
        <f t="shared" si="66"/>
        <v>3.9999999999999996</v>
      </c>
      <c r="J85" s="2">
        <f t="shared" si="66"/>
        <v>0.99999999999999989</v>
      </c>
      <c r="K85" s="10">
        <v>-1</v>
      </c>
      <c r="L85" s="10">
        <f t="shared" ref="L85" si="68">J85/F85</f>
        <v>9.9999999999999992E-2</v>
      </c>
      <c r="M85" s="10">
        <v>0</v>
      </c>
      <c r="N85" s="2">
        <f t="shared" si="48"/>
        <v>2.56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2">
        <v>0.8</v>
      </c>
      <c r="S85" s="2">
        <v>20</v>
      </c>
      <c r="T85" s="2">
        <v>0</v>
      </c>
      <c r="U85" s="14">
        <f>-INDEX('Ship Design Balancing'!$K$2:$K$6,'Weapon Formulas'!C85)*(INDEX('Weapon Formulas'!$R$1:$R$3,'Weapon Formulas'!D85+2)*(1+'Weapon Formulas'!B85))</f>
        <v>-106.66666666666666</v>
      </c>
    </row>
    <row r="86" spans="1:21" x14ac:dyDescent="0.25">
      <c r="A86" s="21">
        <f t="shared" si="61"/>
        <v>7.4999999999999997E-2</v>
      </c>
      <c r="C86">
        <v>5</v>
      </c>
      <c r="D86">
        <v>1</v>
      </c>
      <c r="E86" s="5" t="s">
        <v>99</v>
      </c>
      <c r="F86" s="2">
        <f t="shared" si="62"/>
        <v>12.5</v>
      </c>
      <c r="G86" s="2">
        <f>IF(G$84=1,H86,H86/(1-INDEX($O$2:$O$6,C86)))</f>
        <v>32</v>
      </c>
      <c r="H86" s="2">
        <f t="shared" si="66"/>
        <v>20</v>
      </c>
      <c r="I86" s="2">
        <f t="shared" si="66"/>
        <v>3.9999999999999996</v>
      </c>
      <c r="J86" s="2">
        <f t="shared" si="66"/>
        <v>0.99999999999999989</v>
      </c>
      <c r="K86" s="10">
        <v>-1</v>
      </c>
      <c r="L86" s="10">
        <v>0.1</v>
      </c>
      <c r="M86" s="10">
        <v>0</v>
      </c>
      <c r="N86" s="2">
        <f>(AVERAGE(O86,P86)*R86)/Q86</f>
        <v>2.1333333333333333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2">
        <v>0.8</v>
      </c>
      <c r="S86" s="9">
        <v>20</v>
      </c>
      <c r="T86" s="2">
        <v>0</v>
      </c>
      <c r="U86" s="14">
        <f>-INDEX('Ship Design Balancing'!$K$2:$K$6,'Weapon Formulas'!C86)*(INDEX('Weapon Formulas'!$R$1:$R$3,'Weapon Formulas'!D86+2)*(1+'Weapon Formulas'!B86))</f>
        <v>-213.33333333333331</v>
      </c>
    </row>
    <row r="87" spans="1:21" s="14" customFormat="1" x14ac:dyDescent="0.25">
      <c r="A87" s="21">
        <f t="shared" si="61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</row>
    <row r="88" spans="1:21" x14ac:dyDescent="0.25">
      <c r="A88" s="21">
        <f t="shared" si="61"/>
        <v>-9.0000000000000011E-3</v>
      </c>
      <c r="C88" s="2">
        <v>1</v>
      </c>
      <c r="D88" s="2">
        <v>-1</v>
      </c>
      <c r="E88" s="5" t="s">
        <v>101</v>
      </c>
      <c r="F88" s="2">
        <f t="shared" si="62"/>
        <v>2.5</v>
      </c>
      <c r="G88" s="2">
        <f>IF(G$87=1,H88,H88/(1-INDEX($O$2:$O$6,C88)))</f>
        <v>2.5</v>
      </c>
      <c r="H88" s="2">
        <f>$F88*(INDEX($F$3:$F$5,H$87)+(($C88+($D88*$F$7))*INDEX($G$3:$G$5,H$9)))</f>
        <v>2.5</v>
      </c>
      <c r="I88" s="2">
        <f t="shared" ref="H88:J102" si="69">$F88*(INDEX($F$3:$F$5,I$87)+(($C88+($D88*$F$7))*INDEX($G$3:$G$5,I$9)))</f>
        <v>2</v>
      </c>
      <c r="J88" s="2">
        <f>$F88*(INDEX($F$3:$F$5,J$87)+(($C88+($D88*$F$7))*INDEX($G$3:$G$5,J$9)))</f>
        <v>2.5</v>
      </c>
      <c r="K88" s="10">
        <f t="shared" si="23"/>
        <v>-1.6666666666666661</v>
      </c>
      <c r="L88" s="10">
        <v>0</v>
      </c>
      <c r="M88" s="10">
        <v>1</v>
      </c>
      <c r="N88" s="2">
        <f t="shared" si="48"/>
        <v>2.5</v>
      </c>
      <c r="O88" s="2">
        <f>0.75*(((G88*INDEX($R$1:$R$3,$D88+2))*Q88)/R88)</f>
        <v>10.3125</v>
      </c>
      <c r="P88" s="2">
        <f>1.25*(((G88*INDEX($R$1:$R$3,$D88+2))*Q88)/R88)</f>
        <v>17.1875</v>
      </c>
      <c r="Q88" s="2">
        <f>(AVERAGE(VLOOKUP(E88,weapon_components!$A$8:$M$178,9,0),VLOOKUP(E88,weapon_components!$A$8:$M$178,10,0))+VLOOKUP(E88,weapon_components!$A$8:$M$178,11,0))/10</f>
        <v>5.5</v>
      </c>
      <c r="R88" s="2">
        <f>VLOOKUP(E88,weapon_components!$A$8:$M$178,13,0)</f>
        <v>1</v>
      </c>
      <c r="S88" s="2">
        <f>$S$87*(1+(D88*$F$8))</f>
        <v>48</v>
      </c>
      <c r="T88" s="2">
        <f>INDEX($T$2:$T$6,C88)</f>
        <v>2.5</v>
      </c>
      <c r="U88" s="14">
        <f>-INDEX('Ship Design Balancing'!$K$2:$K$6,'Weapon Formulas'!C88)*(INDEX('Weapon Formulas'!$R$1:$R$3,'Weapon Formulas'!D88+2)*(1+'Weapon Formulas'!B88))</f>
        <v>-3.333333333333333</v>
      </c>
    </row>
    <row r="89" spans="1:21" x14ac:dyDescent="0.25">
      <c r="A89" s="21">
        <f t="shared" si="61"/>
        <v>-4.4999999999999998E-2</v>
      </c>
      <c r="C89" s="2">
        <v>1</v>
      </c>
      <c r="D89" s="2">
        <v>0</v>
      </c>
      <c r="E89" s="5" t="s">
        <v>102</v>
      </c>
      <c r="F89" s="2">
        <f t="shared" si="62"/>
        <v>2.5</v>
      </c>
      <c r="G89" s="2">
        <f t="shared" ref="G89:G102" si="70">IF(G$87=1,H89,H89/(1-INDEX($O$2:$O$6,C89)))</f>
        <v>2.75</v>
      </c>
      <c r="H89" s="2">
        <f t="shared" si="69"/>
        <v>2.75</v>
      </c>
      <c r="I89" s="2">
        <f t="shared" si="69"/>
        <v>1.7999999999999998</v>
      </c>
      <c r="J89" s="2">
        <f t="shared" si="69"/>
        <v>2.4500000000000002</v>
      </c>
      <c r="K89" s="10">
        <f t="shared" si="23"/>
        <v>-3.6060606060606082</v>
      </c>
      <c r="L89" s="10">
        <v>0</v>
      </c>
      <c r="M89" s="10">
        <v>1</v>
      </c>
      <c r="N89" s="2">
        <f t="shared" si="48"/>
        <v>5.5</v>
      </c>
      <c r="O89" s="2">
        <f>0.75*(((G89*INDEX($R$1:$R$3,$D89+2))*Q89)/R89)</f>
        <v>22.6875</v>
      </c>
      <c r="P89" s="2">
        <f>1.25*(((G89*INDEX($R$1:$R$3,$D89+2))*Q89)/R89)</f>
        <v>37.8125</v>
      </c>
      <c r="Q89" s="2">
        <f>(AVERAGE(VLOOKUP(E89,weapon_components!$A$8:$M$178,9,0),VLOOKUP(E89,weapon_components!$A$8:$M$178,10,0))+VLOOKUP(E89,weapon_components!$A$8:$M$178,11,0))/10</f>
        <v>5.5</v>
      </c>
      <c r="R89" s="2">
        <f>VLOOKUP(E89,weapon_components!$A$8:$M$178,13,0)</f>
        <v>1</v>
      </c>
      <c r="S89" s="2">
        <f t="shared" ref="S89:S102" si="71">$S$87*(1+(D89*$F$8))</f>
        <v>60</v>
      </c>
      <c r="T89" s="2">
        <f t="shared" ref="T89:T115" si="72">INDEX($T$2:$T$6,C89)</f>
        <v>2.5</v>
      </c>
      <c r="U89" s="14">
        <f>-INDEX('Ship Design Balancing'!$K$2:$K$6,'Weapon Formulas'!C89)*(INDEX('Weapon Formulas'!$R$1:$R$3,'Weapon Formulas'!D89+2)*(1+'Weapon Formulas'!B89))</f>
        <v>-6.6666666666666661</v>
      </c>
    </row>
    <row r="90" spans="1:21" x14ac:dyDescent="0.25">
      <c r="A90" s="21">
        <f t="shared" si="61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2.5</v>
      </c>
      <c r="G90" s="2">
        <f t="shared" si="70"/>
        <v>3</v>
      </c>
      <c r="H90" s="2">
        <f t="shared" si="69"/>
        <v>3</v>
      </c>
      <c r="I90" s="2">
        <f t="shared" si="69"/>
        <v>1.6</v>
      </c>
      <c r="J90" s="2">
        <f t="shared" si="69"/>
        <v>2.4</v>
      </c>
      <c r="K90" s="10">
        <f t="shared" ref="K90:K102" si="73">1-((1-(I90/G90))/INDEX($P$2:$P$6,C90))</f>
        <v>-5.2222222222222223</v>
      </c>
      <c r="L90" s="10">
        <v>0</v>
      </c>
      <c r="M90" s="10">
        <v>1</v>
      </c>
      <c r="N90" s="2">
        <f t="shared" ref="N90:N115" si="74">(AVERAGE(O90,P90)*R90)/Q90</f>
        <v>12</v>
      </c>
      <c r="O90" s="2">
        <f t="shared" ref="O90:O115" si="75">0.75*(((G90*INDEX($R$1:$R$3,$D90+2))*Q90)/R90)</f>
        <v>49.5</v>
      </c>
      <c r="P90" s="2">
        <f t="shared" ref="P90:P115" si="76">1.25*(((G90*INDEX($R$1:$R$3,$D90+2))*Q90)/R90)</f>
        <v>82.5</v>
      </c>
      <c r="Q90" s="2">
        <f>(AVERAGE(VLOOKUP(E90,weapon_components!$A$8:$M$178,9,0),VLOOKUP(E90,weapon_components!$A$8:$M$178,10,0))+VLOOKUP(E90,weapon_components!$A$8:$M$178,11,0))/10</f>
        <v>5.5</v>
      </c>
      <c r="R90" s="2">
        <f>VLOOKUP(E90,weapon_components!$A$8:$M$178,13,0)</f>
        <v>1</v>
      </c>
      <c r="S90" s="2">
        <f t="shared" si="71"/>
        <v>72</v>
      </c>
      <c r="T90" s="2">
        <f t="shared" si="72"/>
        <v>2.5</v>
      </c>
      <c r="U90" s="14">
        <f>-INDEX('Ship Design Balancing'!$K$2:$K$6,'Weapon Formulas'!C90)*(INDEX('Weapon Formulas'!$R$1:$R$3,'Weapon Formulas'!D90+2)*(1+'Weapon Formulas'!B90))</f>
        <v>-13.333333333333332</v>
      </c>
    </row>
    <row r="91" spans="1:21" x14ac:dyDescent="0.25">
      <c r="A91" s="21">
        <f t="shared" si="61"/>
        <v>-9.0000000000000011E-3</v>
      </c>
      <c r="C91" s="2">
        <v>2</v>
      </c>
      <c r="D91" s="2">
        <v>-1</v>
      </c>
      <c r="E91" s="5" t="s">
        <v>104</v>
      </c>
      <c r="F91" s="2">
        <f t="shared" si="62"/>
        <v>5</v>
      </c>
      <c r="G91" s="2">
        <f t="shared" si="70"/>
        <v>5.5</v>
      </c>
      <c r="H91" s="2">
        <f t="shared" si="69"/>
        <v>5.5</v>
      </c>
      <c r="I91" s="2">
        <f t="shared" si="69"/>
        <v>3.5999999999999996</v>
      </c>
      <c r="J91" s="2">
        <f t="shared" si="69"/>
        <v>4.9000000000000004</v>
      </c>
      <c r="K91" s="10">
        <f t="shared" si="73"/>
        <v>-1.3030303030303041</v>
      </c>
      <c r="L91" s="10">
        <v>0</v>
      </c>
      <c r="M91" s="10">
        <v>1</v>
      </c>
      <c r="N91" s="2">
        <f t="shared" si="74"/>
        <v>5.5</v>
      </c>
      <c r="O91" s="2">
        <f t="shared" si="75"/>
        <v>22.6875</v>
      </c>
      <c r="P91" s="2">
        <f t="shared" si="76"/>
        <v>37.8125</v>
      </c>
      <c r="Q91" s="2">
        <f>(AVERAGE(VLOOKUP(E91,weapon_components!$A$8:$M$178,9,0),VLOOKUP(E91,weapon_components!$A$8:$M$178,10,0))+VLOOKUP(E91,weapon_components!$A$8:$M$178,11,0))/10</f>
        <v>5.5</v>
      </c>
      <c r="R91" s="2">
        <f>VLOOKUP(E91,weapon_components!$A$8:$M$178,13,0)</f>
        <v>1</v>
      </c>
      <c r="S91" s="2">
        <f t="shared" si="71"/>
        <v>48</v>
      </c>
      <c r="T91" s="2">
        <f t="shared" si="72"/>
        <v>3.75</v>
      </c>
      <c r="U91" s="14">
        <f>-INDEX('Ship Design Balancing'!$K$2:$K$6,'Weapon Formulas'!C91)*(INDEX('Weapon Formulas'!$R$1:$R$3,'Weapon Formulas'!D91+2)*(1+'Weapon Formulas'!B91))</f>
        <v>-6.6666666666666661</v>
      </c>
    </row>
    <row r="92" spans="1:21" x14ac:dyDescent="0.25">
      <c r="A92" s="21">
        <f t="shared" si="61"/>
        <v>-4.4999999999999998E-2</v>
      </c>
      <c r="C92" s="2">
        <v>2</v>
      </c>
      <c r="D92" s="2">
        <v>0</v>
      </c>
      <c r="E92" s="5" t="s">
        <v>105</v>
      </c>
      <c r="F92" s="2">
        <f t="shared" si="62"/>
        <v>5</v>
      </c>
      <c r="G92" s="2">
        <f t="shared" si="70"/>
        <v>6</v>
      </c>
      <c r="H92" s="2">
        <f t="shared" si="69"/>
        <v>6</v>
      </c>
      <c r="I92" s="2">
        <f t="shared" si="69"/>
        <v>3.2</v>
      </c>
      <c r="J92" s="2">
        <f t="shared" si="69"/>
        <v>4.8</v>
      </c>
      <c r="K92" s="10">
        <f t="shared" si="73"/>
        <v>-2.1111111111111112</v>
      </c>
      <c r="L92" s="10">
        <v>0</v>
      </c>
      <c r="M92" s="10">
        <v>1</v>
      </c>
      <c r="N92" s="2">
        <f t="shared" si="74"/>
        <v>12</v>
      </c>
      <c r="O92" s="2">
        <f t="shared" si="75"/>
        <v>49.5</v>
      </c>
      <c r="P92" s="2">
        <f t="shared" si="76"/>
        <v>82.5</v>
      </c>
      <c r="Q92" s="2">
        <f>(AVERAGE(VLOOKUP(E92,weapon_components!$A$8:$M$178,9,0),VLOOKUP(E92,weapon_components!$A$8:$M$178,10,0))+VLOOKUP(E92,weapon_components!$A$8:$M$178,11,0))/10</f>
        <v>5.5</v>
      </c>
      <c r="R92" s="2">
        <f>VLOOKUP(E92,weapon_components!$A$8:$M$178,13,0)</f>
        <v>1</v>
      </c>
      <c r="S92" s="2">
        <f t="shared" si="71"/>
        <v>60</v>
      </c>
      <c r="T92" s="2">
        <f t="shared" si="72"/>
        <v>3.75</v>
      </c>
      <c r="U92" s="14">
        <f>-INDEX('Ship Design Balancing'!$K$2:$K$6,'Weapon Formulas'!C92)*(INDEX('Weapon Formulas'!$R$1:$R$3,'Weapon Formulas'!D92+2)*(1+'Weapon Formulas'!B92))</f>
        <v>-13.333333333333332</v>
      </c>
    </row>
    <row r="93" spans="1:21" x14ac:dyDescent="0.25">
      <c r="A93" s="21">
        <f t="shared" si="61"/>
        <v>-8.1000000000000003E-2</v>
      </c>
      <c r="C93" s="2">
        <v>2</v>
      </c>
      <c r="D93" s="2">
        <v>1</v>
      </c>
      <c r="E93" s="5" t="s">
        <v>106</v>
      </c>
      <c r="F93" s="2">
        <f t="shared" si="62"/>
        <v>5</v>
      </c>
      <c r="G93" s="2">
        <f t="shared" si="70"/>
        <v>6.5</v>
      </c>
      <c r="H93" s="2">
        <f t="shared" si="69"/>
        <v>6.5</v>
      </c>
      <c r="I93" s="2">
        <f t="shared" si="69"/>
        <v>2.8000000000000003</v>
      </c>
      <c r="J93" s="2">
        <f t="shared" si="69"/>
        <v>4.6999999999999993</v>
      </c>
      <c r="K93" s="10">
        <f t="shared" si="73"/>
        <v>-2.7948717948717947</v>
      </c>
      <c r="L93" s="10">
        <v>0</v>
      </c>
      <c r="M93" s="10">
        <v>1</v>
      </c>
      <c r="N93" s="2">
        <f t="shared" si="74"/>
        <v>26</v>
      </c>
      <c r="O93" s="2">
        <f t="shared" si="75"/>
        <v>107.25</v>
      </c>
      <c r="P93" s="2">
        <f t="shared" si="76"/>
        <v>178.75</v>
      </c>
      <c r="Q93" s="2">
        <f>(AVERAGE(VLOOKUP(E93,weapon_components!$A$8:$M$178,9,0),VLOOKUP(E93,weapon_components!$A$8:$M$178,10,0))+VLOOKUP(E93,weapon_components!$A$8:$M$178,11,0))/10</f>
        <v>5.5</v>
      </c>
      <c r="R93" s="2">
        <f>VLOOKUP(E93,weapon_components!$A$8:$M$178,13,0)</f>
        <v>1</v>
      </c>
      <c r="S93" s="2">
        <f t="shared" si="71"/>
        <v>72</v>
      </c>
      <c r="T93" s="2">
        <f t="shared" si="72"/>
        <v>3.75</v>
      </c>
      <c r="U93" s="14">
        <f>-INDEX('Ship Design Balancing'!$K$2:$K$6,'Weapon Formulas'!C93)*(INDEX('Weapon Formulas'!$R$1:$R$3,'Weapon Formulas'!D93+2)*(1+'Weapon Formulas'!B93))</f>
        <v>-26.666666666666664</v>
      </c>
    </row>
    <row r="94" spans="1:21" x14ac:dyDescent="0.25">
      <c r="A94" s="21">
        <f t="shared" si="61"/>
        <v>-9.0000000000000011E-3</v>
      </c>
      <c r="C94" s="2">
        <v>3</v>
      </c>
      <c r="D94" s="2">
        <v>-1</v>
      </c>
      <c r="E94" s="5" t="s">
        <v>107</v>
      </c>
      <c r="F94" s="2">
        <f t="shared" si="62"/>
        <v>7.5</v>
      </c>
      <c r="G94" s="2">
        <f t="shared" si="70"/>
        <v>9</v>
      </c>
      <c r="H94" s="2">
        <f t="shared" si="69"/>
        <v>9</v>
      </c>
      <c r="I94" s="2">
        <f t="shared" si="69"/>
        <v>4.8</v>
      </c>
      <c r="J94" s="2">
        <f t="shared" si="69"/>
        <v>7.1999999999999993</v>
      </c>
      <c r="K94" s="10">
        <f t="shared" si="73"/>
        <v>-1.0740740740740744</v>
      </c>
      <c r="L94" s="10">
        <v>0</v>
      </c>
      <c r="M94" s="10">
        <v>1</v>
      </c>
      <c r="N94" s="2">
        <f t="shared" si="74"/>
        <v>9</v>
      </c>
      <c r="O94" s="2">
        <f t="shared" si="75"/>
        <v>37.125</v>
      </c>
      <c r="P94" s="2">
        <f t="shared" si="76"/>
        <v>61.875</v>
      </c>
      <c r="Q94" s="2">
        <f>(AVERAGE(VLOOKUP(E94,weapon_components!$A$8:$M$178,9,0),VLOOKUP(E94,weapon_components!$A$8:$M$178,10,0))+VLOOKUP(E94,weapon_components!$A$8:$M$178,11,0))/10</f>
        <v>5.5</v>
      </c>
      <c r="R94" s="2">
        <f>VLOOKUP(E94,weapon_components!$A$8:$M$178,13,0)</f>
        <v>1</v>
      </c>
      <c r="S94" s="2">
        <f t="shared" si="71"/>
        <v>48</v>
      </c>
      <c r="T94" s="2">
        <f t="shared" si="72"/>
        <v>5</v>
      </c>
      <c r="U94" s="14">
        <f>-INDEX('Ship Design Balancing'!$K$2:$K$6,'Weapon Formulas'!C94)*(INDEX('Weapon Formulas'!$R$1:$R$3,'Weapon Formulas'!D94+2)*(1+'Weapon Formulas'!B94))</f>
        <v>-13.333333333333332</v>
      </c>
    </row>
    <row r="95" spans="1:21" x14ac:dyDescent="0.25">
      <c r="A95" s="21">
        <f t="shared" si="61"/>
        <v>-4.4999999999999998E-2</v>
      </c>
      <c r="C95" s="2">
        <v>3</v>
      </c>
      <c r="D95" s="2">
        <v>0</v>
      </c>
      <c r="E95" s="5" t="s">
        <v>108</v>
      </c>
      <c r="F95" s="2">
        <f t="shared" si="62"/>
        <v>7.5</v>
      </c>
      <c r="G95" s="2">
        <f t="shared" si="70"/>
        <v>9.75</v>
      </c>
      <c r="H95" s="2">
        <f t="shared" si="69"/>
        <v>9.75</v>
      </c>
      <c r="I95" s="2">
        <f t="shared" si="69"/>
        <v>4.2</v>
      </c>
      <c r="J95" s="2">
        <f t="shared" si="69"/>
        <v>7.05</v>
      </c>
      <c r="K95" s="10">
        <f t="shared" si="73"/>
        <v>-1.5299145299145303</v>
      </c>
      <c r="L95" s="10">
        <v>0</v>
      </c>
      <c r="M95" s="10">
        <v>1</v>
      </c>
      <c r="N95" s="2">
        <f t="shared" si="74"/>
        <v>19.5</v>
      </c>
      <c r="O95" s="2">
        <f t="shared" si="75"/>
        <v>80.4375</v>
      </c>
      <c r="P95" s="2">
        <f t="shared" si="76"/>
        <v>134.0625</v>
      </c>
      <c r="Q95" s="2">
        <f>(AVERAGE(VLOOKUP(E95,weapon_components!$A$8:$M$178,9,0),VLOOKUP(E95,weapon_components!$A$8:$M$178,10,0))+VLOOKUP(E95,weapon_components!$A$8:$M$178,11,0))/10</f>
        <v>5.5</v>
      </c>
      <c r="R95" s="2">
        <f>VLOOKUP(E95,weapon_components!$A$8:$M$178,13,0)</f>
        <v>1</v>
      </c>
      <c r="S95" s="2">
        <f t="shared" si="71"/>
        <v>60</v>
      </c>
      <c r="T95" s="2">
        <f t="shared" si="72"/>
        <v>5</v>
      </c>
      <c r="U95" s="14">
        <f>-INDEX('Ship Design Balancing'!$K$2:$K$6,'Weapon Formulas'!C95)*(INDEX('Weapon Formulas'!$R$1:$R$3,'Weapon Formulas'!D95+2)*(1+'Weapon Formulas'!B95))</f>
        <v>-26.666666666666664</v>
      </c>
    </row>
    <row r="96" spans="1:21" x14ac:dyDescent="0.25">
      <c r="A96" s="21">
        <f t="shared" si="61"/>
        <v>-8.1000000000000003E-2</v>
      </c>
      <c r="C96" s="2">
        <v>3</v>
      </c>
      <c r="D96" s="2">
        <v>1</v>
      </c>
      <c r="E96" s="5" t="s">
        <v>109</v>
      </c>
      <c r="F96" s="2">
        <f t="shared" si="62"/>
        <v>7.5</v>
      </c>
      <c r="G96" s="2">
        <f t="shared" si="70"/>
        <v>10.5</v>
      </c>
      <c r="H96" s="2">
        <f t="shared" si="69"/>
        <v>10.5</v>
      </c>
      <c r="I96" s="2">
        <f t="shared" si="69"/>
        <v>3.5999999999999996</v>
      </c>
      <c r="J96" s="2">
        <f t="shared" si="69"/>
        <v>6.8999999999999995</v>
      </c>
      <c r="K96" s="10">
        <f t="shared" si="73"/>
        <v>-1.9206349206349214</v>
      </c>
      <c r="L96" s="10">
        <v>0</v>
      </c>
      <c r="M96" s="10">
        <v>1</v>
      </c>
      <c r="N96" s="2">
        <f t="shared" si="74"/>
        <v>42</v>
      </c>
      <c r="O96" s="2">
        <f t="shared" si="75"/>
        <v>173.25</v>
      </c>
      <c r="P96" s="2">
        <f t="shared" si="76"/>
        <v>288.75</v>
      </c>
      <c r="Q96" s="2">
        <f>(AVERAGE(VLOOKUP(E96,weapon_components!$A$8:$M$178,9,0),VLOOKUP(E96,weapon_components!$A$8:$M$178,10,0))+VLOOKUP(E96,weapon_components!$A$8:$M$178,11,0))/10</f>
        <v>5.5</v>
      </c>
      <c r="R96" s="2">
        <f>VLOOKUP(E96,weapon_components!$A$8:$M$178,13,0)</f>
        <v>1</v>
      </c>
      <c r="S96" s="2">
        <f t="shared" si="71"/>
        <v>72</v>
      </c>
      <c r="T96" s="2">
        <f t="shared" si="72"/>
        <v>5</v>
      </c>
      <c r="U96" s="14">
        <f>-INDEX('Ship Design Balancing'!$K$2:$K$6,'Weapon Formulas'!C96)*(INDEX('Weapon Formulas'!$R$1:$R$3,'Weapon Formulas'!D96+2)*(1+'Weapon Formulas'!B96))</f>
        <v>-53.333333333333329</v>
      </c>
    </row>
    <row r="97" spans="1:21" x14ac:dyDescent="0.25">
      <c r="A97" s="21">
        <f t="shared" si="61"/>
        <v>-9.0000000000000011E-3</v>
      </c>
      <c r="C97" s="2">
        <v>4</v>
      </c>
      <c r="D97" s="2">
        <v>-1</v>
      </c>
      <c r="E97" s="5" t="s">
        <v>110</v>
      </c>
      <c r="F97" s="2">
        <f t="shared" si="62"/>
        <v>10</v>
      </c>
      <c r="G97" s="2">
        <f t="shared" si="70"/>
        <v>13</v>
      </c>
      <c r="H97" s="2">
        <f t="shared" si="69"/>
        <v>13</v>
      </c>
      <c r="I97" s="2">
        <f t="shared" si="69"/>
        <v>5.6000000000000005</v>
      </c>
      <c r="J97" s="2">
        <f t="shared" si="69"/>
        <v>9.3999999999999986</v>
      </c>
      <c r="K97" s="10">
        <f t="shared" si="73"/>
        <v>-0.89743589743589736</v>
      </c>
      <c r="L97" s="10">
        <v>0</v>
      </c>
      <c r="M97" s="10">
        <v>1</v>
      </c>
      <c r="N97" s="2">
        <f t="shared" si="74"/>
        <v>13</v>
      </c>
      <c r="O97" s="2">
        <f t="shared" si="75"/>
        <v>53.625</v>
      </c>
      <c r="P97" s="2">
        <f t="shared" si="76"/>
        <v>89.375</v>
      </c>
      <c r="Q97" s="2">
        <f>(AVERAGE(VLOOKUP(E97,weapon_components!$A$8:$M$178,9,0),VLOOKUP(E97,weapon_components!$A$8:$M$178,10,0))+VLOOKUP(E97,weapon_components!$A$8:$M$178,11,0))/10</f>
        <v>5.5</v>
      </c>
      <c r="R97" s="2">
        <f>VLOOKUP(E97,weapon_components!$A$8:$M$178,13,0)</f>
        <v>1</v>
      </c>
      <c r="S97" s="2">
        <f t="shared" si="71"/>
        <v>48</v>
      </c>
      <c r="T97" s="2">
        <f t="shared" si="72"/>
        <v>7.5</v>
      </c>
      <c r="U97" s="14">
        <f>-INDEX('Ship Design Balancing'!$K$2:$K$6,'Weapon Formulas'!C97)*(INDEX('Weapon Formulas'!$R$1:$R$3,'Weapon Formulas'!D97+2)*(1+'Weapon Formulas'!B97))</f>
        <v>-26.666666666666664</v>
      </c>
    </row>
    <row r="98" spans="1:21" x14ac:dyDescent="0.25">
      <c r="A98" s="21">
        <f t="shared" si="61"/>
        <v>-4.4999999999999998E-2</v>
      </c>
      <c r="C98" s="2">
        <v>4</v>
      </c>
      <c r="D98" s="2">
        <v>0</v>
      </c>
      <c r="E98" s="5" t="s">
        <v>111</v>
      </c>
      <c r="F98" s="2">
        <f t="shared" si="62"/>
        <v>10</v>
      </c>
      <c r="G98" s="2">
        <f t="shared" si="70"/>
        <v>14</v>
      </c>
      <c r="H98" s="2">
        <f t="shared" si="69"/>
        <v>14</v>
      </c>
      <c r="I98" s="2">
        <f t="shared" si="69"/>
        <v>4.8</v>
      </c>
      <c r="J98" s="2">
        <f t="shared" si="69"/>
        <v>9.1999999999999993</v>
      </c>
      <c r="K98" s="10">
        <f t="shared" si="73"/>
        <v>-1.1904761904761907</v>
      </c>
      <c r="L98" s="10">
        <v>0</v>
      </c>
      <c r="M98" s="10">
        <v>1</v>
      </c>
      <c r="N98" s="2">
        <f t="shared" si="74"/>
        <v>28</v>
      </c>
      <c r="O98" s="2">
        <f t="shared" si="75"/>
        <v>115.5</v>
      </c>
      <c r="P98" s="2">
        <f t="shared" si="76"/>
        <v>192.5</v>
      </c>
      <c r="Q98" s="2">
        <f>(AVERAGE(VLOOKUP(E98,weapon_components!$A$8:$M$178,9,0),VLOOKUP(E98,weapon_components!$A$8:$M$178,10,0))+VLOOKUP(E98,weapon_components!$A$8:$M$178,11,0))/10</f>
        <v>5.5</v>
      </c>
      <c r="R98" s="2">
        <f>VLOOKUP(E98,weapon_components!$A$8:$M$178,13,0)</f>
        <v>1</v>
      </c>
      <c r="S98" s="2">
        <f t="shared" si="71"/>
        <v>60</v>
      </c>
      <c r="T98" s="2">
        <f t="shared" si="72"/>
        <v>7.5</v>
      </c>
      <c r="U98" s="14">
        <f>-INDEX('Ship Design Balancing'!$K$2:$K$6,'Weapon Formulas'!C98)*(INDEX('Weapon Formulas'!$R$1:$R$3,'Weapon Formulas'!D98+2)*(1+'Weapon Formulas'!B98))</f>
        <v>-53.333333333333329</v>
      </c>
    </row>
    <row r="99" spans="1:21" x14ac:dyDescent="0.25">
      <c r="A99" s="21">
        <f t="shared" si="61"/>
        <v>-8.1000000000000003E-2</v>
      </c>
      <c r="C99" s="2">
        <v>4</v>
      </c>
      <c r="D99" s="2">
        <v>1</v>
      </c>
      <c r="E99" s="5" t="s">
        <v>112</v>
      </c>
      <c r="F99" s="2">
        <f t="shared" si="62"/>
        <v>10</v>
      </c>
      <c r="G99" s="2">
        <f t="shared" si="70"/>
        <v>15</v>
      </c>
      <c r="H99" s="2">
        <f t="shared" si="69"/>
        <v>15</v>
      </c>
      <c r="I99" s="2">
        <f t="shared" si="69"/>
        <v>3.9999999999999996</v>
      </c>
      <c r="J99" s="2">
        <f t="shared" si="69"/>
        <v>9</v>
      </c>
      <c r="K99" s="10">
        <f t="shared" si="73"/>
        <v>-1.4444444444444446</v>
      </c>
      <c r="L99" s="10">
        <v>0</v>
      </c>
      <c r="M99" s="10">
        <v>1</v>
      </c>
      <c r="N99" s="2">
        <f t="shared" si="74"/>
        <v>60</v>
      </c>
      <c r="O99" s="2">
        <f t="shared" si="75"/>
        <v>247.5</v>
      </c>
      <c r="P99" s="2">
        <f t="shared" si="76"/>
        <v>412.5</v>
      </c>
      <c r="Q99" s="2">
        <f>(AVERAGE(VLOOKUP(E99,weapon_components!$A$8:$M$178,9,0),VLOOKUP(E99,weapon_components!$A$8:$M$178,10,0))+VLOOKUP(E99,weapon_components!$A$8:$M$178,11,0))/10</f>
        <v>5.5</v>
      </c>
      <c r="R99" s="2">
        <f>VLOOKUP(E99,weapon_components!$A$8:$M$178,13,0)</f>
        <v>1</v>
      </c>
      <c r="S99" s="2">
        <f t="shared" si="71"/>
        <v>72</v>
      </c>
      <c r="T99" s="2">
        <f t="shared" si="72"/>
        <v>7.5</v>
      </c>
      <c r="U99" s="14">
        <f>-INDEX('Ship Design Balancing'!$K$2:$K$6,'Weapon Formulas'!C99)*(INDEX('Weapon Formulas'!$R$1:$R$3,'Weapon Formulas'!D99+2)*(1+'Weapon Formulas'!B99))</f>
        <v>-106.66666666666666</v>
      </c>
    </row>
    <row r="100" spans="1:21" x14ac:dyDescent="0.25">
      <c r="A100" s="21">
        <f t="shared" si="61"/>
        <v>-9.0000000000000011E-3</v>
      </c>
      <c r="C100" s="2">
        <v>5</v>
      </c>
      <c r="D100" s="2">
        <v>-1</v>
      </c>
      <c r="E100" s="5" t="s">
        <v>113</v>
      </c>
      <c r="F100" s="2">
        <f t="shared" si="62"/>
        <v>12.5</v>
      </c>
      <c r="G100" s="2">
        <f t="shared" si="70"/>
        <v>17.5</v>
      </c>
      <c r="H100" s="2">
        <f t="shared" si="69"/>
        <v>17.5</v>
      </c>
      <c r="I100" s="2">
        <f t="shared" si="69"/>
        <v>6</v>
      </c>
      <c r="J100" s="2">
        <f t="shared" si="69"/>
        <v>11.5</v>
      </c>
      <c r="K100" s="10">
        <f t="shared" si="73"/>
        <v>-0.75238095238095237</v>
      </c>
      <c r="L100" s="10">
        <v>0</v>
      </c>
      <c r="M100" s="10">
        <v>1</v>
      </c>
      <c r="N100" s="2">
        <f t="shared" si="74"/>
        <v>17.5</v>
      </c>
      <c r="O100" s="2">
        <f t="shared" si="75"/>
        <v>72.1875</v>
      </c>
      <c r="P100" s="2">
        <f t="shared" si="76"/>
        <v>120.3125</v>
      </c>
      <c r="Q100" s="2">
        <f>(AVERAGE(VLOOKUP(E100,weapon_components!$A$8:$M$178,9,0),VLOOKUP(E100,weapon_components!$A$8:$M$178,10,0))+VLOOKUP(E100,weapon_components!$A$8:$M$178,11,0))/10</f>
        <v>5.5</v>
      </c>
      <c r="R100" s="2">
        <f>VLOOKUP(E100,weapon_components!$A$8:$M$178,13,0)</f>
        <v>1</v>
      </c>
      <c r="S100" s="2">
        <f t="shared" si="71"/>
        <v>48</v>
      </c>
      <c r="T100" s="2">
        <f t="shared" si="72"/>
        <v>10</v>
      </c>
      <c r="U100" s="14">
        <f>-INDEX('Ship Design Balancing'!$K$2:$K$6,'Weapon Formulas'!C100)*(INDEX('Weapon Formulas'!$R$1:$R$3,'Weapon Formulas'!D100+2)*(1+'Weapon Formulas'!B100))</f>
        <v>-53.333333333333329</v>
      </c>
    </row>
    <row r="101" spans="1:21" x14ac:dyDescent="0.25">
      <c r="A101" s="21">
        <f t="shared" si="61"/>
        <v>-4.4999999999999998E-2</v>
      </c>
      <c r="C101" s="2">
        <v>5</v>
      </c>
      <c r="D101" s="2">
        <v>0</v>
      </c>
      <c r="E101" s="5" t="s">
        <v>114</v>
      </c>
      <c r="F101" s="2">
        <f t="shared" si="62"/>
        <v>12.5</v>
      </c>
      <c r="G101" s="2">
        <f t="shared" si="70"/>
        <v>18.75</v>
      </c>
      <c r="H101" s="2">
        <f t="shared" si="69"/>
        <v>18.75</v>
      </c>
      <c r="I101" s="2">
        <f t="shared" si="69"/>
        <v>5</v>
      </c>
      <c r="J101" s="2">
        <f t="shared" si="69"/>
        <v>11.25</v>
      </c>
      <c r="K101" s="10">
        <f t="shared" si="73"/>
        <v>-0.95555555555555571</v>
      </c>
      <c r="L101" s="10">
        <v>0</v>
      </c>
      <c r="M101" s="10">
        <v>1</v>
      </c>
      <c r="N101" s="2">
        <f t="shared" si="74"/>
        <v>37.5</v>
      </c>
      <c r="O101" s="2">
        <f t="shared" si="75"/>
        <v>154.6875</v>
      </c>
      <c r="P101" s="2">
        <f t="shared" si="76"/>
        <v>257.8125</v>
      </c>
      <c r="Q101" s="2">
        <f>(AVERAGE(VLOOKUP(E101,weapon_components!$A$8:$M$178,9,0),VLOOKUP(E101,weapon_components!$A$8:$M$178,10,0))+VLOOKUP(E101,weapon_components!$A$8:$M$178,11,0))/10</f>
        <v>5.5</v>
      </c>
      <c r="R101" s="2">
        <f>VLOOKUP(E101,weapon_components!$A$8:$M$178,13,0)</f>
        <v>1</v>
      </c>
      <c r="S101" s="2">
        <f t="shared" si="71"/>
        <v>60</v>
      </c>
      <c r="T101" s="2">
        <f t="shared" si="72"/>
        <v>10</v>
      </c>
      <c r="U101" s="14">
        <f>-INDEX('Ship Design Balancing'!$K$2:$K$6,'Weapon Formulas'!C101)*(INDEX('Weapon Formulas'!$R$1:$R$3,'Weapon Formulas'!D101+2)*(1+'Weapon Formulas'!B101))</f>
        <v>-106.66666666666666</v>
      </c>
    </row>
    <row r="102" spans="1:21" x14ac:dyDescent="0.25">
      <c r="A102" s="21">
        <f t="shared" si="61"/>
        <v>-8.1000000000000003E-2</v>
      </c>
      <c r="C102" s="2">
        <v>5</v>
      </c>
      <c r="D102" s="2">
        <v>1</v>
      </c>
      <c r="E102" s="5" t="s">
        <v>115</v>
      </c>
      <c r="F102" s="2">
        <f t="shared" si="62"/>
        <v>12.5</v>
      </c>
      <c r="G102" s="2">
        <f t="shared" si="70"/>
        <v>20</v>
      </c>
      <c r="H102" s="2">
        <f t="shared" si="69"/>
        <v>20</v>
      </c>
      <c r="I102" s="2">
        <f t="shared" si="69"/>
        <v>3.9999999999999996</v>
      </c>
      <c r="J102" s="2">
        <f t="shared" si="69"/>
        <v>11</v>
      </c>
      <c r="K102" s="10">
        <f t="shared" si="73"/>
        <v>-1.1333333333333333</v>
      </c>
      <c r="L102" s="10">
        <v>0</v>
      </c>
      <c r="M102" s="10">
        <v>1</v>
      </c>
      <c r="N102" s="2">
        <f t="shared" si="74"/>
        <v>80</v>
      </c>
      <c r="O102" s="2">
        <f t="shared" si="75"/>
        <v>330</v>
      </c>
      <c r="P102" s="2">
        <f t="shared" si="76"/>
        <v>550</v>
      </c>
      <c r="Q102" s="2">
        <f>(AVERAGE(VLOOKUP(E102,weapon_components!$A$8:$M$178,9,0),VLOOKUP(E102,weapon_components!$A$8:$M$178,10,0))+VLOOKUP(E102,weapon_components!$A$8:$M$178,11,0))/10</f>
        <v>5.5</v>
      </c>
      <c r="R102" s="2">
        <f>VLOOKUP(E102,weapon_components!$A$8:$M$178,13,0)</f>
        <v>1</v>
      </c>
      <c r="S102" s="2">
        <f t="shared" si="71"/>
        <v>72</v>
      </c>
      <c r="T102" s="2">
        <f t="shared" si="72"/>
        <v>10</v>
      </c>
      <c r="U102" s="14">
        <f>-INDEX('Ship Design Balancing'!$K$2:$K$6,'Weapon Formulas'!C102)*(INDEX('Weapon Formulas'!$R$1:$R$3,'Weapon Formulas'!D102+2)*(1+'Weapon Formulas'!B102))</f>
        <v>-213.33333333333331</v>
      </c>
    </row>
    <row r="103" spans="1:21" x14ac:dyDescent="0.25">
      <c r="A103" s="21">
        <f t="shared" si="61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14"/>
    </row>
    <row r="104" spans="1:21" x14ac:dyDescent="0.25">
      <c r="A104" s="21">
        <f t="shared" si="61"/>
        <v>-9.0000000000000011E-3</v>
      </c>
      <c r="C104">
        <v>3</v>
      </c>
      <c r="D104" s="2">
        <v>-1</v>
      </c>
      <c r="E104" s="5" t="s">
        <v>117</v>
      </c>
      <c r="F104" s="2">
        <f t="shared" si="62"/>
        <v>7.5</v>
      </c>
      <c r="G104" s="2">
        <f>H104</f>
        <v>9</v>
      </c>
      <c r="H104" s="2">
        <f>$F104*(INDEX($F$3:$F$5,H$87)+(($C104+($D104*$F$7))*INDEX($G$3:$G$5,H$9)))</f>
        <v>9</v>
      </c>
      <c r="I104" s="2">
        <f>$F104*(INDEX($F$3:$F$5,I$103)+(($C104+($D104*$F$7))*INDEX($G$3:$G$5,I$9)))</f>
        <v>6.3</v>
      </c>
      <c r="J104" s="2">
        <f>$F104*(INDEX($F$3:$F$5,J$103)+(($C104+($D104*$F$7))*INDEX($G$3:$G$5,J$9)))</f>
        <v>5.7</v>
      </c>
      <c r="K104" s="10">
        <f t="shared" ref="K104:K112" si="77">1-((1-(I104/G104))/INDEX($P$2:$P$6,C104))</f>
        <v>-0.3333333333333337</v>
      </c>
      <c r="L104" s="10">
        <v>0</v>
      </c>
      <c r="M104" s="10">
        <v>1</v>
      </c>
      <c r="N104" s="2">
        <f t="shared" si="74"/>
        <v>9</v>
      </c>
      <c r="O104" s="2">
        <f t="shared" si="75"/>
        <v>56.362499999999997</v>
      </c>
      <c r="P104" s="2">
        <f t="shared" si="76"/>
        <v>93.937499999999986</v>
      </c>
      <c r="Q104" s="2">
        <f>(AVERAGE(VLOOKUP(E104,weapon_components!$A$8:$M$178,9,0),VLOOKUP(E104,weapon_components!$A$8:$M$178,10,0))+VLOOKUP(E104,weapon_components!$A$8:$M$178,11,0))/10</f>
        <v>8.35</v>
      </c>
      <c r="R104" s="2">
        <f>VLOOKUP(E104,weapon_components!$A$8:$M$178,13,0)</f>
        <v>1</v>
      </c>
      <c r="S104" s="2">
        <f>$S$103*(1+(D104*$F$8))</f>
        <v>48</v>
      </c>
      <c r="T104" s="2">
        <f t="shared" si="72"/>
        <v>5</v>
      </c>
      <c r="U104" s="14">
        <f>-INDEX('Ship Design Balancing'!$K$2:$K$6,'Weapon Formulas'!C104)*(INDEX('Weapon Formulas'!$R$1:$R$3,'Weapon Formulas'!D104+2)*(1+'Weapon Formulas'!B104))</f>
        <v>-13.333333333333332</v>
      </c>
    </row>
    <row r="105" spans="1:21" x14ac:dyDescent="0.25">
      <c r="A105" s="21">
        <f t="shared" si="61"/>
        <v>-4.4999999999999998E-2</v>
      </c>
      <c r="C105">
        <v>3</v>
      </c>
      <c r="D105" s="2">
        <v>0</v>
      </c>
      <c r="E105" s="5" t="s">
        <v>118</v>
      </c>
      <c r="F105" s="2">
        <f t="shared" si="62"/>
        <v>7.5</v>
      </c>
      <c r="G105" s="2">
        <f t="shared" ref="G105:G112" si="78">H105</f>
        <v>9.75</v>
      </c>
      <c r="H105" s="2">
        <f t="shared" ref="H105:H112" si="79">$F105*(INDEX($F$3:$F$5,H$103)+(($C105+($D105*$F$7))*INDEX($G$3:$G$5,H$9)))</f>
        <v>9.75</v>
      </c>
      <c r="I105" s="2">
        <f t="shared" ref="I105:J112" si="80">$F105*(INDEX($F$3:$F$5,I$103)+(($C105+($D105*$F$7))*INDEX($G$3:$G$5,I$9)))</f>
        <v>5.7</v>
      </c>
      <c r="J105" s="2">
        <f t="shared" si="80"/>
        <v>5.55</v>
      </c>
      <c r="K105" s="10">
        <f t="shared" si="77"/>
        <v>-0.84615384615384626</v>
      </c>
      <c r="L105" s="10">
        <v>0</v>
      </c>
      <c r="M105" s="10">
        <v>1</v>
      </c>
      <c r="N105" s="2">
        <f t="shared" si="74"/>
        <v>19.5</v>
      </c>
      <c r="O105" s="2">
        <f t="shared" si="75"/>
        <v>122.11874999999999</v>
      </c>
      <c r="P105" s="2">
        <f t="shared" si="76"/>
        <v>203.53125</v>
      </c>
      <c r="Q105" s="2">
        <f>(AVERAGE(VLOOKUP(E105,weapon_components!$A$8:$M$178,9,0),VLOOKUP(E105,weapon_components!$A$8:$M$178,10,0))+VLOOKUP(E105,weapon_components!$A$8:$M$178,11,0))/10</f>
        <v>8.35</v>
      </c>
      <c r="R105" s="2">
        <f>VLOOKUP(E105,weapon_components!$A$8:$M$178,13,0)</f>
        <v>1</v>
      </c>
      <c r="S105" s="2">
        <f t="shared" ref="S105:S112" si="81">$S$103*(1+(D105*$F$8))</f>
        <v>60</v>
      </c>
      <c r="T105" s="2">
        <f t="shared" si="72"/>
        <v>5</v>
      </c>
      <c r="U105" s="14">
        <f>-INDEX('Ship Design Balancing'!$K$2:$K$6,'Weapon Formulas'!C105)*(INDEX('Weapon Formulas'!$R$1:$R$3,'Weapon Formulas'!D105+2)*(1+'Weapon Formulas'!B105))</f>
        <v>-26.666666666666664</v>
      </c>
    </row>
    <row r="106" spans="1:21" x14ac:dyDescent="0.25">
      <c r="A106" s="21">
        <f t="shared" si="61"/>
        <v>-8.1000000000000003E-2</v>
      </c>
      <c r="C106">
        <v>3</v>
      </c>
      <c r="D106" s="2">
        <v>1</v>
      </c>
      <c r="E106" s="5" t="s">
        <v>119</v>
      </c>
      <c r="F106" s="2">
        <f t="shared" si="62"/>
        <v>7.5</v>
      </c>
      <c r="G106" s="2">
        <f t="shared" si="78"/>
        <v>10.5</v>
      </c>
      <c r="H106" s="2">
        <f t="shared" si="79"/>
        <v>10.5</v>
      </c>
      <c r="I106" s="2">
        <f t="shared" si="80"/>
        <v>5.0999999999999996</v>
      </c>
      <c r="J106" s="2">
        <f t="shared" si="80"/>
        <v>5.3999999999999995</v>
      </c>
      <c r="K106" s="10">
        <f t="shared" si="77"/>
        <v>-1.285714285714286</v>
      </c>
      <c r="L106" s="10">
        <v>0</v>
      </c>
      <c r="M106" s="10">
        <v>1</v>
      </c>
      <c r="N106" s="2">
        <f t="shared" si="74"/>
        <v>42</v>
      </c>
      <c r="O106" s="2">
        <f t="shared" si="75"/>
        <v>263.02499999999998</v>
      </c>
      <c r="P106" s="2">
        <f t="shared" si="76"/>
        <v>438.375</v>
      </c>
      <c r="Q106" s="2">
        <f>(AVERAGE(VLOOKUP(E106,weapon_components!$A$8:$M$178,9,0),VLOOKUP(E106,weapon_components!$A$8:$M$178,10,0))+VLOOKUP(E106,weapon_components!$A$8:$M$178,11,0))/10</f>
        <v>8.35</v>
      </c>
      <c r="R106" s="2">
        <f>VLOOKUP(E106,weapon_components!$A$8:$M$178,13,0)</f>
        <v>1</v>
      </c>
      <c r="S106" s="2">
        <f t="shared" si="81"/>
        <v>72</v>
      </c>
      <c r="T106" s="2">
        <f t="shared" si="72"/>
        <v>5</v>
      </c>
      <c r="U106" s="14">
        <f>-INDEX('Ship Design Balancing'!$K$2:$K$6,'Weapon Formulas'!C106)*(INDEX('Weapon Formulas'!$R$1:$R$3,'Weapon Formulas'!D106+2)*(1+'Weapon Formulas'!B106))</f>
        <v>-53.333333333333329</v>
      </c>
    </row>
    <row r="107" spans="1:21" x14ac:dyDescent="0.25">
      <c r="A107" s="21">
        <f t="shared" si="61"/>
        <v>-9.0000000000000011E-3</v>
      </c>
      <c r="C107">
        <v>4</v>
      </c>
      <c r="D107" s="2">
        <v>-1</v>
      </c>
      <c r="E107" s="5" t="s">
        <v>120</v>
      </c>
      <c r="F107" s="2">
        <f t="shared" si="62"/>
        <v>10</v>
      </c>
      <c r="G107" s="2">
        <f t="shared" si="78"/>
        <v>13</v>
      </c>
      <c r="H107" s="2">
        <f t="shared" si="79"/>
        <v>13</v>
      </c>
      <c r="I107" s="2">
        <f t="shared" si="80"/>
        <v>7.6</v>
      </c>
      <c r="J107" s="2">
        <f t="shared" si="80"/>
        <v>7.4</v>
      </c>
      <c r="K107" s="10">
        <f t="shared" si="77"/>
        <v>-0.38461538461538503</v>
      </c>
      <c r="L107" s="10">
        <v>0</v>
      </c>
      <c r="M107" s="10">
        <v>1</v>
      </c>
      <c r="N107" s="2">
        <f t="shared" si="74"/>
        <v>13</v>
      </c>
      <c r="O107" s="2">
        <f t="shared" si="75"/>
        <v>81.412499999999994</v>
      </c>
      <c r="P107" s="2">
        <f t="shared" si="76"/>
        <v>135.6875</v>
      </c>
      <c r="Q107" s="2">
        <f>(AVERAGE(VLOOKUP(E107,weapon_components!$A$8:$M$178,9,0),VLOOKUP(E107,weapon_components!$A$8:$M$178,10,0))+VLOOKUP(E107,weapon_components!$A$8:$M$178,11,0))/10</f>
        <v>8.35</v>
      </c>
      <c r="R107" s="2">
        <f>VLOOKUP(E107,weapon_components!$A$8:$M$178,13,0)</f>
        <v>1</v>
      </c>
      <c r="S107" s="2">
        <f t="shared" si="81"/>
        <v>48</v>
      </c>
      <c r="T107" s="2">
        <f t="shared" si="72"/>
        <v>7.5</v>
      </c>
      <c r="U107" s="14">
        <f>-INDEX('Ship Design Balancing'!$K$2:$K$6,'Weapon Formulas'!C107)*(INDEX('Weapon Formulas'!$R$1:$R$3,'Weapon Formulas'!D107+2)*(1+'Weapon Formulas'!B107))</f>
        <v>-26.666666666666664</v>
      </c>
    </row>
    <row r="108" spans="1:21" x14ac:dyDescent="0.25">
      <c r="A108" s="21">
        <f t="shared" si="61"/>
        <v>-4.4999999999999998E-2</v>
      </c>
      <c r="C108">
        <v>4</v>
      </c>
      <c r="D108" s="2">
        <v>0</v>
      </c>
      <c r="E108" s="5" t="s">
        <v>121</v>
      </c>
      <c r="F108" s="2">
        <f t="shared" si="62"/>
        <v>10</v>
      </c>
      <c r="G108" s="2">
        <f t="shared" si="78"/>
        <v>14</v>
      </c>
      <c r="H108" s="2">
        <f t="shared" si="79"/>
        <v>14</v>
      </c>
      <c r="I108" s="2">
        <f t="shared" si="80"/>
        <v>6.7999999999999989</v>
      </c>
      <c r="J108" s="2">
        <f t="shared" si="80"/>
        <v>7.1999999999999993</v>
      </c>
      <c r="K108" s="10">
        <f t="shared" si="77"/>
        <v>-0.71428571428571463</v>
      </c>
      <c r="L108" s="10">
        <v>0</v>
      </c>
      <c r="M108" s="10">
        <v>1</v>
      </c>
      <c r="N108" s="2">
        <f t="shared" si="74"/>
        <v>28.000000000000004</v>
      </c>
      <c r="O108" s="2">
        <f t="shared" si="75"/>
        <v>175.35</v>
      </c>
      <c r="P108" s="2">
        <f t="shared" si="76"/>
        <v>292.25</v>
      </c>
      <c r="Q108" s="2">
        <f>(AVERAGE(VLOOKUP(E108,weapon_components!$A$8:$M$178,9,0),VLOOKUP(E108,weapon_components!$A$8:$M$178,10,0))+VLOOKUP(E108,weapon_components!$A$8:$M$178,11,0))/10</f>
        <v>8.35</v>
      </c>
      <c r="R108" s="2">
        <f>VLOOKUP(E108,weapon_components!$A$8:$M$178,13,0)</f>
        <v>1</v>
      </c>
      <c r="S108" s="2">
        <f t="shared" si="81"/>
        <v>60</v>
      </c>
      <c r="T108" s="2">
        <f t="shared" si="72"/>
        <v>7.5</v>
      </c>
      <c r="U108" s="14">
        <f>-INDEX('Ship Design Balancing'!$K$2:$K$6,'Weapon Formulas'!C108)*(INDEX('Weapon Formulas'!$R$1:$R$3,'Weapon Formulas'!D108+2)*(1+'Weapon Formulas'!B108))</f>
        <v>-53.333333333333329</v>
      </c>
    </row>
    <row r="109" spans="1:21" x14ac:dyDescent="0.25">
      <c r="A109" s="21">
        <f t="shared" si="61"/>
        <v>-8.1000000000000003E-2</v>
      </c>
      <c r="C109">
        <v>4</v>
      </c>
      <c r="D109" s="2">
        <v>1</v>
      </c>
      <c r="E109" s="5" t="s">
        <v>122</v>
      </c>
      <c r="F109" s="2">
        <f t="shared" si="62"/>
        <v>10</v>
      </c>
      <c r="G109" s="2">
        <f t="shared" si="78"/>
        <v>15</v>
      </c>
      <c r="H109" s="2">
        <f t="shared" si="79"/>
        <v>15</v>
      </c>
      <c r="I109" s="2">
        <f t="shared" si="80"/>
        <v>5.9999999999999982</v>
      </c>
      <c r="J109" s="2">
        <f t="shared" si="80"/>
        <v>7.0000000000000009</v>
      </c>
      <c r="K109" s="10">
        <f t="shared" si="77"/>
        <v>-1.0000000000000004</v>
      </c>
      <c r="L109" s="10">
        <v>0</v>
      </c>
      <c r="M109" s="10">
        <v>1</v>
      </c>
      <c r="N109" s="2">
        <f t="shared" si="74"/>
        <v>60</v>
      </c>
      <c r="O109" s="2">
        <f t="shared" si="75"/>
        <v>375.75</v>
      </c>
      <c r="P109" s="2">
        <f t="shared" si="76"/>
        <v>626.25</v>
      </c>
      <c r="Q109" s="2">
        <f>(AVERAGE(VLOOKUP(E109,weapon_components!$A$8:$M$178,9,0),VLOOKUP(E109,weapon_components!$A$8:$M$178,10,0))+VLOOKUP(E109,weapon_components!$A$8:$M$178,11,0))/10</f>
        <v>8.35</v>
      </c>
      <c r="R109" s="2">
        <f>VLOOKUP(E109,weapon_components!$A$8:$M$178,13,0)</f>
        <v>1</v>
      </c>
      <c r="S109" s="2">
        <f t="shared" si="81"/>
        <v>72</v>
      </c>
      <c r="T109" s="2">
        <f t="shared" si="72"/>
        <v>7.5</v>
      </c>
      <c r="U109" s="14">
        <f>-INDEX('Ship Design Balancing'!$K$2:$K$6,'Weapon Formulas'!C109)*(INDEX('Weapon Formulas'!$R$1:$R$3,'Weapon Formulas'!D109+2)*(1+'Weapon Formulas'!B109))</f>
        <v>-106.66666666666666</v>
      </c>
    </row>
    <row r="110" spans="1:21" x14ac:dyDescent="0.25">
      <c r="A110" s="21">
        <f t="shared" si="61"/>
        <v>-9.0000000000000011E-3</v>
      </c>
      <c r="C110">
        <v>5</v>
      </c>
      <c r="D110" s="2">
        <v>-1</v>
      </c>
      <c r="E110" s="5" t="s">
        <v>123</v>
      </c>
      <c r="F110" s="2">
        <f t="shared" si="62"/>
        <v>12.5</v>
      </c>
      <c r="G110" s="2">
        <f t="shared" si="78"/>
        <v>17.5</v>
      </c>
      <c r="H110" s="2">
        <f t="shared" si="79"/>
        <v>17.5</v>
      </c>
      <c r="I110" s="2">
        <f t="shared" si="80"/>
        <v>8.5</v>
      </c>
      <c r="J110" s="2">
        <f t="shared" si="80"/>
        <v>9</v>
      </c>
      <c r="K110" s="10">
        <f t="shared" si="77"/>
        <v>-0.37142857142857122</v>
      </c>
      <c r="L110" s="10">
        <v>0</v>
      </c>
      <c r="M110" s="10">
        <v>1</v>
      </c>
      <c r="N110" s="2">
        <f t="shared" si="74"/>
        <v>17.5</v>
      </c>
      <c r="O110" s="2">
        <f t="shared" si="75"/>
        <v>109.59375</v>
      </c>
      <c r="P110" s="2">
        <f t="shared" si="76"/>
        <v>182.65625</v>
      </c>
      <c r="Q110" s="2">
        <f>(AVERAGE(VLOOKUP(E110,weapon_components!$A$8:$M$178,9,0),VLOOKUP(E110,weapon_components!$A$8:$M$178,10,0))+VLOOKUP(E110,weapon_components!$A$8:$M$178,11,0))/10</f>
        <v>8.35</v>
      </c>
      <c r="R110" s="2">
        <f>VLOOKUP(E110,weapon_components!$A$8:$M$178,13,0)</f>
        <v>1</v>
      </c>
      <c r="S110" s="2">
        <f t="shared" si="81"/>
        <v>48</v>
      </c>
      <c r="T110" s="2">
        <f t="shared" si="72"/>
        <v>10</v>
      </c>
      <c r="U110" s="14">
        <f>-INDEX('Ship Design Balancing'!$K$2:$K$6,'Weapon Formulas'!C110)*(INDEX('Weapon Formulas'!$R$1:$R$3,'Weapon Formulas'!D110+2)*(1+'Weapon Formulas'!B110))</f>
        <v>-53.333333333333329</v>
      </c>
    </row>
    <row r="111" spans="1:21" x14ac:dyDescent="0.25">
      <c r="A111" s="21">
        <f t="shared" si="61"/>
        <v>-4.4999999999999998E-2</v>
      </c>
      <c r="C111">
        <v>5</v>
      </c>
      <c r="D111" s="2">
        <v>0</v>
      </c>
      <c r="E111" s="5" t="s">
        <v>124</v>
      </c>
      <c r="F111" s="2">
        <f t="shared" si="62"/>
        <v>12.5</v>
      </c>
      <c r="G111" s="2">
        <f t="shared" si="78"/>
        <v>18.75</v>
      </c>
      <c r="H111" s="2">
        <f t="shared" si="79"/>
        <v>18.75</v>
      </c>
      <c r="I111" s="2">
        <f t="shared" si="80"/>
        <v>7.4999999999999982</v>
      </c>
      <c r="J111" s="2">
        <f t="shared" si="80"/>
        <v>8.75</v>
      </c>
      <c r="K111" s="10">
        <f t="shared" si="77"/>
        <v>-0.60000000000000031</v>
      </c>
      <c r="L111" s="10">
        <v>0</v>
      </c>
      <c r="M111" s="10">
        <v>1</v>
      </c>
      <c r="N111" s="2">
        <f t="shared" si="74"/>
        <v>37.5</v>
      </c>
      <c r="O111" s="2">
        <f t="shared" si="75"/>
        <v>234.84375</v>
      </c>
      <c r="P111" s="2">
        <f>1.25*(((G111*INDEX($R$1:$R$3,$D111+2))*Q111)/R111)</f>
        <v>391.40625</v>
      </c>
      <c r="Q111" s="2">
        <f>(AVERAGE(VLOOKUP(E111,weapon_components!$A$8:$M$178,9,0),VLOOKUP(E111,weapon_components!$A$8:$M$178,10,0))+VLOOKUP(E111,weapon_components!$A$8:$M$178,11,0))/10</f>
        <v>8.35</v>
      </c>
      <c r="R111" s="2">
        <f>VLOOKUP(E111,weapon_components!$A$8:$M$178,13,0)</f>
        <v>1</v>
      </c>
      <c r="S111" s="2">
        <f t="shared" si="81"/>
        <v>60</v>
      </c>
      <c r="T111" s="2">
        <f t="shared" si="72"/>
        <v>10</v>
      </c>
      <c r="U111" s="14">
        <f>-INDEX('Ship Design Balancing'!$K$2:$K$6,'Weapon Formulas'!C111)*(INDEX('Weapon Formulas'!$R$1:$R$3,'Weapon Formulas'!D111+2)*(1+'Weapon Formulas'!B111))</f>
        <v>-106.66666666666666</v>
      </c>
    </row>
    <row r="112" spans="1:21" x14ac:dyDescent="0.25">
      <c r="A112" s="21">
        <f t="shared" si="61"/>
        <v>-8.1000000000000003E-2</v>
      </c>
      <c r="C112">
        <v>5</v>
      </c>
      <c r="D112" s="2">
        <v>1</v>
      </c>
      <c r="E112" s="5" t="s">
        <v>125</v>
      </c>
      <c r="F112" s="2">
        <f t="shared" si="62"/>
        <v>12.5</v>
      </c>
      <c r="G112" s="2">
        <f t="shared" si="78"/>
        <v>20</v>
      </c>
      <c r="H112" s="2">
        <f t="shared" si="79"/>
        <v>20</v>
      </c>
      <c r="I112" s="2">
        <f t="shared" si="80"/>
        <v>6.4999999999999991</v>
      </c>
      <c r="J112" s="2">
        <f t="shared" si="80"/>
        <v>8.5</v>
      </c>
      <c r="K112" s="10">
        <f t="shared" si="77"/>
        <v>-0.8</v>
      </c>
      <c r="L112" s="10">
        <v>0</v>
      </c>
      <c r="M112" s="10">
        <v>1</v>
      </c>
      <c r="N112" s="2">
        <f t="shared" si="74"/>
        <v>80</v>
      </c>
      <c r="O112" s="2">
        <f t="shared" si="75"/>
        <v>501</v>
      </c>
      <c r="P112" s="2">
        <f t="shared" si="76"/>
        <v>835</v>
      </c>
      <c r="Q112" s="2">
        <f>(AVERAGE(VLOOKUP(E112,weapon_components!$A$8:$M$178,9,0),VLOOKUP(E112,weapon_components!$A$8:$M$178,10,0))+VLOOKUP(E112,weapon_components!$A$8:$M$178,11,0))/10</f>
        <v>8.35</v>
      </c>
      <c r="R112" s="2">
        <f>VLOOKUP(E112,weapon_components!$A$8:$M$178,13,0)</f>
        <v>1</v>
      </c>
      <c r="S112" s="2">
        <f t="shared" si="81"/>
        <v>72</v>
      </c>
      <c r="T112" s="2">
        <f t="shared" si="72"/>
        <v>10</v>
      </c>
      <c r="U112" s="14">
        <f>-INDEX('Ship Design Balancing'!$K$2:$K$6,'Weapon Formulas'!C112)*(INDEX('Weapon Formulas'!$R$1:$R$3,'Weapon Formulas'!D112+2)*(1+'Weapon Formulas'!B112))</f>
        <v>-213.33333333333331</v>
      </c>
    </row>
    <row r="113" spans="1:21" x14ac:dyDescent="0.25">
      <c r="A113" s="21">
        <f t="shared" si="61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  <c r="U113" s="14"/>
    </row>
    <row r="114" spans="1:21" x14ac:dyDescent="0.25">
      <c r="A114" s="21">
        <f t="shared" si="61"/>
        <v>-4.4999999999999998E-2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2"/>
        <v>20</v>
      </c>
      <c r="G114" s="2">
        <f>IF(G$113=1,H114,H114/(1-INDEX($O$2:$O$6,C114)))</f>
        <v>28</v>
      </c>
      <c r="H114" s="2">
        <f>$F114*(INDEX($F$3:$F$5,H$113)+(($C114+($D114*$F$7))*INDEX($G$3:$G$5,H$113)))</f>
        <v>28</v>
      </c>
      <c r="I114" s="2">
        <f t="shared" ref="I114:J115" si="82">$F114*(INDEX($F$3:$F$5,I$113)+(($C114+($D114*$F$7))*INDEX($G$3:$G$5,I$113)))</f>
        <v>9.6</v>
      </c>
      <c r="J114" s="2">
        <f t="shared" si="82"/>
        <v>28</v>
      </c>
      <c r="K114" s="10">
        <f>1-((1-(I114/G114))/INDEX($P$2:$P$6,C114))</f>
        <v>-1.1904761904761907</v>
      </c>
      <c r="L114" s="10">
        <v>0</v>
      </c>
      <c r="M114" s="10">
        <v>1</v>
      </c>
      <c r="N114" s="2">
        <f t="shared" si="74"/>
        <v>56</v>
      </c>
      <c r="O114" s="2">
        <f t="shared" si="75"/>
        <v>105</v>
      </c>
      <c r="P114" s="2">
        <f t="shared" si="76"/>
        <v>175</v>
      </c>
      <c r="Q114" s="2">
        <f>(AVERAGE(VLOOKUP(E114,weapon_components!$A$8:$M$178,9,0),VLOOKUP(E114,weapon_components!$A$8:$M$178,10,0))+VLOOKUP(E114,weapon_components!$A$8:$M$178,11,0))/10</f>
        <v>2.5</v>
      </c>
      <c r="R114" s="2">
        <f>VLOOKUP(E114,weapon_components!$A$8:$M$178,13,0)</f>
        <v>1</v>
      </c>
      <c r="S114" s="2">
        <f>$S$113*(1+(D114*$F$8))</f>
        <v>60</v>
      </c>
      <c r="T114" s="2">
        <f t="shared" si="72"/>
        <v>7.5</v>
      </c>
      <c r="U114" s="14">
        <f>-INDEX('Ship Design Balancing'!$K$2:$K$6,'Weapon Formulas'!C114)*(INDEX('Weapon Formulas'!$R$1:$R$3,'Weapon Formulas'!D114+2)*(1+'Weapon Formulas'!B114))</f>
        <v>-106.66666666666666</v>
      </c>
    </row>
    <row r="115" spans="1:21" x14ac:dyDescent="0.25">
      <c r="A115" s="21">
        <f t="shared" si="61"/>
        <v>-4.4999999999999998E-2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2"/>
        <v>25</v>
      </c>
      <c r="G115" s="2">
        <f>IF(G$113=1,H115,H115/(1-INDEX($O$2:$O$6,C115)))</f>
        <v>37.5</v>
      </c>
      <c r="H115" s="2">
        <f>$F115*(INDEX($F$3:$F$5,H$113)+(($C115+($D115*$F$7))*INDEX($G$3:$G$5,H$113)))</f>
        <v>37.5</v>
      </c>
      <c r="I115" s="2">
        <f t="shared" si="82"/>
        <v>10</v>
      </c>
      <c r="J115" s="2">
        <f t="shared" si="82"/>
        <v>37.5</v>
      </c>
      <c r="K115" s="10">
        <f>1-((1-(I115/G115))/INDEX($P$2:$P$6,C115))</f>
        <v>-0.95555555555555571</v>
      </c>
      <c r="L115" s="10">
        <v>0</v>
      </c>
      <c r="M115" s="10">
        <v>1</v>
      </c>
      <c r="N115" s="2">
        <f t="shared" si="74"/>
        <v>75</v>
      </c>
      <c r="O115" s="2">
        <f t="shared" si="75"/>
        <v>140.625</v>
      </c>
      <c r="P115" s="2">
        <f t="shared" si="76"/>
        <v>234.375</v>
      </c>
      <c r="Q115" s="2">
        <f>(AVERAGE(VLOOKUP(E115,weapon_components!$A$8:$M$178,9,0),VLOOKUP(E115,weapon_components!$A$8:$M$178,10,0))+VLOOKUP(E115,weapon_components!$A$8:$M$178,11,0))/10</f>
        <v>2.5</v>
      </c>
      <c r="R115" s="2">
        <f>VLOOKUP(E115,weapon_components!$A$8:$M$178,13,0)</f>
        <v>1</v>
      </c>
      <c r="S115" s="2">
        <f>$S$113*(1+(D115*$F$8))</f>
        <v>60</v>
      </c>
      <c r="T115" s="2">
        <f t="shared" si="72"/>
        <v>10</v>
      </c>
      <c r="U115" s="14">
        <f>-INDEX('Ship Design Balancing'!$K$2:$K$6,'Weapon Formulas'!C115)*(INDEX('Weapon Formulas'!$R$1:$R$3,'Weapon Formulas'!D115+2)*(1+'Weapon Formulas'!B115))</f>
        <v>-213.33333333333331</v>
      </c>
    </row>
    <row r="116" spans="1:21" x14ac:dyDescent="0.25">
      <c r="A116" s="21">
        <f t="shared" si="61"/>
        <v>-4.4999999999999998E-2</v>
      </c>
      <c r="D116" s="2"/>
      <c r="E116" s="13" t="s">
        <v>219</v>
      </c>
      <c r="F116" s="2" t="s">
        <v>140</v>
      </c>
      <c r="G116">
        <v>0</v>
      </c>
      <c r="H116">
        <v>2</v>
      </c>
      <c r="I116">
        <v>1</v>
      </c>
      <c r="J116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  <c r="U116" s="14"/>
    </row>
    <row r="117" spans="1:21" x14ac:dyDescent="0.25">
      <c r="A117" s="21">
        <f t="shared" si="61"/>
        <v>-8.1000000000000003E-2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9" si="83">($F$2+(C117*$F$1))*(B117+1)</f>
        <v>15</v>
      </c>
      <c r="G117" s="2">
        <f t="shared" ref="G117:G119" si="84">IF(G$116=1,H117,H117/(1-INDEX($O$2:$O$6,C117)))</f>
        <v>9.2903225806451601</v>
      </c>
      <c r="H117" s="2">
        <f t="shared" ref="H117:H119" si="85">$F117*(INDEX($F$3:$F$5,H$116)+(($C117+($D117*$F$7))*INDEX($G$3:$G$5,H$116)))</f>
        <v>7.1999999999999993</v>
      </c>
      <c r="I117" s="2">
        <f t="shared" ref="I117:J119" si="86">$F117*(INDEX($F$3:$F$5,I$116)+(($C117+($D117*$F$7))*INDEX($G$3:$G$5,I$116)))</f>
        <v>21</v>
      </c>
      <c r="J117" s="2">
        <f t="shared" si="86"/>
        <v>21</v>
      </c>
      <c r="K117" s="10">
        <f t="shared" ref="K117:K119" si="87">1-((1-(I117/G117))/INDEX($P$2:$P$6,C117))</f>
        <v>6.6018518518518539</v>
      </c>
      <c r="L117" s="10">
        <v>0</v>
      </c>
      <c r="M117" s="10">
        <v>1</v>
      </c>
      <c r="N117" s="2">
        <f t="shared" ref="N117:N119" si="88">(AVERAGE(O117,P117)*R117)/Q117</f>
        <v>9.2903225806451584</v>
      </c>
      <c r="O117" s="2">
        <f t="shared" ref="O117:O118" si="89">0.75*(((G117*INDEX($R$1:$R$3,$D117+2))*Q117)/R117)/4</f>
        <v>92.903225806451601</v>
      </c>
      <c r="P117" s="2">
        <f t="shared" ref="P117:P118" si="90">1.25*(((G117*INDEX($R$1:$R$3,$D117+2))*Q117)/R117)/4</f>
        <v>154.83870967741933</v>
      </c>
      <c r="Q117" s="2">
        <v>10</v>
      </c>
      <c r="R117" s="2">
        <v>0.75</v>
      </c>
      <c r="S117" s="2">
        <f t="shared" ref="S117:S119" si="91">$S$116*(1+(D117*$F$8))</f>
        <v>72</v>
      </c>
      <c r="T117" s="2">
        <v>0</v>
      </c>
      <c r="U117" s="14">
        <f>-INDEX('Ship Design Balancing'!$K$2:$K$6,'Weapon Formulas'!C117)*(INDEX('Weapon Formulas'!$R$1:$R$3,'Weapon Formulas'!D117+2)*(1+'Weapon Formulas'!B117))</f>
        <v>-106.66666666666666</v>
      </c>
    </row>
    <row r="118" spans="1:21" x14ac:dyDescent="0.25">
      <c r="A118" s="21">
        <f t="shared" si="61"/>
        <v>-8.1000000000000003E-2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3"/>
        <v>20</v>
      </c>
      <c r="G118" s="2">
        <f t="shared" si="84"/>
        <v>11.428571428571429</v>
      </c>
      <c r="H118" s="2">
        <f t="shared" si="85"/>
        <v>7.9999999999999991</v>
      </c>
      <c r="I118" s="2">
        <f t="shared" si="86"/>
        <v>30</v>
      </c>
      <c r="J118" s="2">
        <f t="shared" si="86"/>
        <v>30</v>
      </c>
      <c r="K118" s="10">
        <f t="shared" si="87"/>
        <v>6.416666666666667</v>
      </c>
      <c r="L118" s="10">
        <v>0</v>
      </c>
      <c r="M118" s="10">
        <v>1</v>
      </c>
      <c r="N118" s="2">
        <f t="shared" si="88"/>
        <v>11.428571428571427</v>
      </c>
      <c r="O118" s="2">
        <f t="shared" si="89"/>
        <v>114.28571428571428</v>
      </c>
      <c r="P118" s="2">
        <f t="shared" si="90"/>
        <v>190.47619047619048</v>
      </c>
      <c r="Q118" s="2">
        <v>10</v>
      </c>
      <c r="R118" s="2">
        <v>0.75</v>
      </c>
      <c r="S118" s="2">
        <f t="shared" si="91"/>
        <v>72</v>
      </c>
      <c r="T118" s="2">
        <v>0</v>
      </c>
      <c r="U118" s="14">
        <f>-INDEX('Ship Design Balancing'!$K$2:$K$6,'Weapon Formulas'!C118)*(INDEX('Weapon Formulas'!$R$1:$R$3,'Weapon Formulas'!D118+2)*(1+'Weapon Formulas'!B118))</f>
        <v>-213.33333333333331</v>
      </c>
    </row>
    <row r="119" spans="1:21" x14ac:dyDescent="0.25">
      <c r="A119" s="21">
        <f t="shared" si="61"/>
        <v>-8.1000000000000003E-2</v>
      </c>
      <c r="B119" s="2">
        <v>1</v>
      </c>
      <c r="C119">
        <v>5</v>
      </c>
      <c r="D119" s="2">
        <v>1</v>
      </c>
      <c r="E119" s="14" t="s">
        <v>236</v>
      </c>
      <c r="F119" s="2">
        <f t="shared" si="83"/>
        <v>25</v>
      </c>
      <c r="G119" s="2">
        <f t="shared" si="84"/>
        <v>12.799999999999999</v>
      </c>
      <c r="H119" s="2">
        <f t="shared" si="85"/>
        <v>7.9999999999999991</v>
      </c>
      <c r="I119" s="2">
        <f t="shared" si="86"/>
        <v>40</v>
      </c>
      <c r="J119" s="2">
        <f t="shared" si="86"/>
        <v>40</v>
      </c>
      <c r="K119" s="10">
        <f t="shared" si="87"/>
        <v>6.6666666666666679</v>
      </c>
      <c r="L119" s="10">
        <v>0</v>
      </c>
      <c r="M119" s="10">
        <v>1</v>
      </c>
      <c r="N119" s="2">
        <f t="shared" si="88"/>
        <v>12.8</v>
      </c>
      <c r="O119" s="2">
        <f>0.75*(((G119*INDEX($R$1:$R$3,$D119+2))*Q119)/R119)/4</f>
        <v>128</v>
      </c>
      <c r="P119" s="2">
        <f>1.25*(((G119*INDEX($R$1:$R$3,$D119+2))*Q119)/R119)/4</f>
        <v>213.33333333333331</v>
      </c>
      <c r="Q119" s="2">
        <v>10</v>
      </c>
      <c r="R119" s="2">
        <v>0.75</v>
      </c>
      <c r="S119" s="2">
        <f t="shared" si="91"/>
        <v>72</v>
      </c>
      <c r="T119" s="2">
        <v>0</v>
      </c>
      <c r="U119" s="14">
        <f>-INDEX('Ship Design Balancing'!$K$2:$K$6,'Weapon Formulas'!C119)*(INDEX('Weapon Formulas'!$R$1:$R$3,'Weapon Formulas'!D119+2)*(1+'Weapon Formulas'!B119))</f>
        <v>-426.66666666666663</v>
      </c>
    </row>
    <row r="120" spans="1:21" x14ac:dyDescent="0.25"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</row>
    <row r="121" spans="1:21" x14ac:dyDescent="0.25">
      <c r="L121" s="13"/>
      <c r="M121"/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D1" workbookViewId="0">
      <selection activeCell="N6" sqref="N6"/>
    </sheetView>
  </sheetViews>
  <sheetFormatPr defaultRowHeight="15" x14ac:dyDescent="0.25"/>
  <cols>
    <col min="1" max="1" width="20.42578125" customWidth="1"/>
    <col min="2" max="2" width="12.140625" customWidth="1"/>
    <col min="3" max="3" width="10.140625" customWidth="1"/>
    <col min="4" max="4" width="11.140625" customWidth="1"/>
  </cols>
  <sheetData>
    <row r="1" spans="1:19" x14ac:dyDescent="0.25">
      <c r="B1" s="14" t="s">
        <v>250</v>
      </c>
      <c r="C1" t="s">
        <v>251</v>
      </c>
      <c r="D1" t="s">
        <v>252</v>
      </c>
      <c r="E1" t="s">
        <v>253</v>
      </c>
      <c r="I1" s="14" t="s">
        <v>130</v>
      </c>
      <c r="J1" s="14" t="s">
        <v>258</v>
      </c>
      <c r="K1" s="14" t="s">
        <v>259</v>
      </c>
      <c r="N1" t="s">
        <v>262</v>
      </c>
    </row>
    <row r="2" spans="1:19" x14ac:dyDescent="0.25">
      <c r="A2" s="14" t="s">
        <v>255</v>
      </c>
      <c r="B2">
        <v>3</v>
      </c>
      <c r="C2">
        <v>6</v>
      </c>
      <c r="D2">
        <v>12</v>
      </c>
      <c r="E2">
        <v>20</v>
      </c>
      <c r="F2" s="13" t="s">
        <v>254</v>
      </c>
      <c r="I2" s="14">
        <v>1</v>
      </c>
      <c r="J2">
        <v>5</v>
      </c>
      <c r="K2">
        <f>2/3*J2</f>
        <v>3.333333333333333</v>
      </c>
      <c r="N2" t="s">
        <v>23</v>
      </c>
      <c r="O2" t="s">
        <v>263</v>
      </c>
      <c r="P2" t="s">
        <v>144</v>
      </c>
    </row>
    <row r="3" spans="1:19" x14ac:dyDescent="0.25">
      <c r="A3" s="14" t="s">
        <v>256</v>
      </c>
      <c r="B3">
        <v>8</v>
      </c>
      <c r="C3">
        <v>16</v>
      </c>
      <c r="D3">
        <v>32</v>
      </c>
      <c r="E3">
        <v>64</v>
      </c>
      <c r="I3">
        <v>2</v>
      </c>
      <c r="J3">
        <f>J2*2</f>
        <v>10</v>
      </c>
      <c r="K3" s="22">
        <f t="shared" ref="K3:K6" si="0">2/3*J3</f>
        <v>6.6666666666666661</v>
      </c>
      <c r="N3">
        <v>0.14000000000000001</v>
      </c>
      <c r="O3" s="23">
        <v>0.14000000000000001</v>
      </c>
      <c r="P3" s="23">
        <v>0.14000000000000001</v>
      </c>
      <c r="S3">
        <f>80/5</f>
        <v>16</v>
      </c>
    </row>
    <row r="4" spans="1:19" x14ac:dyDescent="0.25">
      <c r="A4" s="14" t="s">
        <v>257</v>
      </c>
      <c r="B4">
        <f>B3/4</f>
        <v>2</v>
      </c>
      <c r="C4" s="22">
        <f t="shared" ref="C4:E4" si="1">C3/4</f>
        <v>4</v>
      </c>
      <c r="D4" s="22">
        <f t="shared" si="1"/>
        <v>8</v>
      </c>
      <c r="E4" s="22">
        <f t="shared" si="1"/>
        <v>16</v>
      </c>
      <c r="I4">
        <v>3</v>
      </c>
      <c r="J4" s="22">
        <f t="shared" ref="J4:J6" si="2">J3*2</f>
        <v>20</v>
      </c>
      <c r="K4" s="22">
        <f t="shared" si="0"/>
        <v>13.333333333333332</v>
      </c>
      <c r="M4" t="s">
        <v>266</v>
      </c>
      <c r="N4" s="23" t="s">
        <v>23</v>
      </c>
      <c r="O4" s="23" t="s">
        <v>263</v>
      </c>
      <c r="P4" s="23" t="s">
        <v>144</v>
      </c>
    </row>
    <row r="5" spans="1:19" x14ac:dyDescent="0.25">
      <c r="A5" s="14" t="s">
        <v>261</v>
      </c>
      <c r="B5">
        <f>B3-B4</f>
        <v>6</v>
      </c>
      <c r="C5" s="23">
        <f t="shared" ref="C5:E5" si="3">C3-C4</f>
        <v>12</v>
      </c>
      <c r="D5" s="23">
        <f t="shared" si="3"/>
        <v>24</v>
      </c>
      <c r="E5" s="23">
        <f t="shared" si="3"/>
        <v>48</v>
      </c>
      <c r="I5">
        <v>4</v>
      </c>
      <c r="J5" s="22">
        <f t="shared" si="2"/>
        <v>40</v>
      </c>
      <c r="K5" s="22">
        <f t="shared" si="0"/>
        <v>26.666666666666664</v>
      </c>
      <c r="N5" s="24">
        <f>N3/$B5</f>
        <v>2.3333333333333334E-2</v>
      </c>
      <c r="O5" s="12">
        <v>40</v>
      </c>
      <c r="P5" s="12">
        <v>2.25</v>
      </c>
    </row>
    <row r="6" spans="1:19" x14ac:dyDescent="0.25">
      <c r="A6" s="14" t="s">
        <v>274</v>
      </c>
      <c r="B6">
        <v>300</v>
      </c>
      <c r="C6">
        <f>B6*2</f>
        <v>600</v>
      </c>
      <c r="D6" s="23">
        <f t="shared" ref="D6:E6" si="4">C6*2</f>
        <v>1200</v>
      </c>
      <c r="E6" s="23">
        <f t="shared" si="4"/>
        <v>2400</v>
      </c>
      <c r="I6">
        <v>5</v>
      </c>
      <c r="J6" s="22">
        <f t="shared" si="2"/>
        <v>80</v>
      </c>
      <c r="K6" s="22">
        <f t="shared" si="0"/>
        <v>53.333333333333329</v>
      </c>
    </row>
    <row r="7" spans="1:19" s="23" customFormat="1" x14ac:dyDescent="0.25">
      <c r="A7" s="14" t="s">
        <v>264</v>
      </c>
      <c r="B7" s="23">
        <v>1</v>
      </c>
      <c r="C7" s="23">
        <f>(C11/C8)-1</f>
        <v>-0.625</v>
      </c>
      <c r="D7" s="23">
        <f t="shared" ref="D7:E7" si="5">(D11/D8)-1</f>
        <v>-0.875</v>
      </c>
      <c r="E7" s="23">
        <f t="shared" si="5"/>
        <v>-0.96875</v>
      </c>
    </row>
    <row r="8" spans="1:19" s="23" customFormat="1" x14ac:dyDescent="0.25">
      <c r="A8" s="14" t="s">
        <v>269</v>
      </c>
      <c r="B8" s="23">
        <f>B3*$N$5</f>
        <v>0.18666666666666668</v>
      </c>
      <c r="C8" s="23">
        <f>C3*$N$5</f>
        <v>0.37333333333333335</v>
      </c>
      <c r="D8" s="23">
        <f>D3*$N$5</f>
        <v>0.7466666666666667</v>
      </c>
      <c r="E8" s="23">
        <f>E3*$N$5</f>
        <v>1.4933333333333334</v>
      </c>
      <c r="O8" s="23">
        <f>O5/5</f>
        <v>8</v>
      </c>
    </row>
    <row r="9" spans="1:19" x14ac:dyDescent="0.25">
      <c r="A9" s="14" t="s">
        <v>265</v>
      </c>
      <c r="B9" s="23">
        <f t="shared" ref="B9:D9" si="6">(B13-B14)</f>
        <v>0.11963190184049211</v>
      </c>
      <c r="C9" s="23">
        <f t="shared" si="6"/>
        <v>8.2380952380952337</v>
      </c>
      <c r="D9" s="23">
        <f t="shared" si="6"/>
        <v>20.831460674157285</v>
      </c>
      <c r="E9" s="23">
        <f>(E13-E14)</f>
        <v>62.769230769230745</v>
      </c>
      <c r="P9">
        <f>P5/5</f>
        <v>0.45</v>
      </c>
    </row>
    <row r="10" spans="1:19" x14ac:dyDescent="0.25">
      <c r="A10" s="14"/>
      <c r="B10" s="24"/>
      <c r="C10" s="24"/>
      <c r="D10" s="24"/>
      <c r="E10" s="24"/>
      <c r="I10" t="s">
        <v>144</v>
      </c>
    </row>
    <row r="11" spans="1:19" x14ac:dyDescent="0.25">
      <c r="A11" s="14" t="s">
        <v>267</v>
      </c>
      <c r="B11" s="24">
        <f>B3*$N$5*B7</f>
        <v>0.18666666666666668</v>
      </c>
      <c r="C11" s="24">
        <f>B11*(3/4)</f>
        <v>0.14000000000000001</v>
      </c>
      <c r="D11" s="24">
        <f>B11*(2/4)</f>
        <v>9.3333333333333338E-2</v>
      </c>
      <c r="E11" s="24">
        <f>B11/4</f>
        <v>4.6666666666666669E-2</v>
      </c>
      <c r="I11" t="s">
        <v>130</v>
      </c>
      <c r="J11">
        <f>B3</f>
        <v>8</v>
      </c>
      <c r="K11">
        <v>12</v>
      </c>
      <c r="L11">
        <v>24</v>
      </c>
      <c r="M11">
        <v>48</v>
      </c>
    </row>
    <row r="12" spans="1:19" x14ac:dyDescent="0.25">
      <c r="A12" s="14" t="s">
        <v>268</v>
      </c>
      <c r="B12" s="10">
        <v>0.185</v>
      </c>
      <c r="C12" s="10">
        <f>B12*2</f>
        <v>0.37</v>
      </c>
      <c r="D12" s="10">
        <f>B12*3</f>
        <v>0.55499999999999994</v>
      </c>
      <c r="E12" s="10">
        <f>B12*4</f>
        <v>0.74</v>
      </c>
      <c r="I12">
        <v>1</v>
      </c>
      <c r="J12" s="10">
        <f>(($P$5*$I12)*J$11)/((($P$5*$I12)*J$11)+60)</f>
        <v>0.23076923076923078</v>
      </c>
      <c r="K12" s="10">
        <f t="shared" ref="K12:M16" si="7">(($P$5*$I12)*K$11)/((($P$5*$I12)*K$11)+60)</f>
        <v>0.31034482758620691</v>
      </c>
      <c r="L12" s="10">
        <f t="shared" si="7"/>
        <v>0.47368421052631576</v>
      </c>
      <c r="M12" s="10">
        <f t="shared" si="7"/>
        <v>0.6428571428571429</v>
      </c>
    </row>
    <row r="13" spans="1:19" x14ac:dyDescent="0.25">
      <c r="A13" s="14" t="s">
        <v>270</v>
      </c>
      <c r="B13" s="23">
        <f>-((60*B12)/(B12-1))</f>
        <v>13.619631901840492</v>
      </c>
      <c r="C13" s="23">
        <f t="shared" ref="B13:D13" si="8">-((60*C12)/(C12-1))</f>
        <v>35.238095238095234</v>
      </c>
      <c r="D13" s="23">
        <f t="shared" si="8"/>
        <v>74.831460674157285</v>
      </c>
      <c r="E13" s="23">
        <f>-((60*E12)/(E12-1))</f>
        <v>170.76923076923075</v>
      </c>
      <c r="F13" s="23"/>
      <c r="I13">
        <v>2</v>
      </c>
      <c r="J13" s="10">
        <f t="shared" ref="J13:J16" si="9">(($P$5*$I13)*J$11)/((($P$5*$I13)*J$11)+60)</f>
        <v>0.375</v>
      </c>
      <c r="K13" s="10">
        <f t="shared" si="7"/>
        <v>0.47368421052631576</v>
      </c>
      <c r="L13" s="10">
        <f t="shared" si="7"/>
        <v>0.6428571428571429</v>
      </c>
      <c r="M13" s="10">
        <f t="shared" si="7"/>
        <v>0.78260869565217395</v>
      </c>
    </row>
    <row r="14" spans="1:19" x14ac:dyDescent="0.25">
      <c r="A14" s="14" t="s">
        <v>271</v>
      </c>
      <c r="B14" s="23">
        <f>$P$5*B5</f>
        <v>13.5</v>
      </c>
      <c r="C14" s="23">
        <f>$P$5*C5</f>
        <v>27</v>
      </c>
      <c r="D14" s="23">
        <f>$P$5*D5</f>
        <v>54</v>
      </c>
      <c r="E14" s="23">
        <f>$P$5*E5</f>
        <v>108</v>
      </c>
      <c r="I14">
        <v>3</v>
      </c>
      <c r="J14" s="10">
        <f t="shared" si="9"/>
        <v>0.47368421052631576</v>
      </c>
      <c r="K14" s="10">
        <f t="shared" si="7"/>
        <v>0.57446808510638303</v>
      </c>
      <c r="L14" s="10">
        <f t="shared" si="7"/>
        <v>0.72972972972972971</v>
      </c>
      <c r="M14" s="10">
        <f t="shared" si="7"/>
        <v>0.84375</v>
      </c>
    </row>
    <row r="15" spans="1:19" x14ac:dyDescent="0.25">
      <c r="A15" s="14" t="s">
        <v>272</v>
      </c>
      <c r="B15" s="10">
        <f>((B3*$P$5)+B9)/((B3*$P$5)+60+B9)</f>
        <v>0.23194722582165156</v>
      </c>
      <c r="C15" s="10">
        <f>((C3*$P$5)+C9)/((C3*$P$5)+60+C9)</f>
        <v>0.42439470077661029</v>
      </c>
      <c r="D15" s="10">
        <f>((D3*$P$5)+D9)/((D3*$P$5)+60+D9)</f>
        <v>0.60741067490074985</v>
      </c>
      <c r="E15" s="10">
        <f>((E3*$P$5)+E9)/((E3*$P$5)+60+E9)</f>
        <v>0.77508650519031153</v>
      </c>
      <c r="I15">
        <v>4</v>
      </c>
      <c r="J15" s="10">
        <f t="shared" si="9"/>
        <v>0.54545454545454541</v>
      </c>
      <c r="K15" s="10">
        <f t="shared" si="7"/>
        <v>0.6428571428571429</v>
      </c>
      <c r="L15" s="10">
        <f t="shared" si="7"/>
        <v>0.78260869565217395</v>
      </c>
      <c r="M15" s="10">
        <f t="shared" si="7"/>
        <v>0.87804878048780488</v>
      </c>
    </row>
    <row r="16" spans="1:19" x14ac:dyDescent="0.25">
      <c r="A16" s="14" t="s">
        <v>273</v>
      </c>
      <c r="B16">
        <f>(B5*$O$5)/B6</f>
        <v>0.8</v>
      </c>
      <c r="C16" s="23">
        <f t="shared" ref="C16:E16" si="10">(C5*$O$5)/C6</f>
        <v>0.8</v>
      </c>
      <c r="D16" s="23">
        <f t="shared" si="10"/>
        <v>0.8</v>
      </c>
      <c r="E16" s="23">
        <f t="shared" si="10"/>
        <v>0.8</v>
      </c>
      <c r="F16" s="23"/>
      <c r="I16">
        <v>5</v>
      </c>
      <c r="J16" s="10">
        <f t="shared" si="9"/>
        <v>0.6</v>
      </c>
      <c r="K16" s="10">
        <f t="shared" si="7"/>
        <v>0.69230769230769229</v>
      </c>
      <c r="L16" s="10">
        <f t="shared" si="7"/>
        <v>0.81818181818181823</v>
      </c>
      <c r="M16" s="10">
        <f t="shared" si="7"/>
        <v>0.9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opLeftCell="A3" workbookViewId="0">
      <selection activeCell="J32" sqref="J32"/>
    </sheetView>
  </sheetViews>
  <sheetFormatPr defaultRowHeight="15" x14ac:dyDescent="0.25"/>
  <cols>
    <col min="1" max="1" width="20.8554687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26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27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27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27"/>
      <c r="Q7" s="4"/>
    </row>
    <row r="8" spans="1:17" x14ac:dyDescent="0.25">
      <c r="A8" s="15" t="s">
        <v>24</v>
      </c>
      <c r="B8" s="5">
        <v>2.5</v>
      </c>
      <c r="C8" s="5">
        <f>ROUND(_xlfn.IFNA(VLOOKUP(A8,'Weapon Formulas'!$E$10:$V$115,17,0),weapon_components!C8),2)</f>
        <v>-3.33</v>
      </c>
      <c r="D8" s="5">
        <f>ROUND(_xlfn.IFNA(VLOOKUP(A8,'Weapon Formulas'!$E$10:$Q$115,11,0),weapon_components!D8),2)</f>
        <v>10.45</v>
      </c>
      <c r="E8" s="5">
        <f>ROUND(_xlfn.IFNA(VLOOKUP(A8,'Weapon Formulas'!$E$10:$Q$115,12,0),weapon_components!E8),2)</f>
        <v>17.41</v>
      </c>
      <c r="F8" s="5">
        <f>ROUND(_xlfn.IFNA(VLOOKUP(A8,'Weapon Formulas'!$E$10:$L$115,8,0),weapon_components!F8),2)</f>
        <v>0.02</v>
      </c>
      <c r="G8" s="5">
        <f>ROUND(_xlfn.IFNA(VLOOKUP(A8,'Weapon Formulas'!$E$10:$P$115,9,0),weapon_components!G8),2)</f>
        <v>0</v>
      </c>
      <c r="H8" s="5">
        <f>ROUND(_xlfn.IFNA(VLOOKUP(A8,'Weapon Formulas'!$E$10:$L$115,7,0),weapon_components!H8),2)</f>
        <v>-1.67</v>
      </c>
      <c r="I8" s="5">
        <v>2</v>
      </c>
      <c r="J8" s="5">
        <v>23</v>
      </c>
      <c r="K8" s="5">
        <v>25</v>
      </c>
      <c r="L8" s="5">
        <f>ROUND(_xlfn.IFNA(VLOOKUP(A8,'Weapon Formulas'!$E$10:$Z$115,15,0),weapon_components!L8),2)</f>
        <v>24</v>
      </c>
      <c r="M8" s="2">
        <v>0.69</v>
      </c>
      <c r="N8" s="5">
        <f>ROUND(_xlfn.IFNA(VLOOKUP(A8,'Weapon Formulas'!$E$10:$W$115,16,0),weapon_components!N8),2)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f>ROUND(_xlfn.IFNA(VLOOKUP(A9,'Weapon Formulas'!$E$10:$V$115,17,0),weapon_components!C9),2)</f>
        <v>-6.67</v>
      </c>
      <c r="D9" s="5">
        <f>ROUND(_xlfn.IFNA(VLOOKUP(A9,'Weapon Formulas'!$E$10:$Q$115,11,0),weapon_components!D9),2)</f>
        <v>19.68</v>
      </c>
      <c r="E9" s="5">
        <f>ROUND(_xlfn.IFNA(VLOOKUP(A9,'Weapon Formulas'!$E$10:$Q$115,12,0),weapon_components!E9),2)</f>
        <v>32.81</v>
      </c>
      <c r="F9" s="5">
        <f>ROUND(_xlfn.IFNA(VLOOKUP(A9,'Weapon Formulas'!$E$10:$L$115,8,0),weapon_components!F9),2)</f>
        <v>0.02</v>
      </c>
      <c r="G9" s="5">
        <f>ROUND(_xlfn.IFNA(VLOOKUP(A9,'Weapon Formulas'!$E$10:$P$115,9,0),weapon_components!G9),2)</f>
        <v>0</v>
      </c>
      <c r="H9" s="5">
        <f>ROUND(_xlfn.IFNA(VLOOKUP(A9,'Weapon Formulas'!$E$10:$L$115,7,0),weapon_components!H9),2)</f>
        <v>-3.61</v>
      </c>
      <c r="I9" s="5">
        <v>2</v>
      </c>
      <c r="J9" s="5">
        <v>23</v>
      </c>
      <c r="K9" s="5">
        <v>25</v>
      </c>
      <c r="L9" s="5">
        <f>ROUND(_xlfn.IFNA(VLOOKUP(A9,'Weapon Formulas'!$E$10:$Z$115,15,0),weapon_components!L9),2)</f>
        <v>30</v>
      </c>
      <c r="M9" s="2">
        <v>0.8</v>
      </c>
      <c r="N9" s="5">
        <f>ROUND(_xlfn.IFNA(VLOOKUP(A9,'Weapon Formulas'!$E$10:$W$115,16,0),weapon_components!N9),2)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f>ROUND(_xlfn.IFNA(VLOOKUP(A10,'Weapon Formulas'!$E$10:$V$115,17,0),weapon_components!C10),2)</f>
        <v>-13.33</v>
      </c>
      <c r="D10" s="5">
        <f>ROUND(_xlfn.IFNA(VLOOKUP(A10,'Weapon Formulas'!$E$10:$Q$115,11,0),weapon_components!D10),2)</f>
        <v>45.49</v>
      </c>
      <c r="E10" s="5">
        <f>ROUND(_xlfn.IFNA(VLOOKUP(A10,'Weapon Formulas'!$E$10:$Q$115,12,0),weapon_components!E10),2)</f>
        <v>75.81</v>
      </c>
      <c r="F10" s="5">
        <f>ROUND(_xlfn.IFNA(VLOOKUP(A10,'Weapon Formulas'!$E$10:$L$115,8,0),weapon_components!F10),2)</f>
        <v>0.02</v>
      </c>
      <c r="G10" s="5">
        <f>ROUND(_xlfn.IFNA(VLOOKUP(A10,'Weapon Formulas'!$E$10:$P$115,9,0),weapon_components!G10),2)</f>
        <v>0</v>
      </c>
      <c r="H10" s="5">
        <f>ROUND(_xlfn.IFNA(VLOOKUP(A10,'Weapon Formulas'!$E$10:$L$115,7,0),weapon_components!H10),2)</f>
        <v>-5.22</v>
      </c>
      <c r="I10" s="5">
        <v>2</v>
      </c>
      <c r="J10" s="5">
        <v>23</v>
      </c>
      <c r="K10" s="5">
        <v>25</v>
      </c>
      <c r="L10" s="5">
        <f>ROUND(_xlfn.IFNA(VLOOKUP(A10,'Weapon Formulas'!$E$10:$Z$115,15,0),weapon_components!L10),2)</f>
        <v>36</v>
      </c>
      <c r="M10" s="2">
        <v>0.75</v>
      </c>
      <c r="N10" s="5">
        <f>ROUND(_xlfn.IFNA(VLOOKUP(A10,'Weapon Formulas'!$E$10:$W$115,16,0),weapon_components!N10),2)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f>ROUND(_xlfn.IFNA(VLOOKUP(A11,'Weapon Formulas'!$E$10:$V$115,17,0),weapon_components!C11),2)</f>
        <v>-6.67</v>
      </c>
      <c r="D11" s="5">
        <f>ROUND(_xlfn.IFNA(VLOOKUP(A11,'Weapon Formulas'!$E$10:$Q$115,11,0),weapon_components!D11),2)</f>
        <v>19.100000000000001</v>
      </c>
      <c r="E11" s="5">
        <f>ROUND(_xlfn.IFNA(VLOOKUP(A11,'Weapon Formulas'!$E$10:$Q$115,12,0),weapon_components!E11),2)</f>
        <v>31.84</v>
      </c>
      <c r="F11" s="5">
        <f>ROUND(_xlfn.IFNA(VLOOKUP(A11,'Weapon Formulas'!$E$10:$L$115,8,0),weapon_components!F11),2)</f>
        <v>0.03</v>
      </c>
      <c r="G11" s="5">
        <f>ROUND(_xlfn.IFNA(VLOOKUP(A11,'Weapon Formulas'!$E$10:$P$115,9,0),weapon_components!G11),2)</f>
        <v>0</v>
      </c>
      <c r="H11" s="5">
        <f>ROUND(_xlfn.IFNA(VLOOKUP(A11,'Weapon Formulas'!$E$10:$L$115,7,0),weapon_components!H11),2)</f>
        <v>-1.3</v>
      </c>
      <c r="I11" s="5">
        <v>2</v>
      </c>
      <c r="J11" s="5">
        <v>23</v>
      </c>
      <c r="K11" s="5">
        <v>25</v>
      </c>
      <c r="L11" s="5">
        <f>ROUND(_xlfn.IFNA(VLOOKUP(A11,'Weapon Formulas'!$E$10:$Z$115,15,0),weapon_components!L11),2)</f>
        <v>24</v>
      </c>
      <c r="M11" s="2">
        <v>0.82</v>
      </c>
      <c r="N11" s="5">
        <f>ROUND(_xlfn.IFNA(VLOOKUP(A11,'Weapon Formulas'!$E$10:$W$115,16,0),weapon_components!N11),2)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f>ROUND(_xlfn.IFNA(VLOOKUP(A12,'Weapon Formulas'!$E$10:$V$115,17,0),weapon_components!C12),2)</f>
        <v>-13.33</v>
      </c>
      <c r="D12" s="5">
        <f>ROUND(_xlfn.IFNA(VLOOKUP(A12,'Weapon Formulas'!$E$10:$Q$115,11,0),weapon_components!D12),2)</f>
        <v>42.57</v>
      </c>
      <c r="E12" s="5">
        <f>ROUND(_xlfn.IFNA(VLOOKUP(A12,'Weapon Formulas'!$E$10:$Q$115,12,0),weapon_components!E12),2)</f>
        <v>70.95</v>
      </c>
      <c r="F12" s="5">
        <f>ROUND(_xlfn.IFNA(VLOOKUP(A12,'Weapon Formulas'!$E$10:$L$115,8,0),weapon_components!F12),2)</f>
        <v>0.03</v>
      </c>
      <c r="G12" s="5">
        <f>ROUND(_xlfn.IFNA(VLOOKUP(A12,'Weapon Formulas'!$E$10:$P$115,9,0),weapon_components!G12),2)</f>
        <v>0</v>
      </c>
      <c r="H12" s="5">
        <f>ROUND(_xlfn.IFNA(VLOOKUP(A12,'Weapon Formulas'!$E$10:$L$115,7,0),weapon_components!H12),2)</f>
        <v>-2.11</v>
      </c>
      <c r="I12" s="5">
        <v>2</v>
      </c>
      <c r="J12" s="5">
        <v>23</v>
      </c>
      <c r="K12" s="5">
        <v>25</v>
      </c>
      <c r="L12" s="5">
        <f>ROUND(_xlfn.IFNA(VLOOKUP(A12,'Weapon Formulas'!$E$10:$Z$115,15,0),weapon_components!L12),2)</f>
        <v>30</v>
      </c>
      <c r="M12" s="2">
        <v>0.8</v>
      </c>
      <c r="N12" s="5">
        <f>ROUND(_xlfn.IFNA(VLOOKUP(A12,'Weapon Formulas'!$E$10:$W$115,16,0),weapon_components!N12),2)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f>ROUND(_xlfn.IFNA(VLOOKUP(A13,'Weapon Formulas'!$E$10:$V$115,17,0),weapon_components!C13),2)</f>
        <v>-26.67</v>
      </c>
      <c r="D13" s="5">
        <f>ROUND(_xlfn.IFNA(VLOOKUP(A13,'Weapon Formulas'!$E$10:$Q$115,11,0),weapon_components!D13),2)</f>
        <v>98.03</v>
      </c>
      <c r="E13" s="5">
        <f>ROUND(_xlfn.IFNA(VLOOKUP(A13,'Weapon Formulas'!$E$10:$Q$115,12,0),weapon_components!E13),2)</f>
        <v>163.38</v>
      </c>
      <c r="F13" s="5">
        <f>ROUND(_xlfn.IFNA(VLOOKUP(A13,'Weapon Formulas'!$E$10:$L$115,8,0),weapon_components!F13),2)</f>
        <v>0.03</v>
      </c>
      <c r="G13" s="5">
        <f>ROUND(_xlfn.IFNA(VLOOKUP(A13,'Weapon Formulas'!$E$10:$P$115,9,0),weapon_components!G13),2)</f>
        <v>0</v>
      </c>
      <c r="H13" s="5">
        <f>ROUND(_xlfn.IFNA(VLOOKUP(A13,'Weapon Formulas'!$E$10:$L$115,7,0),weapon_components!H13),2)</f>
        <v>-2.79</v>
      </c>
      <c r="I13" s="5">
        <v>2</v>
      </c>
      <c r="J13" s="5">
        <v>23</v>
      </c>
      <c r="K13" s="5">
        <v>25</v>
      </c>
      <c r="L13" s="5">
        <f>ROUND(_xlfn.IFNA(VLOOKUP(A13,'Weapon Formulas'!$E$10:$Z$115,15,0),weapon_components!L13),2)</f>
        <v>36</v>
      </c>
      <c r="M13" s="2">
        <v>0.75</v>
      </c>
      <c r="N13" s="5">
        <f>ROUND(_xlfn.IFNA(VLOOKUP(A13,'Weapon Formulas'!$E$10:$W$115,16,0),weapon_components!N13),2)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f>ROUND(_xlfn.IFNA(VLOOKUP(A14,'Weapon Formulas'!$E$10:$V$115,17,0),weapon_components!C14),2)</f>
        <v>-13.33</v>
      </c>
      <c r="D14" s="5">
        <f>ROUND(_xlfn.IFNA(VLOOKUP(A14,'Weapon Formulas'!$E$10:$Q$115,11,0),weapon_components!D14),2)</f>
        <v>31.13</v>
      </c>
      <c r="E14" s="5">
        <f>ROUND(_xlfn.IFNA(VLOOKUP(A14,'Weapon Formulas'!$E$10:$Q$115,12,0),weapon_components!E14),2)</f>
        <v>51.88</v>
      </c>
      <c r="F14" s="5">
        <f>ROUND(_xlfn.IFNA(VLOOKUP(A14,'Weapon Formulas'!$E$10:$L$115,8,0),weapon_components!F14),2)</f>
        <v>0.05</v>
      </c>
      <c r="G14" s="5">
        <f>ROUND(_xlfn.IFNA(VLOOKUP(A14,'Weapon Formulas'!$E$10:$P$115,9,0),weapon_components!G14),2)</f>
        <v>0</v>
      </c>
      <c r="H14" s="5">
        <f>ROUND(_xlfn.IFNA(VLOOKUP(A14,'Weapon Formulas'!$E$10:$L$115,7,0),weapon_components!H14),2)</f>
        <v>-1.07</v>
      </c>
      <c r="I14" s="5">
        <v>2</v>
      </c>
      <c r="J14" s="5">
        <v>23</v>
      </c>
      <c r="K14" s="5">
        <v>25</v>
      </c>
      <c r="L14" s="5">
        <f>ROUND(_xlfn.IFNA(VLOOKUP(A14,'Weapon Formulas'!$E$10:$Z$115,15,0),weapon_components!L14),2)</f>
        <v>24</v>
      </c>
      <c r="M14" s="2">
        <v>0.82</v>
      </c>
      <c r="N14" s="5">
        <f>ROUND(_xlfn.IFNA(VLOOKUP(A14,'Weapon Formulas'!$E$10:$W$115,16,0),weapon_components!N14),2)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f>ROUND(_xlfn.IFNA(VLOOKUP(A15,'Weapon Formulas'!$E$10:$V$115,17,0),weapon_components!C15),2)</f>
        <v>-26.67</v>
      </c>
      <c r="D15" s="5">
        <f>ROUND(_xlfn.IFNA(VLOOKUP(A15,'Weapon Formulas'!$E$10:$Q$115,11,0),weapon_components!D15),2)</f>
        <v>68.97</v>
      </c>
      <c r="E15" s="5">
        <f>ROUND(_xlfn.IFNA(VLOOKUP(A15,'Weapon Formulas'!$E$10:$Q$115,12,0),weapon_components!E15),2)</f>
        <v>114.94</v>
      </c>
      <c r="F15" s="5">
        <f>ROUND(_xlfn.IFNA(VLOOKUP(A15,'Weapon Formulas'!$E$10:$L$115,8,0),weapon_components!F15),2)</f>
        <v>0.05</v>
      </c>
      <c r="G15" s="5">
        <f>ROUND(_xlfn.IFNA(VLOOKUP(A15,'Weapon Formulas'!$E$10:$P$115,9,0),weapon_components!G15),2)</f>
        <v>0</v>
      </c>
      <c r="H15" s="5">
        <f>ROUND(_xlfn.IFNA(VLOOKUP(A15,'Weapon Formulas'!$E$10:$L$115,7,0),weapon_components!H15),2)</f>
        <v>-1.53</v>
      </c>
      <c r="I15" s="5">
        <v>2</v>
      </c>
      <c r="J15" s="5">
        <v>23</v>
      </c>
      <c r="K15" s="5">
        <v>25</v>
      </c>
      <c r="L15" s="5">
        <f>ROUND(_xlfn.IFNA(VLOOKUP(A15,'Weapon Formulas'!$E$10:$Z$115,15,0),weapon_components!L15),2)</f>
        <v>30</v>
      </c>
      <c r="M15" s="2">
        <v>0.8</v>
      </c>
      <c r="N15" s="5">
        <f>ROUND(_xlfn.IFNA(VLOOKUP(A15,'Weapon Formulas'!$E$10:$W$115,16,0),weapon_components!N15),2)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f>ROUND(_xlfn.IFNA(VLOOKUP(A16,'Weapon Formulas'!$E$10:$V$115,17,0),weapon_components!C16),2)</f>
        <v>-53.33</v>
      </c>
      <c r="D16" s="5">
        <f>ROUND(_xlfn.IFNA(VLOOKUP(A16,'Weapon Formulas'!$E$10:$Q$115,11,0),weapon_components!D16),2)</f>
        <v>158.07</v>
      </c>
      <c r="E16" s="5">
        <f>ROUND(_xlfn.IFNA(VLOOKUP(A16,'Weapon Formulas'!$E$10:$Q$115,12,0),weapon_components!E16),2)</f>
        <v>263.45</v>
      </c>
      <c r="F16" s="5">
        <f>ROUND(_xlfn.IFNA(VLOOKUP(A16,'Weapon Formulas'!$E$10:$L$115,8,0),weapon_components!F16),2)</f>
        <v>0.05</v>
      </c>
      <c r="G16" s="5">
        <f>ROUND(_xlfn.IFNA(VLOOKUP(A16,'Weapon Formulas'!$E$10:$P$115,9,0),weapon_components!G16),2)</f>
        <v>0</v>
      </c>
      <c r="H16" s="5">
        <f>ROUND(_xlfn.IFNA(VLOOKUP(A16,'Weapon Formulas'!$E$10:$L$115,7,0),weapon_components!H16),2)</f>
        <v>-1.92</v>
      </c>
      <c r="I16" s="5">
        <v>2</v>
      </c>
      <c r="J16" s="5">
        <v>23</v>
      </c>
      <c r="K16" s="5">
        <v>25</v>
      </c>
      <c r="L16" s="5">
        <f>ROUND(_xlfn.IFNA(VLOOKUP(A16,'Weapon Formulas'!$E$10:$Z$115,15,0),weapon_components!L16),2)</f>
        <v>36</v>
      </c>
      <c r="M16" s="2">
        <v>0.75</v>
      </c>
      <c r="N16" s="5">
        <f>ROUND(_xlfn.IFNA(VLOOKUP(A16,'Weapon Formulas'!$E$10:$W$115,16,0),weapon_components!N16),2)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f>ROUND(_xlfn.IFNA(VLOOKUP(A17,'Weapon Formulas'!$E$10:$V$115,17,0),weapon_components!C17),2)</f>
        <v>-26.67</v>
      </c>
      <c r="D17" s="5">
        <f>ROUND(_xlfn.IFNA(VLOOKUP(A17,'Weapon Formulas'!$E$10:$Q$115,11,0),weapon_components!D17),2)</f>
        <v>44.87</v>
      </c>
      <c r="E17" s="5">
        <f>ROUND(_xlfn.IFNA(VLOOKUP(A17,'Weapon Formulas'!$E$10:$Q$115,12,0),weapon_components!E17),2)</f>
        <v>74.78</v>
      </c>
      <c r="F17" s="5">
        <f>ROUND(_xlfn.IFNA(VLOOKUP(A17,'Weapon Formulas'!$E$10:$L$115,8,0),weapon_components!F17),2)</f>
        <v>7.0000000000000007E-2</v>
      </c>
      <c r="G17" s="5">
        <f>ROUND(_xlfn.IFNA(VLOOKUP(A17,'Weapon Formulas'!$E$10:$P$115,9,0),weapon_components!G17),2)</f>
        <v>0</v>
      </c>
      <c r="H17" s="5">
        <f>ROUND(_xlfn.IFNA(VLOOKUP(A17,'Weapon Formulas'!$E$10:$L$115,7,0),weapon_components!H17),2)</f>
        <v>-0.9</v>
      </c>
      <c r="I17" s="5">
        <v>2</v>
      </c>
      <c r="J17" s="5">
        <v>23</v>
      </c>
      <c r="K17" s="5">
        <v>25</v>
      </c>
      <c r="L17" s="5">
        <f>ROUND(_xlfn.IFNA(VLOOKUP(A17,'Weapon Formulas'!$E$10:$Z$115,15,0),weapon_components!L17),2)</f>
        <v>24</v>
      </c>
      <c r="M17" s="2">
        <v>0.82</v>
      </c>
      <c r="N17" s="5">
        <f>ROUND(_xlfn.IFNA(VLOOKUP(A17,'Weapon Formulas'!$E$10:$W$115,16,0),weapon_components!N17),2)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f>ROUND(_xlfn.IFNA(VLOOKUP(A18,'Weapon Formulas'!$E$10:$V$115,17,0),weapon_components!C18),2)</f>
        <v>-53.33</v>
      </c>
      <c r="D18" s="5">
        <f>ROUND(_xlfn.IFNA(VLOOKUP(A18,'Weapon Formulas'!$E$10:$Q$115,11,0),weapon_components!D18),2)</f>
        <v>98.88</v>
      </c>
      <c r="E18" s="5">
        <f>ROUND(_xlfn.IFNA(VLOOKUP(A18,'Weapon Formulas'!$E$10:$Q$115,12,0),weapon_components!E18),2)</f>
        <v>164.8</v>
      </c>
      <c r="F18" s="5">
        <f>ROUND(_xlfn.IFNA(VLOOKUP(A18,'Weapon Formulas'!$E$10:$L$115,8,0),weapon_components!F18),2)</f>
        <v>7.0000000000000007E-2</v>
      </c>
      <c r="G18" s="5">
        <f>ROUND(_xlfn.IFNA(VLOOKUP(A18,'Weapon Formulas'!$E$10:$P$115,9,0),weapon_components!G18),2)</f>
        <v>0</v>
      </c>
      <c r="H18" s="5">
        <f>ROUND(_xlfn.IFNA(VLOOKUP(A18,'Weapon Formulas'!$E$10:$L$115,7,0),weapon_components!H18),2)</f>
        <v>-1.19</v>
      </c>
      <c r="I18" s="5">
        <v>2</v>
      </c>
      <c r="J18" s="5">
        <v>23</v>
      </c>
      <c r="K18" s="5">
        <v>25</v>
      </c>
      <c r="L18" s="5">
        <f>ROUND(_xlfn.IFNA(VLOOKUP(A18,'Weapon Formulas'!$E$10:$Z$115,15,0),weapon_components!L18),2)</f>
        <v>30</v>
      </c>
      <c r="M18" s="2">
        <v>0.8</v>
      </c>
      <c r="N18" s="5">
        <f>ROUND(_xlfn.IFNA(VLOOKUP(A18,'Weapon Formulas'!$E$10:$W$115,16,0),weapon_components!N18),2)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f>ROUND(_xlfn.IFNA(VLOOKUP(A19,'Weapon Formulas'!$E$10:$V$115,17,0),weapon_components!C19),2)</f>
        <v>-106.67</v>
      </c>
      <c r="D19" s="5">
        <f>ROUND(_xlfn.IFNA(VLOOKUP(A19,'Weapon Formulas'!$E$10:$Q$115,11,0),weapon_components!D19),2)</f>
        <v>225.61</v>
      </c>
      <c r="E19" s="5">
        <f>ROUND(_xlfn.IFNA(VLOOKUP(A19,'Weapon Formulas'!$E$10:$Q$115,12,0),weapon_components!E19),2)</f>
        <v>376.01</v>
      </c>
      <c r="F19" s="5">
        <f>ROUND(_xlfn.IFNA(VLOOKUP(A19,'Weapon Formulas'!$E$10:$L$115,8,0),weapon_components!F19),2)</f>
        <v>7.0000000000000007E-2</v>
      </c>
      <c r="G19" s="5">
        <f>ROUND(_xlfn.IFNA(VLOOKUP(A19,'Weapon Formulas'!$E$10:$P$115,9,0),weapon_components!G19),2)</f>
        <v>0</v>
      </c>
      <c r="H19" s="5">
        <f>ROUND(_xlfn.IFNA(VLOOKUP(A19,'Weapon Formulas'!$E$10:$L$115,7,0),weapon_components!H19),2)</f>
        <v>-1.44</v>
      </c>
      <c r="I19" s="5">
        <v>2</v>
      </c>
      <c r="J19" s="5">
        <v>23</v>
      </c>
      <c r="K19" s="5">
        <v>25</v>
      </c>
      <c r="L19" s="5">
        <f>ROUND(_xlfn.IFNA(VLOOKUP(A19,'Weapon Formulas'!$E$10:$Z$115,15,0),weapon_components!L19),2)</f>
        <v>36</v>
      </c>
      <c r="M19" s="2">
        <v>0.75</v>
      </c>
      <c r="N19" s="5">
        <f>ROUND(_xlfn.IFNA(VLOOKUP(A19,'Weapon Formulas'!$E$10:$W$115,16,0),weapon_components!N19),2)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f>ROUND(_xlfn.IFNA(VLOOKUP(A20,'Weapon Formulas'!$E$10:$V$115,17,0),weapon_components!C20),2)</f>
        <v>-53.33</v>
      </c>
      <c r="D20" s="5">
        <f>ROUND(_xlfn.IFNA(VLOOKUP(A20,'Weapon Formulas'!$E$10:$Q$115,11,0),weapon_components!D20),2)</f>
        <v>60.33</v>
      </c>
      <c r="E20" s="5">
        <f>ROUND(_xlfn.IFNA(VLOOKUP(A20,'Weapon Formulas'!$E$10:$Q$115,12,0),weapon_components!E20),2)</f>
        <v>100.54</v>
      </c>
      <c r="F20" s="5">
        <f>ROUND(_xlfn.IFNA(VLOOKUP(A20,'Weapon Formulas'!$E$10:$L$115,8,0),weapon_components!F20),2)</f>
        <v>0.08</v>
      </c>
      <c r="G20" s="5">
        <f>ROUND(_xlfn.IFNA(VLOOKUP(A20,'Weapon Formulas'!$E$10:$P$115,9,0),weapon_components!G20),2)</f>
        <v>0</v>
      </c>
      <c r="H20" s="5">
        <f>ROUND(_xlfn.IFNA(VLOOKUP(A20,'Weapon Formulas'!$E$10:$L$115,7,0),weapon_components!H20),2)</f>
        <v>-0.75</v>
      </c>
      <c r="I20" s="5">
        <v>2</v>
      </c>
      <c r="J20" s="5">
        <v>23</v>
      </c>
      <c r="K20" s="5">
        <v>25</v>
      </c>
      <c r="L20" s="5">
        <f>ROUND(_xlfn.IFNA(VLOOKUP(A20,'Weapon Formulas'!$E$10:$Z$115,15,0),weapon_components!L20),2)</f>
        <v>24</v>
      </c>
      <c r="M20" s="2">
        <v>0.82</v>
      </c>
      <c r="N20" s="5">
        <f>ROUND(_xlfn.IFNA(VLOOKUP(A20,'Weapon Formulas'!$E$10:$W$115,16,0),weapon_components!N20),2)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f>ROUND(_xlfn.IFNA(VLOOKUP(A21,'Weapon Formulas'!$E$10:$V$115,17,0),weapon_components!C21),2)</f>
        <v>-106.67</v>
      </c>
      <c r="D21" s="5">
        <f>ROUND(_xlfn.IFNA(VLOOKUP(A21,'Weapon Formulas'!$E$10:$Q$115,11,0),weapon_components!D21),2)</f>
        <v>132.31</v>
      </c>
      <c r="E21" s="5">
        <f>ROUND(_xlfn.IFNA(VLOOKUP(A21,'Weapon Formulas'!$E$10:$Q$115,12,0),weapon_components!E21),2)</f>
        <v>220.52</v>
      </c>
      <c r="F21" s="5">
        <f>ROUND(_xlfn.IFNA(VLOOKUP(A21,'Weapon Formulas'!$E$10:$L$115,8,0),weapon_components!F21),2)</f>
        <v>0.08</v>
      </c>
      <c r="G21" s="5">
        <f>ROUND(_xlfn.IFNA(VLOOKUP(A21,'Weapon Formulas'!$E$10:$P$115,9,0),weapon_components!G21),2)</f>
        <v>0</v>
      </c>
      <c r="H21" s="5">
        <f>ROUND(_xlfn.IFNA(VLOOKUP(A21,'Weapon Formulas'!$E$10:$L$115,7,0),weapon_components!H21),2)</f>
        <v>-0.96</v>
      </c>
      <c r="I21" s="5">
        <v>2</v>
      </c>
      <c r="J21" s="5">
        <v>23</v>
      </c>
      <c r="K21" s="5">
        <v>25</v>
      </c>
      <c r="L21" s="5">
        <f>ROUND(_xlfn.IFNA(VLOOKUP(A21,'Weapon Formulas'!$E$10:$Z$115,15,0),weapon_components!L21),2)</f>
        <v>30</v>
      </c>
      <c r="M21" s="2">
        <v>0.8</v>
      </c>
      <c r="N21" s="5">
        <f>ROUND(_xlfn.IFNA(VLOOKUP(A21,'Weapon Formulas'!$E$10:$W$115,16,0),weapon_components!N21),2)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f>ROUND(_xlfn.IFNA(VLOOKUP(A22,'Weapon Formulas'!$E$10:$V$115,17,0),weapon_components!C22),2)</f>
        <v>-213.33</v>
      </c>
      <c r="D22" s="5">
        <f>ROUND(_xlfn.IFNA(VLOOKUP(A22,'Weapon Formulas'!$E$10:$Q$115,11,0),weapon_components!D22),2)</f>
        <v>300.64999999999998</v>
      </c>
      <c r="E22" s="5">
        <f>ROUND(_xlfn.IFNA(VLOOKUP(A22,'Weapon Formulas'!$E$10:$Q$115,12,0),weapon_components!E22),2)</f>
        <v>501.08</v>
      </c>
      <c r="F22" s="5">
        <f>ROUND(_xlfn.IFNA(VLOOKUP(A22,'Weapon Formulas'!$E$10:$L$115,8,0),weapon_components!F22),2)</f>
        <v>0.08</v>
      </c>
      <c r="G22" s="5">
        <f>ROUND(_xlfn.IFNA(VLOOKUP(A22,'Weapon Formulas'!$E$10:$P$115,9,0),weapon_components!G22),2)</f>
        <v>0</v>
      </c>
      <c r="H22" s="5">
        <f>ROUND(_xlfn.IFNA(VLOOKUP(A22,'Weapon Formulas'!$E$10:$L$115,7,0),weapon_components!H22),2)</f>
        <v>-1.1299999999999999</v>
      </c>
      <c r="I22" s="5">
        <v>2</v>
      </c>
      <c r="J22" s="5">
        <v>23</v>
      </c>
      <c r="K22" s="5">
        <v>25</v>
      </c>
      <c r="L22" s="5">
        <f>ROUND(_xlfn.IFNA(VLOOKUP(A22,'Weapon Formulas'!$E$10:$Z$115,15,0),weapon_components!L22),2)</f>
        <v>36</v>
      </c>
      <c r="M22" s="2">
        <v>0.75</v>
      </c>
      <c r="N22" s="5">
        <f>ROUND(_xlfn.IFNA(VLOOKUP(A22,'Weapon Formulas'!$E$10:$W$115,16,0),weapon_components!N22),2)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5"/>
      <c r="D23" s="5"/>
      <c r="E23" s="5"/>
      <c r="F23" s="5"/>
      <c r="G23" s="5"/>
      <c r="H23" s="5"/>
      <c r="I23" s="5"/>
      <c r="J23" s="5"/>
      <c r="K23" s="2"/>
      <c r="L23" s="5"/>
      <c r="M23" s="5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f>ROUND(_xlfn.IFNA(VLOOKUP(A24,'Weapon Formulas'!$E$10:$V$115,17,0),weapon_components!C24),2)</f>
        <v>0</v>
      </c>
      <c r="D24" s="5">
        <f>ROUND(_xlfn.IFNA(VLOOKUP(A24,'Weapon Formulas'!$E$10:$Q$115,11,0),weapon_components!D24),2)</f>
        <v>5</v>
      </c>
      <c r="E24" s="5">
        <f>ROUND(_xlfn.IFNA(VLOOKUP(A24,'Weapon Formulas'!$E$10:$Q$115,12,0),weapon_components!E24),2)</f>
        <v>10</v>
      </c>
      <c r="F24" s="5">
        <f>ROUND(_xlfn.IFNA(VLOOKUP(A24,'Weapon Formulas'!$E$10:$L$115,8,0),weapon_components!F24),2)</f>
        <v>1</v>
      </c>
      <c r="G24" s="5">
        <f>ROUND(_xlfn.IFNA(VLOOKUP(A24,'Weapon Formulas'!$E$10:$P$115,9,0),weapon_components!G24),2)</f>
        <v>0</v>
      </c>
      <c r="H24" s="5">
        <f>ROUND(_xlfn.IFNA(VLOOKUP(A24,'Weapon Formulas'!$E$10:$L$115,7,0),weapon_components!H24),2)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Formulas'!$E$10:$Z$115,15,0),weapon_components!L24),2)</f>
        <v>15</v>
      </c>
      <c r="M24" s="2">
        <v>0.85</v>
      </c>
      <c r="N24" s="5">
        <f>ROUND(_xlfn.IFNA(VLOOKUP(A24,'Weapon Formulas'!$E$10:$W$115,16,0),weapon_components!N24),2)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f>ROUND(_xlfn.IFNA(VLOOKUP(A25,'Weapon Formulas'!$E$10:$V$115,17,0),weapon_components!C25),2)</f>
        <v>0</v>
      </c>
      <c r="D25" s="5">
        <f>ROUND(_xlfn.IFNA(VLOOKUP(A25,'Weapon Formulas'!$E$10:$Q$115,11,0),weapon_components!D25),2)</f>
        <v>13</v>
      </c>
      <c r="E25" s="5">
        <f>ROUND(_xlfn.IFNA(VLOOKUP(A25,'Weapon Formulas'!$E$10:$Q$115,12,0),weapon_components!E25),2)</f>
        <v>18</v>
      </c>
      <c r="F25" s="5">
        <f>ROUND(_xlfn.IFNA(VLOOKUP(A25,'Weapon Formulas'!$E$10:$L$115,8,0),weapon_components!F25),2)</f>
        <v>1</v>
      </c>
      <c r="G25" s="5">
        <f>ROUND(_xlfn.IFNA(VLOOKUP(A25,'Weapon Formulas'!$E$10:$P$115,9,0),weapon_components!G25),2)</f>
        <v>0</v>
      </c>
      <c r="H25" s="5">
        <f>ROUND(_xlfn.IFNA(VLOOKUP(A25,'Weapon Formulas'!$E$10:$L$115,7,0),weapon_components!H25),2)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Formulas'!$E$10:$Z$115,15,0),weapon_components!L25),2)</f>
        <v>25</v>
      </c>
      <c r="M25" s="2">
        <v>0.82</v>
      </c>
      <c r="N25" s="5">
        <f>ROUND(_xlfn.IFNA(VLOOKUP(A25,'Weapon Formulas'!$E$10:$W$115,16,0),weapon_components!N25),2)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5">
        <f>ROUND(_xlfn.IFNA(VLOOKUP(A26,'Weapon Formulas'!$E$10:$V$115,17,0),weapon_components!C26),2)</f>
        <v>0</v>
      </c>
      <c r="D26" s="5">
        <f>ROUND(_xlfn.IFNA(VLOOKUP(A26,'Weapon Formulas'!$E$10:$Q$115,11,0),weapon_components!D26),2)</f>
        <v>25</v>
      </c>
      <c r="E26" s="5">
        <f>ROUND(_xlfn.IFNA(VLOOKUP(A26,'Weapon Formulas'!$E$10:$Q$115,12,0),weapon_components!E26),2)</f>
        <v>41</v>
      </c>
      <c r="F26" s="5">
        <f>ROUND(_xlfn.IFNA(VLOOKUP(A26,'Weapon Formulas'!$E$10:$L$115,8,0),weapon_components!F26),2)</f>
        <v>1</v>
      </c>
      <c r="G26" s="5">
        <f>ROUND(_xlfn.IFNA(VLOOKUP(A26,'Weapon Formulas'!$E$10:$P$115,9,0),weapon_components!G26),2)</f>
        <v>0</v>
      </c>
      <c r="H26" s="5">
        <f>ROUND(_xlfn.IFNA(VLOOKUP(A26,'Weapon Formulas'!$E$10:$L$115,7,0),weapon_components!H26),2)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Formulas'!$E$10:$Z$115,15,0),weapon_components!L26),2)</f>
        <v>35</v>
      </c>
      <c r="M26" s="5">
        <v>0.79</v>
      </c>
      <c r="N26" s="5">
        <f>ROUND(_xlfn.IFNA(VLOOKUP(A26,'Weapon Formulas'!$E$10:$W$115,16,0),weapon_components!N26),2)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f>ROUND(_xlfn.IFNA(VLOOKUP(A28,'Weapon Formulas'!$E$10:$V$115,17,0),weapon_components!C28),2)</f>
        <v>-213.33</v>
      </c>
      <c r="D28" s="5">
        <f>ROUND(_xlfn.IFNA(VLOOKUP(A28,'Weapon Formulas'!$E$10:$Q$115,11,0),weapon_components!D28),2)</f>
        <v>337.6</v>
      </c>
      <c r="E28" s="5">
        <f>ROUND(_xlfn.IFNA(VLOOKUP(A28,'Weapon Formulas'!$E$10:$Q$115,12,0),weapon_components!E28),2)</f>
        <v>562.66</v>
      </c>
      <c r="F28" s="5">
        <f>ROUND(_xlfn.IFNA(VLOOKUP(A28,'Weapon Formulas'!$E$10:$L$115,8,0),weapon_components!F28),2)</f>
        <v>7.0000000000000007E-2</v>
      </c>
      <c r="G28" s="5">
        <f>ROUND(_xlfn.IFNA(VLOOKUP(A28,'Weapon Formulas'!$E$10:$P$115,9,0),weapon_components!G28),2)</f>
        <v>0</v>
      </c>
      <c r="H28" s="5">
        <f>ROUND(_xlfn.IFNA(VLOOKUP(A28,'Weapon Formulas'!$E$10:$L$115,7,0),weapon_components!H28),2)</f>
        <v>6.42</v>
      </c>
      <c r="I28" s="5">
        <v>22</v>
      </c>
      <c r="J28" s="5">
        <v>35</v>
      </c>
      <c r="K28" s="5">
        <v>60</v>
      </c>
      <c r="L28" s="5">
        <f>ROUND(_xlfn.IFNA(VLOOKUP(A28,'Weapon Formulas'!$E$10:$Z$115,15,0),weapon_components!L28),2)</f>
        <v>36</v>
      </c>
      <c r="M28" s="2">
        <v>0.9</v>
      </c>
      <c r="N28" s="5">
        <f>ROUND(_xlfn.IFNA(VLOOKUP(A28,'Weapon Formulas'!$E$10:$W$115,16,0),weapon_components!N28),2)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f>ROUND(_xlfn.IFNA(VLOOKUP(A29,'Weapon Formulas'!$E$10:$V$115,17,0),weapon_components!C29),2)</f>
        <v>-426.67</v>
      </c>
      <c r="D29" s="5">
        <f>ROUND(_xlfn.IFNA(VLOOKUP(A29,'Weapon Formulas'!$E$10:$Q$115,11,0),weapon_components!D29),2)</f>
        <v>378.01</v>
      </c>
      <c r="E29" s="5">
        <f>ROUND(_xlfn.IFNA(VLOOKUP(A29,'Weapon Formulas'!$E$10:$Q$115,12,0),weapon_components!E29),2)</f>
        <v>630.01</v>
      </c>
      <c r="F29" s="5">
        <f>ROUND(_xlfn.IFNA(VLOOKUP(A29,'Weapon Formulas'!$E$10:$L$115,8,0),weapon_components!F29),2)</f>
        <v>0.08</v>
      </c>
      <c r="G29" s="5">
        <f>ROUND(_xlfn.IFNA(VLOOKUP(A29,'Weapon Formulas'!$E$10:$P$115,9,0),weapon_components!G29),2)</f>
        <v>0</v>
      </c>
      <c r="H29" s="5">
        <f>ROUND(_xlfn.IFNA(VLOOKUP(A29,'Weapon Formulas'!$E$10:$L$115,7,0),weapon_components!H29),2)</f>
        <v>6.67</v>
      </c>
      <c r="I29" s="5">
        <v>22</v>
      </c>
      <c r="J29" s="5">
        <v>35</v>
      </c>
      <c r="K29" s="5">
        <v>60</v>
      </c>
      <c r="L29" s="5">
        <f>ROUND(_xlfn.IFNA(VLOOKUP(A29,'Weapon Formulas'!$E$10:$Z$115,15,0),weapon_components!L29),2)</f>
        <v>36</v>
      </c>
      <c r="M29" s="2">
        <v>0.9</v>
      </c>
      <c r="N29" s="5">
        <f>ROUND(_xlfn.IFNA(VLOOKUP(A29,'Weapon Formulas'!$E$10:$W$115,16,0),weapon_components!N29),2)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f>ROUND(_xlfn.IFNA(VLOOKUP(A31,'Weapon Formulas'!$E$10:$V$115,17,0),weapon_components!C31),2)</f>
        <v>-13.33</v>
      </c>
      <c r="D31" s="5">
        <f>ROUND(_xlfn.IFNA(VLOOKUP(A31,'Weapon Formulas'!$E$10:$Q$115,11,0),weapon_components!D31),2)</f>
        <v>24.85</v>
      </c>
      <c r="E31" s="5">
        <f>ROUND(_xlfn.IFNA(VLOOKUP(A31,'Weapon Formulas'!$E$10:$Q$115,12,0),weapon_components!E31),2)</f>
        <v>41.42</v>
      </c>
      <c r="F31" s="5">
        <f>ROUND(_xlfn.IFNA(VLOOKUP(A31,'Weapon Formulas'!$E$10:$L$115,8,0),weapon_components!F31),2)</f>
        <v>0.05</v>
      </c>
      <c r="G31" s="5">
        <f>ROUND(_xlfn.IFNA(VLOOKUP(A31,'Weapon Formulas'!$E$10:$P$115,9,0),weapon_components!G31),2)</f>
        <v>0</v>
      </c>
      <c r="H31" s="5">
        <f>ROUND(_xlfn.IFNA(VLOOKUP(A31,'Weapon Formulas'!$E$10:$L$115,7,0),weapon_components!H31),2)</f>
        <v>3.01</v>
      </c>
      <c r="I31" s="5">
        <v>2</v>
      </c>
      <c r="J31" s="5">
        <v>25</v>
      </c>
      <c r="K31" s="5">
        <v>30</v>
      </c>
      <c r="L31" s="5">
        <f>ROUND(_xlfn.IFNA(VLOOKUP(A31,'Weapon Formulas'!$E$10:$Z$115,15,0),weapon_components!L31),2)</f>
        <v>24</v>
      </c>
      <c r="M31" s="2">
        <v>0.82</v>
      </c>
      <c r="N31" s="5">
        <f>ROUND(_xlfn.IFNA(VLOOKUP(A31,'Weapon Formulas'!$E$10:$W$115,16,0),weapon_components!N31),2)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f>ROUND(_xlfn.IFNA(VLOOKUP(A32,'Weapon Formulas'!$E$10:$V$115,17,0),weapon_components!C32),2)</f>
        <v>-26.67</v>
      </c>
      <c r="D32" s="5">
        <f>ROUND(_xlfn.IFNA(VLOOKUP(A32,'Weapon Formulas'!$E$10:$Q$115,11,0),weapon_components!D32),2)</f>
        <v>44.47</v>
      </c>
      <c r="E32" s="5">
        <f>ROUND(_xlfn.IFNA(VLOOKUP(A32,'Weapon Formulas'!$E$10:$Q$115,12,0),weapon_components!E32),2)</f>
        <v>74.11</v>
      </c>
      <c r="F32" s="5">
        <f>ROUND(_xlfn.IFNA(VLOOKUP(A32,'Weapon Formulas'!$E$10:$L$115,8,0),weapon_components!F32),2)</f>
        <v>0.05</v>
      </c>
      <c r="G32" s="5">
        <f>ROUND(_xlfn.IFNA(VLOOKUP(A32,'Weapon Formulas'!$E$10:$P$115,9,0),weapon_components!G32),2)</f>
        <v>0</v>
      </c>
      <c r="H32" s="5">
        <f>ROUND(_xlfn.IFNA(VLOOKUP(A32,'Weapon Formulas'!$E$10:$L$115,7,0),weapon_components!H32),2)</f>
        <v>4.55</v>
      </c>
      <c r="I32" s="5">
        <v>2</v>
      </c>
      <c r="J32" s="5">
        <v>25</v>
      </c>
      <c r="K32" s="5">
        <v>30</v>
      </c>
      <c r="L32" s="5">
        <f>ROUND(_xlfn.IFNA(VLOOKUP(A32,'Weapon Formulas'!$E$10:$Z$115,15,0),weapon_components!L32),2)</f>
        <v>30</v>
      </c>
      <c r="M32" s="2">
        <v>0.8</v>
      </c>
      <c r="N32" s="5">
        <f>ROUND(_xlfn.IFNA(VLOOKUP(A32,'Weapon Formulas'!$E$10:$W$115,16,0),weapon_components!N32),2)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f>ROUND(_xlfn.IFNA(VLOOKUP(A33,'Weapon Formulas'!$E$10:$V$115,17,0),weapon_components!C33),2)</f>
        <v>-53.33</v>
      </c>
      <c r="D33" s="5">
        <f>ROUND(_xlfn.IFNA(VLOOKUP(A33,'Weapon Formulas'!$E$10:$Q$115,11,0),weapon_components!D33),2)</f>
        <v>81.12</v>
      </c>
      <c r="E33" s="5">
        <f>ROUND(_xlfn.IFNA(VLOOKUP(A33,'Weapon Formulas'!$E$10:$Q$115,12,0),weapon_components!E33),2)</f>
        <v>135.19</v>
      </c>
      <c r="F33" s="5">
        <f>ROUND(_xlfn.IFNA(VLOOKUP(A33,'Weapon Formulas'!$E$10:$L$115,8,0),weapon_components!F33),2)</f>
        <v>0.05</v>
      </c>
      <c r="G33" s="5">
        <f>ROUND(_xlfn.IFNA(VLOOKUP(A33,'Weapon Formulas'!$E$10:$P$115,9,0),weapon_components!G33),2)</f>
        <v>0</v>
      </c>
      <c r="H33" s="5">
        <f>ROUND(_xlfn.IFNA(VLOOKUP(A33,'Weapon Formulas'!$E$10:$L$115,7,0),weapon_components!H33),2)</f>
        <v>6.6</v>
      </c>
      <c r="I33" s="5">
        <v>2</v>
      </c>
      <c r="J33" s="5">
        <v>25</v>
      </c>
      <c r="K33" s="5">
        <v>30</v>
      </c>
      <c r="L33" s="5">
        <f>ROUND(_xlfn.IFNA(VLOOKUP(A33,'Weapon Formulas'!$E$10:$Z$115,15,0),weapon_components!L33),2)</f>
        <v>36</v>
      </c>
      <c r="M33" s="2">
        <v>0.75</v>
      </c>
      <c r="N33" s="5">
        <f>ROUND(_xlfn.IFNA(VLOOKUP(A33,'Weapon Formulas'!$E$10:$W$115,16,0),weapon_components!N33),2)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f>ROUND(_xlfn.IFNA(VLOOKUP(A34,'Weapon Formulas'!$E$10:$V$115,17,0),weapon_components!C34),2)</f>
        <v>-26.67</v>
      </c>
      <c r="D34" s="5">
        <f>ROUND(_xlfn.IFNA(VLOOKUP(A34,'Weapon Formulas'!$E$10:$Q$115,11,0),weapon_components!D34),2)</f>
        <v>32.03</v>
      </c>
      <c r="E34" s="5">
        <f>ROUND(_xlfn.IFNA(VLOOKUP(A34,'Weapon Formulas'!$E$10:$Q$115,12,0),weapon_components!E34),2)</f>
        <v>53.38</v>
      </c>
      <c r="F34" s="5">
        <f>ROUND(_xlfn.IFNA(VLOOKUP(A34,'Weapon Formulas'!$E$10:$L$115,8,0),weapon_components!F34),2)</f>
        <v>7.0000000000000007E-2</v>
      </c>
      <c r="G34" s="5">
        <f>ROUND(_xlfn.IFNA(VLOOKUP(A34,'Weapon Formulas'!$E$10:$P$115,9,0),weapon_components!G34),2)</f>
        <v>0</v>
      </c>
      <c r="H34" s="5">
        <f>ROUND(_xlfn.IFNA(VLOOKUP(A34,'Weapon Formulas'!$E$10:$L$115,7,0),weapon_components!H34),2)</f>
        <v>3.08</v>
      </c>
      <c r="I34" s="5">
        <v>2</v>
      </c>
      <c r="J34" s="5">
        <v>25</v>
      </c>
      <c r="K34" s="5">
        <v>30</v>
      </c>
      <c r="L34" s="5">
        <f>ROUND(_xlfn.IFNA(VLOOKUP(A34,'Weapon Formulas'!$E$10:$Z$115,15,0),weapon_components!L34),2)</f>
        <v>24</v>
      </c>
      <c r="M34" s="2">
        <v>0.82</v>
      </c>
      <c r="N34" s="5">
        <f>ROUND(_xlfn.IFNA(VLOOKUP(A34,'Weapon Formulas'!$E$10:$W$115,16,0),weapon_components!N34),2)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f>ROUND(_xlfn.IFNA(VLOOKUP(A35,'Weapon Formulas'!$E$10:$V$115,17,0),weapon_components!C35),2)</f>
        <v>-53.33</v>
      </c>
      <c r="D35" s="5">
        <f>ROUND(_xlfn.IFNA(VLOOKUP(A35,'Weapon Formulas'!$E$10:$Q$115,11,0),weapon_components!D35),2)</f>
        <v>56.18</v>
      </c>
      <c r="E35" s="5">
        <f>ROUND(_xlfn.IFNA(VLOOKUP(A35,'Weapon Formulas'!$E$10:$Q$115,12,0),weapon_components!E35),2)</f>
        <v>93.63</v>
      </c>
      <c r="F35" s="5">
        <f>ROUND(_xlfn.IFNA(VLOOKUP(A35,'Weapon Formulas'!$E$10:$L$115,8,0),weapon_components!F35),2)</f>
        <v>7.0000000000000007E-2</v>
      </c>
      <c r="G35" s="5">
        <f>ROUND(_xlfn.IFNA(VLOOKUP(A35,'Weapon Formulas'!$E$10:$P$115,9,0),weapon_components!G35),2)</f>
        <v>0</v>
      </c>
      <c r="H35" s="5">
        <f>ROUND(_xlfn.IFNA(VLOOKUP(A35,'Weapon Formulas'!$E$10:$L$115,7,0),weapon_components!H35),2)</f>
        <v>4.47</v>
      </c>
      <c r="I35" s="5">
        <v>2</v>
      </c>
      <c r="J35" s="5">
        <v>25</v>
      </c>
      <c r="K35" s="5">
        <v>30</v>
      </c>
      <c r="L35" s="5">
        <f>ROUND(_xlfn.IFNA(VLOOKUP(A35,'Weapon Formulas'!$E$10:$Z$115,15,0),weapon_components!L35),2)</f>
        <v>30</v>
      </c>
      <c r="M35" s="2">
        <v>0.8</v>
      </c>
      <c r="N35" s="5">
        <f>ROUND(_xlfn.IFNA(VLOOKUP(A35,'Weapon Formulas'!$E$10:$W$115,16,0),weapon_components!N35),2)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5">
        <f>ROUND(_xlfn.IFNA(VLOOKUP(A36,'Weapon Formulas'!$E$10:$V$115,17,0),weapon_components!C36),2)</f>
        <v>-106.67</v>
      </c>
      <c r="D36" s="5">
        <f>ROUND(_xlfn.IFNA(VLOOKUP(A36,'Weapon Formulas'!$E$10:$Q$115,11,0),weapon_components!D36),2)</f>
        <v>99.7</v>
      </c>
      <c r="E36" s="5">
        <f>ROUND(_xlfn.IFNA(VLOOKUP(A36,'Weapon Formulas'!$E$10:$Q$115,12,0),weapon_components!E36),2)</f>
        <v>166.16</v>
      </c>
      <c r="F36" s="5">
        <f>ROUND(_xlfn.IFNA(VLOOKUP(A36,'Weapon Formulas'!$E$10:$L$115,8,0),weapon_components!F36),2)</f>
        <v>7.0000000000000007E-2</v>
      </c>
      <c r="G36" s="5">
        <f>ROUND(_xlfn.IFNA(VLOOKUP(A36,'Weapon Formulas'!$E$10:$P$115,9,0),weapon_components!G36),2)</f>
        <v>0</v>
      </c>
      <c r="H36" s="5">
        <f>ROUND(_xlfn.IFNA(VLOOKUP(A36,'Weapon Formulas'!$E$10:$L$115,7,0),weapon_components!H36),2)</f>
        <v>6.42</v>
      </c>
      <c r="I36" s="5">
        <v>2</v>
      </c>
      <c r="J36" s="5">
        <v>25</v>
      </c>
      <c r="K36" s="2">
        <v>30</v>
      </c>
      <c r="L36" s="5">
        <f>ROUND(_xlfn.IFNA(VLOOKUP(A36,'Weapon Formulas'!$E$10:$Z$115,15,0),weapon_components!L36),2)</f>
        <v>36</v>
      </c>
      <c r="M36" s="5">
        <v>0.75</v>
      </c>
      <c r="N36" s="5">
        <f>ROUND(_xlfn.IFNA(VLOOKUP(A36,'Weapon Formulas'!$E$10:$W$115,16,0),weapon_components!N36),2)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f>ROUND(_xlfn.IFNA(VLOOKUP(A37,'Weapon Formulas'!$E$10:$V$115,17,0),weapon_components!C37),2)</f>
        <v>-53.33</v>
      </c>
      <c r="D37" s="5">
        <f>ROUND(_xlfn.IFNA(VLOOKUP(A37,'Weapon Formulas'!$E$10:$Q$115,11,0),weapon_components!D37),2)</f>
        <v>38.39</v>
      </c>
      <c r="E37" s="5">
        <f>ROUND(_xlfn.IFNA(VLOOKUP(A37,'Weapon Formulas'!$E$10:$Q$115,12,0),weapon_components!E37),2)</f>
        <v>63.98</v>
      </c>
      <c r="F37" s="5">
        <f>ROUND(_xlfn.IFNA(VLOOKUP(A37,'Weapon Formulas'!$E$10:$L$115,8,0),weapon_components!F37),2)</f>
        <v>0.08</v>
      </c>
      <c r="G37" s="5">
        <f>ROUND(_xlfn.IFNA(VLOOKUP(A37,'Weapon Formulas'!$E$10:$P$115,9,0),weapon_components!G37),2)</f>
        <v>0</v>
      </c>
      <c r="H37" s="5">
        <f>ROUND(_xlfn.IFNA(VLOOKUP(A37,'Weapon Formulas'!$E$10:$L$115,7,0),weapon_components!H37),2)</f>
        <v>3.19</v>
      </c>
      <c r="I37" s="5">
        <v>2</v>
      </c>
      <c r="J37" s="5">
        <v>25</v>
      </c>
      <c r="K37" s="5">
        <v>30</v>
      </c>
      <c r="L37" s="5">
        <f>ROUND(_xlfn.IFNA(VLOOKUP(A37,'Weapon Formulas'!$E$10:$Z$115,15,0),weapon_components!L37),2)</f>
        <v>24</v>
      </c>
      <c r="M37" s="2">
        <v>0.82</v>
      </c>
      <c r="N37" s="5">
        <f>ROUND(_xlfn.IFNA(VLOOKUP(A37,'Weapon Formulas'!$E$10:$W$115,16,0),weapon_components!N37),2)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f>ROUND(_xlfn.IFNA(VLOOKUP(A38,'Weapon Formulas'!$E$10:$V$115,17,0),weapon_components!C38),2)</f>
        <v>-106.67</v>
      </c>
      <c r="D38" s="5">
        <f>ROUND(_xlfn.IFNA(VLOOKUP(A38,'Weapon Formulas'!$E$10:$Q$115,11,0),weapon_components!D38),2)</f>
        <v>65.48</v>
      </c>
      <c r="E38" s="5">
        <f>ROUND(_xlfn.IFNA(VLOOKUP(A38,'Weapon Formulas'!$E$10:$Q$115,12,0),weapon_components!E38),2)</f>
        <v>109.14</v>
      </c>
      <c r="F38" s="5">
        <f>ROUND(_xlfn.IFNA(VLOOKUP(A38,'Weapon Formulas'!$E$10:$L$115,8,0),weapon_components!F38),2)</f>
        <v>0.08</v>
      </c>
      <c r="G38" s="5">
        <f>ROUND(_xlfn.IFNA(VLOOKUP(A38,'Weapon Formulas'!$E$10:$P$115,9,0),weapon_components!G38),2)</f>
        <v>0</v>
      </c>
      <c r="H38" s="5">
        <f>ROUND(_xlfn.IFNA(VLOOKUP(A38,'Weapon Formulas'!$E$10:$L$115,7,0),weapon_components!H38),2)</f>
        <v>4.58</v>
      </c>
      <c r="I38" s="5">
        <v>2</v>
      </c>
      <c r="J38" s="5">
        <v>25</v>
      </c>
      <c r="K38" s="5">
        <v>30</v>
      </c>
      <c r="L38" s="5">
        <f>ROUND(_xlfn.IFNA(VLOOKUP(A38,'Weapon Formulas'!$E$10:$Z$115,15,0),weapon_components!L38),2)</f>
        <v>30</v>
      </c>
      <c r="M38" s="2">
        <v>0.8</v>
      </c>
      <c r="N38" s="5">
        <f>ROUND(_xlfn.IFNA(VLOOKUP(A38,'Weapon Formulas'!$E$10:$W$115,16,0),weapon_components!N38),2)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5">
        <f>ROUND(_xlfn.IFNA(VLOOKUP(A39,'Weapon Formulas'!$E$10:$V$115,17,0),weapon_components!C39),2)</f>
        <v>-213.33</v>
      </c>
      <c r="D39" s="5">
        <f>ROUND(_xlfn.IFNA(VLOOKUP(A39,'Weapon Formulas'!$E$10:$Q$115,11,0),weapon_components!D39),2)</f>
        <v>111.6</v>
      </c>
      <c r="E39" s="5">
        <f>ROUND(_xlfn.IFNA(VLOOKUP(A39,'Weapon Formulas'!$E$10:$Q$115,12,0),weapon_components!E39),2)</f>
        <v>186</v>
      </c>
      <c r="F39" s="5">
        <f>ROUND(_xlfn.IFNA(VLOOKUP(A39,'Weapon Formulas'!$E$10:$L$115,8,0),weapon_components!F39),2)</f>
        <v>0.08</v>
      </c>
      <c r="G39" s="5">
        <f>ROUND(_xlfn.IFNA(VLOOKUP(A39,'Weapon Formulas'!$E$10:$P$115,9,0),weapon_components!G39),2)</f>
        <v>0</v>
      </c>
      <c r="H39" s="5">
        <f>ROUND(_xlfn.IFNA(VLOOKUP(A39,'Weapon Formulas'!$E$10:$L$115,7,0),weapon_components!H39),2)</f>
        <v>6.67</v>
      </c>
      <c r="I39" s="5">
        <v>2</v>
      </c>
      <c r="J39" s="5">
        <v>25</v>
      </c>
      <c r="K39" s="2">
        <v>30</v>
      </c>
      <c r="L39" s="5">
        <f>ROUND(_xlfn.IFNA(VLOOKUP(A39,'Weapon Formulas'!$E$10:$Z$115,15,0),weapon_components!L39),2)</f>
        <v>36</v>
      </c>
      <c r="M39" s="5">
        <v>0.75</v>
      </c>
      <c r="N39" s="5">
        <f>ROUND(_xlfn.IFNA(VLOOKUP(A39,'Weapon Formulas'!$E$10:$W$115,16,0),weapon_components!N39),2)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f>ROUND(_xlfn.IFNA(VLOOKUP(A41,'Weapon Formulas'!$E$10:$V$115,17,0),weapon_components!C41),2)</f>
        <v>-213.33</v>
      </c>
      <c r="D41" s="5">
        <f>ROUND(_xlfn.IFNA(VLOOKUP(A41,'Weapon Formulas'!$E$10:$Q$115,11,0),weapon_components!D41),2)</f>
        <v>849.72</v>
      </c>
      <c r="E41" s="5">
        <f>ROUND(_xlfn.IFNA(VLOOKUP(A41,'Weapon Formulas'!$E$10:$Q$115,12,0),weapon_components!E41),2)</f>
        <v>1416.2</v>
      </c>
      <c r="F41" s="5">
        <f>ROUND(_xlfn.IFNA(VLOOKUP(A41,'Weapon Formulas'!$E$10:$L$115,8,0),weapon_components!F41),2)</f>
        <v>7.0000000000000007E-2</v>
      </c>
      <c r="G41" s="5">
        <f>ROUND(_xlfn.IFNA(VLOOKUP(A41,'Weapon Formulas'!$E$10:$P$115,9,0),weapon_components!G41),2)</f>
        <v>0</v>
      </c>
      <c r="H41" s="5">
        <f>ROUND(_xlfn.IFNA(VLOOKUP(A41,'Weapon Formulas'!$E$10:$L$115,7,0),weapon_components!H41),2)</f>
        <v>-1.71</v>
      </c>
      <c r="I41" s="5">
        <v>22</v>
      </c>
      <c r="J41" s="5">
        <v>30</v>
      </c>
      <c r="K41" s="5">
        <v>40</v>
      </c>
      <c r="L41" s="5">
        <f>ROUND(_xlfn.IFNA(VLOOKUP(A41,'Weapon Formulas'!$E$10:$Z$115,15,0),weapon_components!L41),2)</f>
        <v>36</v>
      </c>
      <c r="M41" s="2">
        <v>1</v>
      </c>
      <c r="N41" s="5">
        <f>ROUND(_xlfn.IFNA(VLOOKUP(A41,'Weapon Formulas'!$E$10:$W$115,16,0),weapon_components!N41),2)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f>ROUND(_xlfn.IFNA(VLOOKUP(A42,'Weapon Formulas'!$E$10:$V$115,17,0),weapon_components!C42),2)</f>
        <v>-426.67</v>
      </c>
      <c r="D42" s="5">
        <f>ROUND(_xlfn.IFNA(VLOOKUP(A42,'Weapon Formulas'!$E$10:$Q$115,11,0),weapon_components!D42),2)</f>
        <v>1268.57</v>
      </c>
      <c r="E42" s="5">
        <f>ROUND(_xlfn.IFNA(VLOOKUP(A42,'Weapon Formulas'!$E$10:$Q$115,12,0),weapon_components!E42),2)</f>
        <v>2114.2800000000002</v>
      </c>
      <c r="F42" s="5">
        <f>ROUND(_xlfn.IFNA(VLOOKUP(A42,'Weapon Formulas'!$E$10:$L$115,8,0),weapon_components!F42),2)</f>
        <v>0.08</v>
      </c>
      <c r="G42" s="5">
        <f>ROUND(_xlfn.IFNA(VLOOKUP(A42,'Weapon Formulas'!$E$10:$P$115,9,0),weapon_components!G42),2)</f>
        <v>0</v>
      </c>
      <c r="H42" s="5">
        <f>ROUND(_xlfn.IFNA(VLOOKUP(A42,'Weapon Formulas'!$E$10:$L$115,7,0),weapon_components!H42),2)</f>
        <v>-1.33</v>
      </c>
      <c r="I42" s="5">
        <v>22</v>
      </c>
      <c r="J42" s="5">
        <v>30</v>
      </c>
      <c r="K42" s="5">
        <v>40</v>
      </c>
      <c r="L42" s="5">
        <f>ROUND(_xlfn.IFNA(VLOOKUP(A42,'Weapon Formulas'!$E$10:$Z$115,15,0),weapon_components!L42),2)</f>
        <v>36</v>
      </c>
      <c r="M42" s="2">
        <v>1</v>
      </c>
      <c r="N42" s="5">
        <f>ROUND(_xlfn.IFNA(VLOOKUP(A42,'Weapon Formulas'!$E$10:$W$115,16,0),weapon_components!N42),2)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f>ROUND(_xlfn.IFNA(VLOOKUP(A44,'Weapon Formulas'!$E$10:$V$115,17,0),weapon_components!C44),2)</f>
        <v>-13.33</v>
      </c>
      <c r="D44" s="5">
        <f>ROUND(_xlfn.IFNA(VLOOKUP(A44,'Weapon Formulas'!$E$10:$Q$115,11,0),weapon_components!D44),2)</f>
        <v>61.84</v>
      </c>
      <c r="E44" s="5">
        <f>ROUND(_xlfn.IFNA(VLOOKUP(A44,'Weapon Formulas'!$E$10:$Q$115,12,0),weapon_components!E44),2)</f>
        <v>103.07</v>
      </c>
      <c r="F44" s="5">
        <f>ROUND(_xlfn.IFNA(VLOOKUP(A44,'Weapon Formulas'!$E$10:$L$115,8,0),weapon_components!F44),2)</f>
        <v>1.8</v>
      </c>
      <c r="G44" s="5">
        <f>ROUND(_xlfn.IFNA(VLOOKUP(A44,'Weapon Formulas'!$E$10:$P$115,9,0),weapon_components!G44),2)</f>
        <v>0</v>
      </c>
      <c r="H44" s="5">
        <f>ROUND(_xlfn.IFNA(VLOOKUP(A44,'Weapon Formulas'!$E$10:$L$115,7,0),weapon_components!H44),2)</f>
        <v>-2.58</v>
      </c>
      <c r="I44" s="5">
        <v>2</v>
      </c>
      <c r="J44" s="5">
        <v>20</v>
      </c>
      <c r="K44" s="5">
        <v>25</v>
      </c>
      <c r="L44" s="5">
        <f>ROUND(_xlfn.IFNA(VLOOKUP(A44,'Weapon Formulas'!$E$10:$Z$115,15,0),weapon_components!L44),2)</f>
        <v>18</v>
      </c>
      <c r="M44" s="2">
        <v>0.82</v>
      </c>
      <c r="N44" s="5">
        <f>ROUND(_xlfn.IFNA(VLOOKUP(A44,'Weapon Formulas'!$E$10:$W$115,16,0),weapon_components!N44),2)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f>ROUND(_xlfn.IFNA(VLOOKUP(A45,'Weapon Formulas'!$E$10:$V$115,17,0),weapon_components!C45),2)</f>
        <v>-26.67</v>
      </c>
      <c r="D45" s="5">
        <f>ROUND(_xlfn.IFNA(VLOOKUP(A45,'Weapon Formulas'!$E$10:$Q$115,11,0),weapon_components!D45),2)</f>
        <v>26.38</v>
      </c>
      <c r="E45" s="5">
        <f>ROUND(_xlfn.IFNA(VLOOKUP(A45,'Weapon Formulas'!$E$10:$Q$115,12,0),weapon_components!E45),2)</f>
        <v>43.97</v>
      </c>
      <c r="F45" s="5">
        <f>ROUND(_xlfn.IFNA(VLOOKUP(A45,'Weapon Formulas'!$E$10:$L$115,8,0),weapon_components!F45),2)</f>
        <v>1.8</v>
      </c>
      <c r="G45" s="5">
        <f>ROUND(_xlfn.IFNA(VLOOKUP(A45,'Weapon Formulas'!$E$10:$P$115,9,0),weapon_components!G45),2)</f>
        <v>0</v>
      </c>
      <c r="H45" s="5">
        <f>ROUND(_xlfn.IFNA(VLOOKUP(A45,'Weapon Formulas'!$E$10:$L$115,7,0),weapon_components!H45),2)</f>
        <v>-2.58</v>
      </c>
      <c r="I45" s="5">
        <v>2</v>
      </c>
      <c r="J45" s="5">
        <v>20</v>
      </c>
      <c r="K45" s="5">
        <v>25</v>
      </c>
      <c r="L45" s="5">
        <f>ROUND(_xlfn.IFNA(VLOOKUP(A45,'Weapon Formulas'!$E$10:$Z$115,15,0),weapon_components!L45),2)</f>
        <v>21</v>
      </c>
      <c r="M45" s="2">
        <v>0.8</v>
      </c>
      <c r="N45" s="5">
        <f>ROUND(_xlfn.IFNA(VLOOKUP(A45,'Weapon Formulas'!$E$10:$W$115,16,0),weapon_components!N45),2)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f>ROUND(_xlfn.IFNA(VLOOKUP(A46,'Weapon Formulas'!$E$10:$V$115,17,0),weapon_components!C46),2)</f>
        <v>-53.33</v>
      </c>
      <c r="D46" s="5">
        <f>ROUND(_xlfn.IFNA(VLOOKUP(A46,'Weapon Formulas'!$E$10:$Q$115,11,0),weapon_components!D46),2)</f>
        <v>44.97</v>
      </c>
      <c r="E46" s="5">
        <f>ROUND(_xlfn.IFNA(VLOOKUP(A46,'Weapon Formulas'!$E$10:$Q$115,12,0),weapon_components!E46),2)</f>
        <v>74.95</v>
      </c>
      <c r="F46" s="5">
        <f>ROUND(_xlfn.IFNA(VLOOKUP(A46,'Weapon Formulas'!$E$10:$L$115,8,0),weapon_components!F46),2)</f>
        <v>1.8</v>
      </c>
      <c r="G46" s="5">
        <f>ROUND(_xlfn.IFNA(VLOOKUP(A46,'Weapon Formulas'!$E$10:$P$115,9,0),weapon_components!G46),2)</f>
        <v>0</v>
      </c>
      <c r="H46" s="5">
        <f>ROUND(_xlfn.IFNA(VLOOKUP(A46,'Weapon Formulas'!$E$10:$L$115,7,0),weapon_components!H46),2)</f>
        <v>-2.58</v>
      </c>
      <c r="I46" s="5">
        <v>2</v>
      </c>
      <c r="J46" s="5">
        <v>20</v>
      </c>
      <c r="K46" s="5">
        <v>25</v>
      </c>
      <c r="L46" s="5">
        <f>ROUND(_xlfn.IFNA(VLOOKUP(A46,'Weapon Formulas'!$E$10:$Z$115,15,0),weapon_components!L46),2)</f>
        <v>24</v>
      </c>
      <c r="M46" s="2">
        <v>0.75</v>
      </c>
      <c r="N46" s="5">
        <f>ROUND(_xlfn.IFNA(VLOOKUP(A46,'Weapon Formulas'!$E$10:$W$115,16,0),weapon_components!N46),2)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f>ROUND(_xlfn.IFNA(VLOOKUP(A47,'Weapon Formulas'!$E$10:$V$115,17,0),weapon_components!C47),2)</f>
        <v>-26.67</v>
      </c>
      <c r="D47" s="5">
        <f>ROUND(_xlfn.IFNA(VLOOKUP(A47,'Weapon Formulas'!$E$10:$Q$115,11,0),weapon_components!D47),2)</f>
        <v>18.97</v>
      </c>
      <c r="E47" s="5">
        <f>ROUND(_xlfn.IFNA(VLOOKUP(A47,'Weapon Formulas'!$E$10:$Q$115,12,0),weapon_components!E47),2)</f>
        <v>31.61</v>
      </c>
      <c r="F47" s="5">
        <f>ROUND(_xlfn.IFNA(VLOOKUP(A47,'Weapon Formulas'!$E$10:$L$115,8,0),weapon_components!F47),2)</f>
        <v>2.4</v>
      </c>
      <c r="G47" s="5">
        <f>ROUND(_xlfn.IFNA(VLOOKUP(A47,'Weapon Formulas'!$E$10:$P$115,9,0),weapon_components!G47),2)</f>
        <v>0</v>
      </c>
      <c r="H47" s="5">
        <f>ROUND(_xlfn.IFNA(VLOOKUP(A47,'Weapon Formulas'!$E$10:$L$115,7,0),weapon_components!H47),2)</f>
        <v>-1.75</v>
      </c>
      <c r="I47" s="5">
        <v>2</v>
      </c>
      <c r="J47" s="5">
        <v>20</v>
      </c>
      <c r="K47" s="5">
        <v>25</v>
      </c>
      <c r="L47" s="5">
        <f>ROUND(_xlfn.IFNA(VLOOKUP(A47,'Weapon Formulas'!$E$10:$Z$115,15,0),weapon_components!L47),2)</f>
        <v>18</v>
      </c>
      <c r="M47" s="2">
        <v>0.82</v>
      </c>
      <c r="N47" s="5">
        <f>ROUND(_xlfn.IFNA(VLOOKUP(A47,'Weapon Formulas'!$E$10:$W$115,16,0),weapon_components!N47),2)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f>ROUND(_xlfn.IFNA(VLOOKUP(A48,'Weapon Formulas'!$E$10:$V$115,17,0),weapon_components!C48),2)</f>
        <v>-53.33</v>
      </c>
      <c r="D48" s="5">
        <f>ROUND(_xlfn.IFNA(VLOOKUP(A48,'Weapon Formulas'!$E$10:$Q$115,11,0),weapon_components!D48),2)</f>
        <v>31.08</v>
      </c>
      <c r="E48" s="5">
        <f>ROUND(_xlfn.IFNA(VLOOKUP(A48,'Weapon Formulas'!$E$10:$Q$115,12,0),weapon_components!E48),2)</f>
        <v>51.8</v>
      </c>
      <c r="F48" s="5">
        <f>ROUND(_xlfn.IFNA(VLOOKUP(A48,'Weapon Formulas'!$E$10:$L$115,8,0),weapon_components!F48),2)</f>
        <v>2.4</v>
      </c>
      <c r="G48" s="5">
        <f>ROUND(_xlfn.IFNA(VLOOKUP(A48,'Weapon Formulas'!$E$10:$P$115,9,0),weapon_components!G48),2)</f>
        <v>0</v>
      </c>
      <c r="H48" s="5">
        <f>ROUND(_xlfn.IFNA(VLOOKUP(A48,'Weapon Formulas'!$E$10:$L$115,7,0),weapon_components!H48),2)</f>
        <v>-1.75</v>
      </c>
      <c r="I48" s="5">
        <v>2</v>
      </c>
      <c r="J48" s="5">
        <v>20</v>
      </c>
      <c r="K48" s="5">
        <v>25</v>
      </c>
      <c r="L48" s="5">
        <f>ROUND(_xlfn.IFNA(VLOOKUP(A48,'Weapon Formulas'!$E$10:$Z$115,15,0),weapon_components!L48),2)</f>
        <v>21</v>
      </c>
      <c r="M48" s="2">
        <v>0.8</v>
      </c>
      <c r="N48" s="5">
        <f>ROUND(_xlfn.IFNA(VLOOKUP(A48,'Weapon Formulas'!$E$10:$W$115,16,0),weapon_components!N48),2)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5">
        <f>ROUND(_xlfn.IFNA(VLOOKUP(A49,'Weapon Formulas'!$E$10:$V$115,17,0),weapon_components!C49),2)</f>
        <v>-106.67</v>
      </c>
      <c r="D49" s="5">
        <f>ROUND(_xlfn.IFNA(VLOOKUP(A49,'Weapon Formulas'!$E$10:$Q$115,11,0),weapon_components!D49),2)</f>
        <v>49.68</v>
      </c>
      <c r="E49" s="5">
        <f>ROUND(_xlfn.IFNA(VLOOKUP(A49,'Weapon Formulas'!$E$10:$Q$115,12,0),weapon_components!E49),2)</f>
        <v>82.8</v>
      </c>
      <c r="F49" s="5">
        <f>ROUND(_xlfn.IFNA(VLOOKUP(A49,'Weapon Formulas'!$E$10:$L$115,8,0),weapon_components!F49),2)</f>
        <v>2.4</v>
      </c>
      <c r="G49" s="5">
        <f>ROUND(_xlfn.IFNA(VLOOKUP(A49,'Weapon Formulas'!$E$10:$P$115,9,0),weapon_components!G49),2)</f>
        <v>0</v>
      </c>
      <c r="H49" s="5">
        <f>ROUND(_xlfn.IFNA(VLOOKUP(A49,'Weapon Formulas'!$E$10:$L$115,7,0),weapon_components!H49),2)</f>
        <v>-1.75</v>
      </c>
      <c r="I49" s="5">
        <v>2</v>
      </c>
      <c r="J49" s="5">
        <v>20</v>
      </c>
      <c r="K49" s="2">
        <v>25</v>
      </c>
      <c r="L49" s="5">
        <f>ROUND(_xlfn.IFNA(VLOOKUP(A49,'Weapon Formulas'!$E$10:$Z$115,15,0),weapon_components!L49),2)</f>
        <v>24</v>
      </c>
      <c r="M49" s="5">
        <v>0.75</v>
      </c>
      <c r="N49" s="5">
        <f>ROUND(_xlfn.IFNA(VLOOKUP(A49,'Weapon Formulas'!$E$10:$W$115,16,0),weapon_components!N49),2)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f>ROUND(_xlfn.IFNA(VLOOKUP(A50,'Weapon Formulas'!$E$10:$V$115,17,0),weapon_components!C50),2)</f>
        <v>-53.33</v>
      </c>
      <c r="D50" s="5">
        <f>ROUND(_xlfn.IFNA(VLOOKUP(A50,'Weapon Formulas'!$E$10:$Q$115,11,0),weapon_components!D50),2)</f>
        <v>21.21</v>
      </c>
      <c r="E50" s="5">
        <f>ROUND(_xlfn.IFNA(VLOOKUP(A50,'Weapon Formulas'!$E$10:$Q$115,12,0),weapon_components!E50),2)</f>
        <v>35.35</v>
      </c>
      <c r="F50" s="5">
        <f>ROUND(_xlfn.IFNA(VLOOKUP(A50,'Weapon Formulas'!$E$10:$L$115,8,0),weapon_components!F50),2)</f>
        <v>3</v>
      </c>
      <c r="G50" s="5">
        <f>ROUND(_xlfn.IFNA(VLOOKUP(A50,'Weapon Formulas'!$E$10:$P$115,9,0),weapon_components!G50),2)</f>
        <v>0</v>
      </c>
      <c r="H50" s="5">
        <f>ROUND(_xlfn.IFNA(VLOOKUP(A50,'Weapon Formulas'!$E$10:$L$115,7,0),weapon_components!H50),2)</f>
        <v>-1.25</v>
      </c>
      <c r="I50" s="5">
        <v>2</v>
      </c>
      <c r="J50" s="5">
        <v>20</v>
      </c>
      <c r="K50" s="5">
        <v>25</v>
      </c>
      <c r="L50" s="5">
        <f>ROUND(_xlfn.IFNA(VLOOKUP(A50,'Weapon Formulas'!$E$10:$Z$115,15,0),weapon_components!L50),2)</f>
        <v>18</v>
      </c>
      <c r="M50" s="2">
        <v>0.82</v>
      </c>
      <c r="N50" s="5">
        <f>ROUND(_xlfn.IFNA(VLOOKUP(A50,'Weapon Formulas'!$E$10:$W$115,16,0),weapon_components!N50),2)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f>ROUND(_xlfn.IFNA(VLOOKUP(A51,'Weapon Formulas'!$E$10:$V$115,17,0),weapon_components!C51),2)</f>
        <v>-106.67</v>
      </c>
      <c r="D51" s="5">
        <f>ROUND(_xlfn.IFNA(VLOOKUP(A51,'Weapon Formulas'!$E$10:$Q$115,11,0),weapon_components!D51),2)</f>
        <v>32.590000000000003</v>
      </c>
      <c r="E51" s="5">
        <f>ROUND(_xlfn.IFNA(VLOOKUP(A51,'Weapon Formulas'!$E$10:$Q$115,12,0),weapon_components!E51),2)</f>
        <v>54.31</v>
      </c>
      <c r="F51" s="5">
        <f>ROUND(_xlfn.IFNA(VLOOKUP(A51,'Weapon Formulas'!$E$10:$L$115,8,0),weapon_components!F51),2)</f>
        <v>3</v>
      </c>
      <c r="G51" s="5">
        <f>ROUND(_xlfn.IFNA(VLOOKUP(A51,'Weapon Formulas'!$E$10:$P$115,9,0),weapon_components!G51),2)</f>
        <v>0</v>
      </c>
      <c r="H51" s="5">
        <f>ROUND(_xlfn.IFNA(VLOOKUP(A51,'Weapon Formulas'!$E$10:$L$115,7,0),weapon_components!H51),2)</f>
        <v>-1.25</v>
      </c>
      <c r="I51" s="5">
        <v>2</v>
      </c>
      <c r="J51" s="5">
        <v>20</v>
      </c>
      <c r="K51" s="5">
        <v>25</v>
      </c>
      <c r="L51" s="5">
        <f>ROUND(_xlfn.IFNA(VLOOKUP(A51,'Weapon Formulas'!$E$10:$Z$115,15,0),weapon_components!L51),2)</f>
        <v>21</v>
      </c>
      <c r="M51" s="2">
        <v>0.8</v>
      </c>
      <c r="N51" s="5">
        <f>ROUND(_xlfn.IFNA(VLOOKUP(A51,'Weapon Formulas'!$E$10:$W$115,16,0),weapon_components!N51),2)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5">
        <f>ROUND(_xlfn.IFNA(VLOOKUP(A52,'Weapon Formulas'!$E$10:$V$115,17,0),weapon_components!C52),2)</f>
        <v>-213.33</v>
      </c>
      <c r="D52" s="5">
        <f>ROUND(_xlfn.IFNA(VLOOKUP(A52,'Weapon Formulas'!$E$10:$Q$115,11,0),weapon_components!D52),2)</f>
        <v>46.31</v>
      </c>
      <c r="E52" s="5">
        <f>ROUND(_xlfn.IFNA(VLOOKUP(A52,'Weapon Formulas'!$E$10:$Q$115,12,0),weapon_components!E52),2)</f>
        <v>77.19</v>
      </c>
      <c r="F52" s="5">
        <f>ROUND(_xlfn.IFNA(VLOOKUP(A52,'Weapon Formulas'!$E$10:$L$115,8,0),weapon_components!F52),2)</f>
        <v>3</v>
      </c>
      <c r="G52" s="5">
        <f>ROUND(_xlfn.IFNA(VLOOKUP(A52,'Weapon Formulas'!$E$10:$P$115,9,0),weapon_components!G52),2)</f>
        <v>0</v>
      </c>
      <c r="H52" s="5">
        <f>ROUND(_xlfn.IFNA(VLOOKUP(A52,'Weapon Formulas'!$E$10:$L$115,7,0),weapon_components!H52),2)</f>
        <v>-1.25</v>
      </c>
      <c r="I52" s="5">
        <v>2</v>
      </c>
      <c r="J52" s="5">
        <v>20</v>
      </c>
      <c r="K52" s="2">
        <v>25</v>
      </c>
      <c r="L52" s="5">
        <f>ROUND(_xlfn.IFNA(VLOOKUP(A52,'Weapon Formulas'!$E$10:$Z$115,15,0),weapon_components!L52),2)</f>
        <v>24</v>
      </c>
      <c r="M52" s="5">
        <v>0.75</v>
      </c>
      <c r="N52" s="5">
        <f>ROUND(_xlfn.IFNA(VLOOKUP(A52,'Weapon Formulas'!$E$10:$W$115,16,0),weapon_components!N52),2)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f>ROUND(_xlfn.IFNA(VLOOKUP(A54,'Weapon Formulas'!$E$10:$V$115,17,0),weapon_components!C54),2)</f>
        <v>-213.33</v>
      </c>
      <c r="D54" s="5">
        <f>ROUND(_xlfn.IFNA(VLOOKUP(A54,'Weapon Formulas'!$E$10:$Q$115,11,0),weapon_components!D54),2)</f>
        <v>636.88</v>
      </c>
      <c r="E54" s="5">
        <f>ROUND(_xlfn.IFNA(VLOOKUP(A54,'Weapon Formulas'!$E$10:$Q$115,12,0),weapon_components!E54),2)</f>
        <v>1061.47</v>
      </c>
      <c r="F54" s="5">
        <f>ROUND(_xlfn.IFNA(VLOOKUP(A54,'Weapon Formulas'!$E$10:$L$115,8,0),weapon_components!F54),2)</f>
        <v>7.0000000000000007E-2</v>
      </c>
      <c r="G54" s="5">
        <f>ROUND(_xlfn.IFNA(VLOOKUP(A54,'Weapon Formulas'!$E$10:$P$115,9,0),weapon_components!G54),2)</f>
        <v>0</v>
      </c>
      <c r="H54" s="5">
        <f>ROUND(_xlfn.IFNA(VLOOKUP(A54,'Weapon Formulas'!$E$10:$L$115,7,0),weapon_components!H54),2)</f>
        <v>-1.44</v>
      </c>
      <c r="I54" s="5">
        <v>2</v>
      </c>
      <c r="J54" s="5">
        <v>23</v>
      </c>
      <c r="K54" s="5">
        <v>55</v>
      </c>
      <c r="L54" s="5">
        <f>ROUND(_xlfn.IFNA(VLOOKUP(A54,'Weapon Formulas'!$E$10:$Z$115,15,0),weapon_components!L54),2)</f>
        <v>72</v>
      </c>
      <c r="M54" s="2">
        <v>0.95</v>
      </c>
      <c r="N54" s="5">
        <f>ROUND(_xlfn.IFNA(VLOOKUP(A54,'Weapon Formulas'!$E$10:$W$115,16,0),weapon_components!N54),2)</f>
        <v>7.5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f>ROUND(_xlfn.IFNA(VLOOKUP(A55,'Weapon Formulas'!$E$10:$V$115,17,0),weapon_components!C55),2)</f>
        <v>-426.67</v>
      </c>
      <c r="D55" s="5">
        <f>ROUND(_xlfn.IFNA(VLOOKUP(A55,'Weapon Formulas'!$E$10:$Q$115,11,0),weapon_components!D55),2)</f>
        <v>849.87</v>
      </c>
      <c r="E55" s="5">
        <f>ROUND(_xlfn.IFNA(VLOOKUP(A55,'Weapon Formulas'!$E$10:$Q$115,12,0),weapon_components!E55),2)</f>
        <v>1416.45</v>
      </c>
      <c r="F55" s="5">
        <f>ROUND(_xlfn.IFNA(VLOOKUP(A55,'Weapon Formulas'!$E$10:$L$115,8,0),weapon_components!F55),2)</f>
        <v>0.08</v>
      </c>
      <c r="G55" s="5">
        <f>ROUND(_xlfn.IFNA(VLOOKUP(A55,'Weapon Formulas'!$E$10:$P$115,9,0),weapon_components!G55),2)</f>
        <v>0</v>
      </c>
      <c r="H55" s="5">
        <f>ROUND(_xlfn.IFNA(VLOOKUP(A55,'Weapon Formulas'!$E$10:$L$115,7,0),weapon_components!H55),2)</f>
        <v>-1.1299999999999999</v>
      </c>
      <c r="I55" s="5">
        <v>2</v>
      </c>
      <c r="J55" s="5">
        <v>23</v>
      </c>
      <c r="K55" s="5">
        <v>55</v>
      </c>
      <c r="L55" s="5">
        <f>ROUND(_xlfn.IFNA(VLOOKUP(A55,'Weapon Formulas'!$E$10:$Z$115,15,0),weapon_components!L55),2)</f>
        <v>72</v>
      </c>
      <c r="M55" s="2">
        <v>0.95</v>
      </c>
      <c r="N55" s="5">
        <f>ROUND(_xlfn.IFNA(VLOOKUP(A55,'Weapon Formulas'!$E$10:$W$115,16,0),weapon_components!N55),2)</f>
        <v>10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f>ROUND(_xlfn.IFNA(VLOOKUP(A57,'Weapon Formulas'!$E$10:$V$115,17,0),weapon_components!C57),2)</f>
        <v>-3.33</v>
      </c>
      <c r="D57" s="5">
        <f>ROUND(_xlfn.IFNA(VLOOKUP(A57,'Weapon Formulas'!$E$10:$Q$115,11,0),weapon_components!D57),2)</f>
        <v>8.09</v>
      </c>
      <c r="E57" s="5">
        <f>ROUND(_xlfn.IFNA(VLOOKUP(A57,'Weapon Formulas'!$E$10:$Q$115,12,0),weapon_components!E57),2)</f>
        <v>13.48</v>
      </c>
      <c r="F57" s="5">
        <f>ROUND(_xlfn.IFNA(VLOOKUP(A57,'Weapon Formulas'!$E$10:$L$115,8,0),weapon_components!F57),2)</f>
        <v>0</v>
      </c>
      <c r="G57" s="5">
        <f>ROUND(_xlfn.IFNA(VLOOKUP(A57,'Weapon Formulas'!$E$10:$P$115,9,0),weapon_components!G57),2)</f>
        <v>1</v>
      </c>
      <c r="H57" s="5">
        <f>ROUND(_xlfn.IFNA(VLOOKUP(A57,'Weapon Formulas'!$E$10:$L$115,7,0),weapon_components!H57),2)</f>
        <v>-9.25</v>
      </c>
      <c r="I57" s="5">
        <v>2</v>
      </c>
      <c r="J57" s="5">
        <v>23</v>
      </c>
      <c r="K57" s="5">
        <v>25</v>
      </c>
      <c r="L57" s="5">
        <f>ROUND(_xlfn.IFNA(VLOOKUP(A57,'Weapon Formulas'!$E$10:$Z$115,15,0),weapon_components!L57),2)</f>
        <v>36</v>
      </c>
      <c r="M57" s="2">
        <v>0.76</v>
      </c>
      <c r="N57" s="5">
        <f>ROUND(_xlfn.IFNA(VLOOKUP(A57,'Weapon Formulas'!$E$10:$W$115,16,0),weapon_components!N57),2)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f>ROUND(_xlfn.IFNA(VLOOKUP(A58,'Weapon Formulas'!$E$10:$V$115,17,0),weapon_components!C58),2)</f>
        <v>-6.67</v>
      </c>
      <c r="D58" s="5">
        <f>ROUND(_xlfn.IFNA(VLOOKUP(A58,'Weapon Formulas'!$E$10:$Q$115,11,0),weapon_components!D58),2)</f>
        <v>14.36</v>
      </c>
      <c r="E58" s="5">
        <f>ROUND(_xlfn.IFNA(VLOOKUP(A58,'Weapon Formulas'!$E$10:$Q$115,12,0),weapon_components!E58),2)</f>
        <v>23.93</v>
      </c>
      <c r="F58" s="5">
        <f>ROUND(_xlfn.IFNA(VLOOKUP(A58,'Weapon Formulas'!$E$10:$L$115,8,0),weapon_components!F58),2)</f>
        <v>0</v>
      </c>
      <c r="G58" s="5">
        <f>ROUND(_xlfn.IFNA(VLOOKUP(A58,'Weapon Formulas'!$E$10:$P$115,9,0),weapon_components!G58),2)</f>
        <v>1</v>
      </c>
      <c r="H58" s="5">
        <f>ROUND(_xlfn.IFNA(VLOOKUP(A58,'Weapon Formulas'!$E$10:$L$115,7,0),weapon_components!H58),2)</f>
        <v>-6.53</v>
      </c>
      <c r="I58" s="5">
        <v>2</v>
      </c>
      <c r="J58" s="5">
        <v>23</v>
      </c>
      <c r="K58" s="5">
        <v>25</v>
      </c>
      <c r="L58" s="5">
        <f>ROUND(_xlfn.IFNA(VLOOKUP(A58,'Weapon Formulas'!$E$10:$Z$115,15,0),weapon_components!L58),2)</f>
        <v>45</v>
      </c>
      <c r="M58" s="2">
        <v>0.72</v>
      </c>
      <c r="N58" s="5">
        <f>ROUND(_xlfn.IFNA(VLOOKUP(A58,'Weapon Formulas'!$E$10:$W$115,16,0),weapon_components!N58),2)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f>ROUND(_xlfn.IFNA(VLOOKUP(A59,'Weapon Formulas'!$E$10:$V$115,17,0),weapon_components!C59),2)</f>
        <v>-13.33</v>
      </c>
      <c r="D59" s="5">
        <f>ROUND(_xlfn.IFNA(VLOOKUP(A59,'Weapon Formulas'!$E$10:$Q$115,11,0),weapon_components!D59),2)</f>
        <v>25.14</v>
      </c>
      <c r="E59" s="5">
        <f>ROUND(_xlfn.IFNA(VLOOKUP(A59,'Weapon Formulas'!$E$10:$Q$115,12,0),weapon_components!E59),2)</f>
        <v>41.9</v>
      </c>
      <c r="F59" s="5">
        <f>ROUND(_xlfn.IFNA(VLOOKUP(A59,'Weapon Formulas'!$E$10:$L$115,8,0),weapon_components!F59),2)</f>
        <v>0</v>
      </c>
      <c r="G59" s="5">
        <f>ROUND(_xlfn.IFNA(VLOOKUP(A59,'Weapon Formulas'!$E$10:$P$115,9,0),weapon_components!G59),2)</f>
        <v>1</v>
      </c>
      <c r="H59" s="5">
        <f>ROUND(_xlfn.IFNA(VLOOKUP(A59,'Weapon Formulas'!$E$10:$L$115,7,0),weapon_components!H59),2)</f>
        <v>-2.64</v>
      </c>
      <c r="I59" s="5">
        <v>2</v>
      </c>
      <c r="J59" s="5">
        <v>23</v>
      </c>
      <c r="K59" s="5">
        <v>25</v>
      </c>
      <c r="L59" s="5">
        <f>ROUND(_xlfn.IFNA(VLOOKUP(A59,'Weapon Formulas'!$E$10:$Z$115,15,0),weapon_components!L59),2)</f>
        <v>54</v>
      </c>
      <c r="M59" s="2">
        <v>0.67</v>
      </c>
      <c r="N59" s="5">
        <f>ROUND(_xlfn.IFNA(VLOOKUP(A59,'Weapon Formulas'!$E$10:$W$115,16,0),weapon_components!N59),2)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f>ROUND(_xlfn.IFNA(VLOOKUP(A60,'Weapon Formulas'!$E$10:$V$115,17,0),weapon_components!C60),2)</f>
        <v>-6.67</v>
      </c>
      <c r="D60" s="5">
        <f>ROUND(_xlfn.IFNA(VLOOKUP(A60,'Weapon Formulas'!$E$10:$Q$115,11,0),weapon_components!D60),2)</f>
        <v>17.510000000000002</v>
      </c>
      <c r="E60" s="5">
        <f>ROUND(_xlfn.IFNA(VLOOKUP(A60,'Weapon Formulas'!$E$10:$Q$115,12,0),weapon_components!E60),2)</f>
        <v>29.18</v>
      </c>
      <c r="F60" s="5">
        <f>ROUND(_xlfn.IFNA(VLOOKUP(A60,'Weapon Formulas'!$E$10:$L$115,8,0),weapon_components!F60),2)</f>
        <v>0</v>
      </c>
      <c r="G60" s="5">
        <f>ROUND(_xlfn.IFNA(VLOOKUP(A60,'Weapon Formulas'!$E$10:$P$115,9,0),weapon_components!G60),2)</f>
        <v>1</v>
      </c>
      <c r="H60" s="5">
        <f>ROUND(_xlfn.IFNA(VLOOKUP(A60,'Weapon Formulas'!$E$10:$L$115,7,0),weapon_components!H60),2)</f>
        <v>-4.25</v>
      </c>
      <c r="I60" s="5">
        <v>2</v>
      </c>
      <c r="J60" s="5">
        <v>23</v>
      </c>
      <c r="K60" s="5">
        <v>25</v>
      </c>
      <c r="L60" s="5">
        <f>ROUND(_xlfn.IFNA(VLOOKUP(A60,'Weapon Formulas'!$E$10:$Z$115,15,0),weapon_components!L60),2)</f>
        <v>36</v>
      </c>
      <c r="M60" s="2">
        <v>0.76</v>
      </c>
      <c r="N60" s="5">
        <f>ROUND(_xlfn.IFNA(VLOOKUP(A60,'Weapon Formulas'!$E$10:$W$115,16,0),weapon_components!N60),2)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f>ROUND(_xlfn.IFNA(VLOOKUP(A61,'Weapon Formulas'!$E$10:$V$115,17,0),weapon_components!C61),2)</f>
        <v>-13.33</v>
      </c>
      <c r="D61" s="5">
        <f>ROUND(_xlfn.IFNA(VLOOKUP(A61,'Weapon Formulas'!$E$10:$Q$115,11,0),weapon_components!D61),2)</f>
        <v>31.25</v>
      </c>
      <c r="E61" s="5">
        <f>ROUND(_xlfn.IFNA(VLOOKUP(A61,'Weapon Formulas'!$E$10:$Q$115,12,0),weapon_components!E61),2)</f>
        <v>52.08</v>
      </c>
      <c r="F61" s="5">
        <f>ROUND(_xlfn.IFNA(VLOOKUP(A61,'Weapon Formulas'!$E$10:$L$115,8,0),weapon_components!F61),2)</f>
        <v>0</v>
      </c>
      <c r="G61" s="5">
        <f>ROUND(_xlfn.IFNA(VLOOKUP(A61,'Weapon Formulas'!$E$10:$P$115,9,0),weapon_components!G61),2)</f>
        <v>1</v>
      </c>
      <c r="H61" s="5">
        <f>ROUND(_xlfn.IFNA(VLOOKUP(A61,'Weapon Formulas'!$E$10:$L$115,7,0),weapon_components!H61),2)</f>
        <v>-3</v>
      </c>
      <c r="I61" s="5">
        <v>2</v>
      </c>
      <c r="J61" s="5">
        <v>23</v>
      </c>
      <c r="K61" s="5">
        <v>25</v>
      </c>
      <c r="L61" s="5">
        <f>ROUND(_xlfn.IFNA(VLOOKUP(A61,'Weapon Formulas'!$E$10:$Z$115,15,0),weapon_components!L61),2)</f>
        <v>45</v>
      </c>
      <c r="M61" s="2">
        <v>0.72</v>
      </c>
      <c r="N61" s="5">
        <f>ROUND(_xlfn.IFNA(VLOOKUP(A61,'Weapon Formulas'!$E$10:$W$115,16,0),weapon_components!N61),2)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f>ROUND(_xlfn.IFNA(VLOOKUP(A62,'Weapon Formulas'!$E$10:$V$115,17,0),weapon_components!C62),2)</f>
        <v>-26.67</v>
      </c>
      <c r="D62" s="5">
        <f>ROUND(_xlfn.IFNA(VLOOKUP(A62,'Weapon Formulas'!$E$10:$Q$115,11,0),weapon_components!D62),2)</f>
        <v>55.01</v>
      </c>
      <c r="E62" s="5">
        <f>ROUND(_xlfn.IFNA(VLOOKUP(A62,'Weapon Formulas'!$E$10:$Q$115,12,0),weapon_components!E62),2)</f>
        <v>91.69</v>
      </c>
      <c r="F62" s="5">
        <f>ROUND(_xlfn.IFNA(VLOOKUP(A62,'Weapon Formulas'!$E$10:$L$115,8,0),weapon_components!F62),2)</f>
        <v>0</v>
      </c>
      <c r="G62" s="5">
        <f>ROUND(_xlfn.IFNA(VLOOKUP(A62,'Weapon Formulas'!$E$10:$P$115,9,0),weapon_components!G62),2)</f>
        <v>1</v>
      </c>
      <c r="H62" s="5">
        <f>ROUND(_xlfn.IFNA(VLOOKUP(A62,'Weapon Formulas'!$E$10:$L$115,7,0),weapon_components!H62),2)</f>
        <v>-1.21</v>
      </c>
      <c r="I62" s="5">
        <v>2</v>
      </c>
      <c r="J62" s="5">
        <v>23</v>
      </c>
      <c r="K62" s="5">
        <v>25</v>
      </c>
      <c r="L62" s="5">
        <f>ROUND(_xlfn.IFNA(VLOOKUP(A62,'Weapon Formulas'!$E$10:$Z$115,15,0),weapon_components!L62),2)</f>
        <v>54</v>
      </c>
      <c r="M62" s="2">
        <v>0.67</v>
      </c>
      <c r="N62" s="5">
        <f>ROUND(_xlfn.IFNA(VLOOKUP(A62,'Weapon Formulas'!$E$10:$W$115,16,0),weapon_components!N62),2)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f>ROUND(_xlfn.IFNA(VLOOKUP(A63,'Weapon Formulas'!$E$10:$V$115,17,0),weapon_components!C63),2)</f>
        <v>-13.33</v>
      </c>
      <c r="D63" s="5">
        <f>ROUND(_xlfn.IFNA(VLOOKUP(A63,'Weapon Formulas'!$E$10:$Q$115,11,0),weapon_components!D63),2)</f>
        <v>28.75</v>
      </c>
      <c r="E63" s="5">
        <f>ROUND(_xlfn.IFNA(VLOOKUP(A63,'Weapon Formulas'!$E$10:$Q$115,12,0),weapon_components!E63),2)</f>
        <v>47.92</v>
      </c>
      <c r="F63" s="5">
        <f>ROUND(_xlfn.IFNA(VLOOKUP(A63,'Weapon Formulas'!$E$10:$L$115,8,0),weapon_components!F63),2)</f>
        <v>0</v>
      </c>
      <c r="G63" s="5">
        <f>ROUND(_xlfn.IFNA(VLOOKUP(A63,'Weapon Formulas'!$E$10:$P$115,9,0),weapon_components!G63),2)</f>
        <v>1</v>
      </c>
      <c r="H63" s="5">
        <f>ROUND(_xlfn.IFNA(VLOOKUP(A63,'Weapon Formulas'!$E$10:$L$115,7,0),weapon_components!H63),2)</f>
        <v>-2.58</v>
      </c>
      <c r="I63" s="5">
        <v>2</v>
      </c>
      <c r="J63" s="5">
        <v>23</v>
      </c>
      <c r="K63" s="5">
        <v>25</v>
      </c>
      <c r="L63" s="5">
        <f>ROUND(_xlfn.IFNA(VLOOKUP(A63,'Weapon Formulas'!$E$10:$Z$115,15,0),weapon_components!L63),2)</f>
        <v>36</v>
      </c>
      <c r="M63" s="2">
        <v>0.76</v>
      </c>
      <c r="N63" s="5">
        <f>ROUND(_xlfn.IFNA(VLOOKUP(A63,'Weapon Formulas'!$E$10:$W$115,16,0),weapon_components!N63),2)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f>ROUND(_xlfn.IFNA(VLOOKUP(A64,'Weapon Formulas'!$E$10:$V$115,17,0),weapon_components!C64),2)</f>
        <v>-26.67</v>
      </c>
      <c r="D64" s="5">
        <f>ROUND(_xlfn.IFNA(VLOOKUP(A64,'Weapon Formulas'!$E$10:$Q$115,11,0),weapon_components!D64),2)</f>
        <v>51.41</v>
      </c>
      <c r="E64" s="5">
        <f>ROUND(_xlfn.IFNA(VLOOKUP(A64,'Weapon Formulas'!$E$10:$Q$115,12,0),weapon_components!E64),2)</f>
        <v>85.69</v>
      </c>
      <c r="F64" s="5">
        <f>ROUND(_xlfn.IFNA(VLOOKUP(A64,'Weapon Formulas'!$E$10:$L$115,8,0),weapon_components!F64),2)</f>
        <v>0</v>
      </c>
      <c r="G64" s="5">
        <f>ROUND(_xlfn.IFNA(VLOOKUP(A64,'Weapon Formulas'!$E$10:$P$115,9,0),weapon_components!G64),2)</f>
        <v>1</v>
      </c>
      <c r="H64" s="5">
        <f>ROUND(_xlfn.IFNA(VLOOKUP(A64,'Weapon Formulas'!$E$10:$L$115,7,0),weapon_components!H64),2)</f>
        <v>-1.82</v>
      </c>
      <c r="I64" s="5">
        <v>2</v>
      </c>
      <c r="J64" s="5">
        <v>23</v>
      </c>
      <c r="K64" s="5">
        <v>25</v>
      </c>
      <c r="L64" s="5">
        <f>ROUND(_xlfn.IFNA(VLOOKUP(A64,'Weapon Formulas'!$E$10:$Z$115,15,0),weapon_components!L64),2)</f>
        <v>45</v>
      </c>
      <c r="M64" s="2">
        <v>0.72</v>
      </c>
      <c r="N64" s="5">
        <f>ROUND(_xlfn.IFNA(VLOOKUP(A64,'Weapon Formulas'!$E$10:$W$115,16,0),weapon_components!N64),2)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f>ROUND(_xlfn.IFNA(VLOOKUP(A65,'Weapon Formulas'!$E$10:$V$115,17,0),weapon_components!C65),2)</f>
        <v>-53.33</v>
      </c>
      <c r="D65" s="5">
        <f>ROUND(_xlfn.IFNA(VLOOKUP(A65,'Weapon Formulas'!$E$10:$Q$115,11,0),weapon_components!D65),2)</f>
        <v>90.67</v>
      </c>
      <c r="E65" s="5">
        <f>ROUND(_xlfn.IFNA(VLOOKUP(A65,'Weapon Formulas'!$E$10:$Q$115,12,0),weapon_components!E65),2)</f>
        <v>151.12</v>
      </c>
      <c r="F65" s="5">
        <f>ROUND(_xlfn.IFNA(VLOOKUP(A65,'Weapon Formulas'!$E$10:$L$115,8,0),weapon_components!F65),2)</f>
        <v>0</v>
      </c>
      <c r="G65" s="5">
        <f>ROUND(_xlfn.IFNA(VLOOKUP(A65,'Weapon Formulas'!$E$10:$P$115,9,0),weapon_components!G65),2)</f>
        <v>1</v>
      </c>
      <c r="H65" s="5">
        <f>ROUND(_xlfn.IFNA(VLOOKUP(A65,'Weapon Formulas'!$E$10:$L$115,7,0),weapon_components!H65),2)</f>
        <v>-0.74</v>
      </c>
      <c r="I65" s="5">
        <v>2</v>
      </c>
      <c r="J65" s="5">
        <v>23</v>
      </c>
      <c r="K65" s="5">
        <v>25</v>
      </c>
      <c r="L65" s="5">
        <f>ROUND(_xlfn.IFNA(VLOOKUP(A65,'Weapon Formulas'!$E$10:$Z$115,15,0),weapon_components!L65),2)</f>
        <v>54</v>
      </c>
      <c r="M65" s="2">
        <v>0.67</v>
      </c>
      <c r="N65" s="5">
        <f>ROUND(_xlfn.IFNA(VLOOKUP(A65,'Weapon Formulas'!$E$10:$W$115,16,0),weapon_components!N65),2)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f>ROUND(_xlfn.IFNA(VLOOKUP(A66,'Weapon Formulas'!$E$10:$V$115,17,0),weapon_components!C66),2)</f>
        <v>-26.67</v>
      </c>
      <c r="D66" s="5">
        <f>ROUND(_xlfn.IFNA(VLOOKUP(A66,'Weapon Formulas'!$E$10:$Q$115,11,0),weapon_components!D66),2)</f>
        <v>42.41</v>
      </c>
      <c r="E66" s="5">
        <f>ROUND(_xlfn.IFNA(VLOOKUP(A66,'Weapon Formulas'!$E$10:$Q$115,12,0),weapon_components!E66),2)</f>
        <v>70.680000000000007</v>
      </c>
      <c r="F66" s="5">
        <f>ROUND(_xlfn.IFNA(VLOOKUP(A66,'Weapon Formulas'!$E$10:$L$115,8,0),weapon_components!F66),2)</f>
        <v>0</v>
      </c>
      <c r="G66" s="5">
        <f>ROUND(_xlfn.IFNA(VLOOKUP(A66,'Weapon Formulas'!$E$10:$P$115,9,0),weapon_components!G66),2)</f>
        <v>1</v>
      </c>
      <c r="H66" s="5">
        <f>ROUND(_xlfn.IFNA(VLOOKUP(A66,'Weapon Formulas'!$E$10:$L$115,7,0),weapon_components!H66),2)</f>
        <v>-1.75</v>
      </c>
      <c r="I66" s="5">
        <v>2</v>
      </c>
      <c r="J66" s="5">
        <v>23</v>
      </c>
      <c r="K66" s="5">
        <v>25</v>
      </c>
      <c r="L66" s="5">
        <f>ROUND(_xlfn.IFNA(VLOOKUP(A66,'Weapon Formulas'!$E$10:$Z$115,15,0),weapon_components!L66),2)</f>
        <v>36</v>
      </c>
      <c r="M66" s="2">
        <v>0.76</v>
      </c>
      <c r="N66" s="5">
        <f>ROUND(_xlfn.IFNA(VLOOKUP(A66,'Weapon Formulas'!$E$10:$W$115,16,0),weapon_components!N66),2)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f>ROUND(_xlfn.IFNA(VLOOKUP(A67,'Weapon Formulas'!$E$10:$V$115,17,0),weapon_components!C67),2)</f>
        <v>-53.33</v>
      </c>
      <c r="D67" s="5">
        <f>ROUND(_xlfn.IFNA(VLOOKUP(A67,'Weapon Formulas'!$E$10:$Q$115,11,0),weapon_components!D67),2)</f>
        <v>75.89</v>
      </c>
      <c r="E67" s="5">
        <f>ROUND(_xlfn.IFNA(VLOOKUP(A67,'Weapon Formulas'!$E$10:$Q$115,12,0),weapon_components!E67),2)</f>
        <v>126.49</v>
      </c>
      <c r="F67" s="5">
        <f>ROUND(_xlfn.IFNA(VLOOKUP(A67,'Weapon Formulas'!$E$10:$L$115,8,0),weapon_components!F67),2)</f>
        <v>0</v>
      </c>
      <c r="G67" s="5">
        <f>ROUND(_xlfn.IFNA(VLOOKUP(A67,'Weapon Formulas'!$E$10:$P$115,9,0),weapon_components!G67),2)</f>
        <v>1</v>
      </c>
      <c r="H67" s="5">
        <f>ROUND(_xlfn.IFNA(VLOOKUP(A67,'Weapon Formulas'!$E$10:$L$115,7,0),weapon_components!H67),2)</f>
        <v>-1.24</v>
      </c>
      <c r="I67" s="5">
        <v>2</v>
      </c>
      <c r="J67" s="5">
        <v>23</v>
      </c>
      <c r="K67" s="5">
        <v>25</v>
      </c>
      <c r="L67" s="5">
        <f>ROUND(_xlfn.IFNA(VLOOKUP(A67,'Weapon Formulas'!$E$10:$Z$115,15,0),weapon_components!L67),2)</f>
        <v>45</v>
      </c>
      <c r="M67" s="2">
        <v>0.72</v>
      </c>
      <c r="N67" s="5">
        <f>ROUND(_xlfn.IFNA(VLOOKUP(A67,'Weapon Formulas'!$E$10:$W$115,16,0),weapon_components!N67),2)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5">
        <f>ROUND(_xlfn.IFNA(VLOOKUP(A68,'Weapon Formulas'!$E$10:$V$115,17,0),weapon_components!C68),2)</f>
        <v>-106.67</v>
      </c>
      <c r="D68" s="5">
        <f>ROUND(_xlfn.IFNA(VLOOKUP(A68,'Weapon Formulas'!$E$10:$Q$115,11,0),weapon_components!D68),2)</f>
        <v>133.97</v>
      </c>
      <c r="E68" s="5">
        <f>ROUND(_xlfn.IFNA(VLOOKUP(A68,'Weapon Formulas'!$E$10:$Q$115,12,0),weapon_components!E68),2)</f>
        <v>223.28</v>
      </c>
      <c r="F68" s="5">
        <f>ROUND(_xlfn.IFNA(VLOOKUP(A68,'Weapon Formulas'!$E$10:$L$115,8,0),weapon_components!F68),2)</f>
        <v>0</v>
      </c>
      <c r="G68" s="5">
        <f>ROUND(_xlfn.IFNA(VLOOKUP(A68,'Weapon Formulas'!$E$10:$P$115,9,0),weapon_components!G68),2)</f>
        <v>1</v>
      </c>
      <c r="H68" s="5">
        <f>ROUND(_xlfn.IFNA(VLOOKUP(A68,'Weapon Formulas'!$E$10:$L$115,7,0),weapon_components!H68),2)</f>
        <v>-0.5</v>
      </c>
      <c r="I68" s="5">
        <v>2</v>
      </c>
      <c r="J68" s="5">
        <v>23</v>
      </c>
      <c r="K68" s="2">
        <v>25</v>
      </c>
      <c r="L68" s="5">
        <f>ROUND(_xlfn.IFNA(VLOOKUP(A68,'Weapon Formulas'!$E$10:$Z$115,15,0),weapon_components!L68),2)</f>
        <v>54</v>
      </c>
      <c r="M68" s="5">
        <v>0.67</v>
      </c>
      <c r="N68" s="5">
        <f>ROUND(_xlfn.IFNA(VLOOKUP(A68,'Weapon Formulas'!$E$10:$W$115,16,0),weapon_components!N68),2)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f>ROUND(_xlfn.IFNA(VLOOKUP(A69,'Weapon Formulas'!$E$10:$V$115,17,0),weapon_components!C69),2)</f>
        <v>-53.33</v>
      </c>
      <c r="D69" s="5">
        <f>ROUND(_xlfn.IFNA(VLOOKUP(A69,'Weapon Formulas'!$E$10:$Q$115,11,0),weapon_components!D69),2)</f>
        <v>59.34</v>
      </c>
      <c r="E69" s="5">
        <f>ROUND(_xlfn.IFNA(VLOOKUP(A69,'Weapon Formulas'!$E$10:$Q$115,12,0),weapon_components!E69),2)</f>
        <v>98.9</v>
      </c>
      <c r="F69" s="5">
        <f>ROUND(_xlfn.IFNA(VLOOKUP(A69,'Weapon Formulas'!$E$10:$L$115,8,0),weapon_components!F69),2)</f>
        <v>0</v>
      </c>
      <c r="G69" s="5">
        <f>ROUND(_xlfn.IFNA(VLOOKUP(A69,'Weapon Formulas'!$E$10:$P$115,9,0),weapon_components!G69),2)</f>
        <v>1</v>
      </c>
      <c r="H69" s="5">
        <f>ROUND(_xlfn.IFNA(VLOOKUP(A69,'Weapon Formulas'!$E$10:$L$115,7,0),weapon_components!H69),2)</f>
        <v>-1.25</v>
      </c>
      <c r="I69" s="5">
        <v>2</v>
      </c>
      <c r="J69" s="5">
        <v>23</v>
      </c>
      <c r="K69" s="5">
        <v>25</v>
      </c>
      <c r="L69" s="5">
        <f>ROUND(_xlfn.IFNA(VLOOKUP(A69,'Weapon Formulas'!$E$10:$Z$115,15,0),weapon_components!L69),2)</f>
        <v>36</v>
      </c>
      <c r="M69" s="2">
        <v>0.76</v>
      </c>
      <c r="N69" s="5">
        <f>ROUND(_xlfn.IFNA(VLOOKUP(A69,'Weapon Formulas'!$E$10:$W$115,16,0),weapon_components!N69),2)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f>ROUND(_xlfn.IFNA(VLOOKUP(A70,'Weapon Formulas'!$E$10:$V$115,17,0),weapon_components!C70),2)</f>
        <v>-106.67</v>
      </c>
      <c r="D70" s="5">
        <f>ROUND(_xlfn.IFNA(VLOOKUP(A70,'Weapon Formulas'!$E$10:$Q$115,11,0),weapon_components!D70),2)</f>
        <v>106.25</v>
      </c>
      <c r="E70" s="5">
        <f>ROUND(_xlfn.IFNA(VLOOKUP(A70,'Weapon Formulas'!$E$10:$Q$115,12,0),weapon_components!E70),2)</f>
        <v>177.08</v>
      </c>
      <c r="F70" s="5">
        <f>ROUND(_xlfn.IFNA(VLOOKUP(A70,'Weapon Formulas'!$E$10:$L$115,8,0),weapon_components!F70),2)</f>
        <v>0</v>
      </c>
      <c r="G70" s="5">
        <f>ROUND(_xlfn.IFNA(VLOOKUP(A70,'Weapon Formulas'!$E$10:$P$115,9,0),weapon_components!G70),2)</f>
        <v>1</v>
      </c>
      <c r="H70" s="5">
        <f>ROUND(_xlfn.IFNA(VLOOKUP(A70,'Weapon Formulas'!$E$10:$L$115,7,0),weapon_components!H70),2)</f>
        <v>-0.88</v>
      </c>
      <c r="I70" s="5">
        <v>2</v>
      </c>
      <c r="J70" s="5">
        <v>23</v>
      </c>
      <c r="K70" s="5">
        <v>25</v>
      </c>
      <c r="L70" s="5">
        <f>ROUND(_xlfn.IFNA(VLOOKUP(A70,'Weapon Formulas'!$E$10:$Z$115,15,0),weapon_components!L70),2)</f>
        <v>45</v>
      </c>
      <c r="M70" s="2">
        <v>0.72</v>
      </c>
      <c r="N70" s="5">
        <f>ROUND(_xlfn.IFNA(VLOOKUP(A70,'Weapon Formulas'!$E$10:$W$115,16,0),weapon_components!N70),2)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5">
        <f>ROUND(_xlfn.IFNA(VLOOKUP(A71,'Weapon Formulas'!$E$10:$V$115,17,0),weapon_components!C71),2)</f>
        <v>-213.33</v>
      </c>
      <c r="D71" s="5">
        <f>ROUND(_xlfn.IFNA(VLOOKUP(A71,'Weapon Formulas'!$E$10:$Q$115,11,0),weapon_components!D71),2)</f>
        <v>187.65</v>
      </c>
      <c r="E71" s="5">
        <f>ROUND(_xlfn.IFNA(VLOOKUP(A71,'Weapon Formulas'!$E$10:$Q$115,12,0),weapon_components!E71),2)</f>
        <v>312.76</v>
      </c>
      <c r="F71" s="5">
        <f>ROUND(_xlfn.IFNA(VLOOKUP(A71,'Weapon Formulas'!$E$10:$L$115,8,0),weapon_components!F71),2)</f>
        <v>0</v>
      </c>
      <c r="G71" s="5">
        <f>ROUND(_xlfn.IFNA(VLOOKUP(A71,'Weapon Formulas'!$E$10:$P$115,9,0),weapon_components!G71),2)</f>
        <v>1</v>
      </c>
      <c r="H71" s="5">
        <f>ROUND(_xlfn.IFNA(VLOOKUP(A71,'Weapon Formulas'!$E$10:$L$115,7,0),weapon_components!H71),2)</f>
        <v>-0.36</v>
      </c>
      <c r="I71" s="5">
        <v>2</v>
      </c>
      <c r="J71" s="5">
        <v>23</v>
      </c>
      <c r="K71" s="2">
        <v>25</v>
      </c>
      <c r="L71" s="5">
        <f>ROUND(_xlfn.IFNA(VLOOKUP(A71,'Weapon Formulas'!$E$10:$Z$115,15,0),weapon_components!L71),2)</f>
        <v>54</v>
      </c>
      <c r="M71" s="5">
        <v>0.67</v>
      </c>
      <c r="N71" s="5">
        <f>ROUND(_xlfn.IFNA(VLOOKUP(A71,'Weapon Formulas'!$E$10:$W$115,16,0),weapon_components!N71),2)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f>ROUND(_xlfn.IFNA(VLOOKUP(A73,'Weapon Formulas'!$E$10:$V$115,17,0),weapon_components!C73),2)</f>
        <v>0</v>
      </c>
      <c r="D73" s="5">
        <f>ROUND(_xlfn.IFNA(VLOOKUP(A73,'Weapon Formulas'!$E$10:$Q$115,11,0),weapon_components!D73),2)</f>
        <v>3</v>
      </c>
      <c r="E73" s="5">
        <f>ROUND(_xlfn.IFNA(VLOOKUP(A73,'Weapon Formulas'!$E$10:$Q$115,12,0),weapon_components!E73),2)</f>
        <v>15</v>
      </c>
      <c r="F73" s="5">
        <f>ROUND(_xlfn.IFNA(VLOOKUP(A73,'Weapon Formulas'!$E$10:$L$115,8,0),weapon_components!F73),2)</f>
        <v>1</v>
      </c>
      <c r="G73" s="5">
        <f>ROUND(_xlfn.IFNA(VLOOKUP(A73,'Weapon Formulas'!$E$10:$P$115,9,0),weapon_components!G73),2)</f>
        <v>0</v>
      </c>
      <c r="H73" s="5">
        <f>ROUND(_xlfn.IFNA(VLOOKUP(A73,'Weapon Formulas'!$E$10:$L$115,7,0),weapon_components!H73),2)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Formulas'!$E$10:$Z$115,15,0),weapon_components!L73),2)</f>
        <v>20</v>
      </c>
      <c r="M73" s="2">
        <v>0.82</v>
      </c>
      <c r="N73" s="5">
        <f>ROUND(_xlfn.IFNA(VLOOKUP(A73,'Weapon Formulas'!$E$10:$W$115,16,0),weapon_components!N73),2)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f>ROUND(_xlfn.IFNA(VLOOKUP(A74,'Weapon Formulas'!$E$10:$V$115,17,0),weapon_components!C74),2)</f>
        <v>0</v>
      </c>
      <c r="D74" s="5">
        <f>ROUND(_xlfn.IFNA(VLOOKUP(A74,'Weapon Formulas'!$E$10:$Q$115,11,0),weapon_components!D74),2)</f>
        <v>6</v>
      </c>
      <c r="E74" s="5">
        <f>ROUND(_xlfn.IFNA(VLOOKUP(A74,'Weapon Formulas'!$E$10:$Q$115,12,0),weapon_components!E74),2)</f>
        <v>31</v>
      </c>
      <c r="F74" s="5">
        <f>ROUND(_xlfn.IFNA(VLOOKUP(A74,'Weapon Formulas'!$E$10:$L$115,8,0),weapon_components!F74),2)</f>
        <v>1</v>
      </c>
      <c r="G74" s="5">
        <f>ROUND(_xlfn.IFNA(VLOOKUP(A74,'Weapon Formulas'!$E$10:$P$115,9,0),weapon_components!G74),2)</f>
        <v>0</v>
      </c>
      <c r="H74" s="5">
        <f>ROUND(_xlfn.IFNA(VLOOKUP(A74,'Weapon Formulas'!$E$10:$L$115,7,0),weapon_components!H74),2)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Formulas'!$E$10:$Z$115,15,0),weapon_components!L74),2)</f>
        <v>30</v>
      </c>
      <c r="M74" s="2">
        <v>0.8</v>
      </c>
      <c r="N74" s="5">
        <f>ROUND(_xlfn.IFNA(VLOOKUP(A74,'Weapon Formulas'!$E$10:$W$115,16,0),weapon_components!N74),2)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f>ROUND(_xlfn.IFNA(VLOOKUP(A75,'Weapon Formulas'!$E$10:$V$115,17,0),weapon_components!C75),2)</f>
        <v>0</v>
      </c>
      <c r="D75" s="5">
        <f>ROUND(_xlfn.IFNA(VLOOKUP(A75,'Weapon Formulas'!$E$10:$Q$115,11,0),weapon_components!D75),2)</f>
        <v>16</v>
      </c>
      <c r="E75" s="5">
        <f>ROUND(_xlfn.IFNA(VLOOKUP(A75,'Weapon Formulas'!$E$10:$Q$115,12,0),weapon_components!E75),2)</f>
        <v>66</v>
      </c>
      <c r="F75" s="5">
        <f>ROUND(_xlfn.IFNA(VLOOKUP(A75,'Weapon Formulas'!$E$10:$L$115,8,0),weapon_components!F75),2)</f>
        <v>1</v>
      </c>
      <c r="G75" s="5">
        <f>ROUND(_xlfn.IFNA(VLOOKUP(A75,'Weapon Formulas'!$E$10:$P$115,9,0),weapon_components!G75),2)</f>
        <v>0</v>
      </c>
      <c r="H75" s="5">
        <f>ROUND(_xlfn.IFNA(VLOOKUP(A75,'Weapon Formulas'!$E$10:$L$115,7,0),weapon_components!H75),2)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Formulas'!$E$10:$Z$115,15,0),weapon_components!L75),2)</f>
        <v>40</v>
      </c>
      <c r="M75" s="2">
        <v>0.75</v>
      </c>
      <c r="N75" s="5">
        <f>ROUND(_xlfn.IFNA(VLOOKUP(A75,'Weapon Formulas'!$E$10:$W$115,16,0),weapon_components!N75),2)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f>ROUND(_xlfn.IFNA(VLOOKUP(A77,'Weapon Formulas'!$E$10:$V$115,17,0),weapon_components!C77),2)</f>
        <v>-213.33</v>
      </c>
      <c r="D77" s="5">
        <f>ROUND(_xlfn.IFNA(VLOOKUP(A77,'Weapon Formulas'!$E$10:$Q$115,11,0),weapon_components!D77),2)</f>
        <v>489.8</v>
      </c>
      <c r="E77" s="5">
        <f>ROUND(_xlfn.IFNA(VLOOKUP(A77,'Weapon Formulas'!$E$10:$Q$115,12,0),weapon_components!E77),2)</f>
        <v>816.33</v>
      </c>
      <c r="F77" s="5">
        <f>ROUND(_xlfn.IFNA(VLOOKUP(A77,'Weapon Formulas'!$E$10:$L$115,8,0),weapon_components!F77),2)</f>
        <v>1</v>
      </c>
      <c r="G77" s="5">
        <f>ROUND(_xlfn.IFNA(VLOOKUP(A77,'Weapon Formulas'!$E$10:$P$115,9,0),weapon_components!G77),2)</f>
        <v>1</v>
      </c>
      <c r="H77" s="5">
        <f>ROUND(_xlfn.IFNA(VLOOKUP(A77,'Weapon Formulas'!$E$10:$L$115,7,0),weapon_components!H77),2)</f>
        <v>0</v>
      </c>
      <c r="I77" s="5">
        <v>2</v>
      </c>
      <c r="J77" s="5">
        <v>18</v>
      </c>
      <c r="K77" s="5">
        <v>70</v>
      </c>
      <c r="L77" s="5">
        <f>ROUND(_xlfn.IFNA(VLOOKUP(A77,'Weapon Formulas'!$E$10:$Z$115,15,0),weapon_components!L77),2)</f>
        <v>72</v>
      </c>
      <c r="M77" s="2">
        <v>0.7</v>
      </c>
      <c r="N77" s="5">
        <f>ROUND(_xlfn.IFNA(VLOOKUP(A77,'Weapon Formulas'!$E$10:$W$115,16,0),weapon_components!N77),2)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f>ROUND(_xlfn.IFNA(VLOOKUP(A78,'Weapon Formulas'!$E$10:$V$115,17,0),weapon_components!C78),2)</f>
        <v>-426.67</v>
      </c>
      <c r="D78" s="5">
        <f>ROUND(_xlfn.IFNA(VLOOKUP(A78,'Weapon Formulas'!$E$10:$Q$115,11,0),weapon_components!D78),2)</f>
        <v>685.71</v>
      </c>
      <c r="E78" s="5">
        <f>ROUND(_xlfn.IFNA(VLOOKUP(A78,'Weapon Formulas'!$E$10:$Q$115,12,0),weapon_components!E78),2)</f>
        <v>1142.8599999999999</v>
      </c>
      <c r="F78" s="5">
        <f>ROUND(_xlfn.IFNA(VLOOKUP(A78,'Weapon Formulas'!$E$10:$L$115,8,0),weapon_components!F78),2)</f>
        <v>0</v>
      </c>
      <c r="G78" s="5">
        <f>ROUND(_xlfn.IFNA(VLOOKUP(A78,'Weapon Formulas'!$E$10:$P$115,9,0),weapon_components!G78),2)</f>
        <v>1</v>
      </c>
      <c r="H78" s="5">
        <f>ROUND(_xlfn.IFNA(VLOOKUP(A78,'Weapon Formulas'!$E$10:$L$115,7,0),weapon_components!H78),2)</f>
        <v>0</v>
      </c>
      <c r="I78" s="5">
        <v>2</v>
      </c>
      <c r="J78" s="5">
        <v>18</v>
      </c>
      <c r="K78" s="5">
        <v>70</v>
      </c>
      <c r="L78" s="5">
        <f>ROUND(_xlfn.IFNA(VLOOKUP(A78,'Weapon Formulas'!$E$10:$Z$115,15,0),weapon_components!L78),2)</f>
        <v>72</v>
      </c>
      <c r="M78" s="2">
        <v>0.7</v>
      </c>
      <c r="N78" s="5">
        <f>ROUND(_xlfn.IFNA(VLOOKUP(A78,'Weapon Formulas'!$E$10:$W$115,16,0),weapon_components!N78),2)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f>ROUND(_xlfn.IFNA(VLOOKUP(A80,'Weapon Formulas'!$E$10:$V$115,17,0),weapon_components!C80),2)</f>
        <v>-13.33</v>
      </c>
      <c r="D80" s="5">
        <f>ROUND(_xlfn.IFNA(VLOOKUP(A80,'Weapon Formulas'!$E$10:$Q$115,11,0),weapon_components!D80),2)</f>
        <v>12.27</v>
      </c>
      <c r="E80" s="5">
        <f>ROUND(_xlfn.IFNA(VLOOKUP(A80,'Weapon Formulas'!$E$10:$Q$115,12,0),weapon_components!E80),2)</f>
        <v>20.45</v>
      </c>
      <c r="F80" s="5">
        <f>ROUND(_xlfn.IFNA(VLOOKUP(A80,'Weapon Formulas'!$E$10:$L$115,8,0),weapon_components!F80),2)</f>
        <v>0</v>
      </c>
      <c r="G80" s="5">
        <f>ROUND(_xlfn.IFNA(VLOOKUP(A80,'Weapon Formulas'!$E$10:$P$115,9,0),weapon_components!G80),2)</f>
        <v>1</v>
      </c>
      <c r="H80" s="5">
        <f>ROUND(_xlfn.IFNA(VLOOKUP(A80,'Weapon Formulas'!$E$10:$L$115,7,0),weapon_components!H80),2)</f>
        <v>0.94</v>
      </c>
      <c r="I80" s="5">
        <v>2</v>
      </c>
      <c r="J80" s="5">
        <v>25</v>
      </c>
      <c r="K80" s="5">
        <v>18</v>
      </c>
      <c r="L80" s="5">
        <f>ROUND(_xlfn.IFNA(VLOOKUP(A80,'Weapon Formulas'!$E$10:$Z$115,15,0),weapon_components!L80),2)</f>
        <v>36</v>
      </c>
      <c r="M80" s="2">
        <v>0.82</v>
      </c>
      <c r="N80" s="5">
        <f>ROUND(_xlfn.IFNA(VLOOKUP(A80,'Weapon Formulas'!$E$10:$W$115,16,0),weapon_components!N80),2)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5">
        <f>ROUND(_xlfn.IFNA(VLOOKUP(A81,'Weapon Formulas'!$E$10:$V$115,17,0),weapon_components!C81),2)</f>
        <v>-26.67</v>
      </c>
      <c r="D81" s="5">
        <f>ROUND(_xlfn.IFNA(VLOOKUP(A81,'Weapon Formulas'!$E$10:$Q$115,11,0),weapon_components!D81),2)</f>
        <v>18.29</v>
      </c>
      <c r="E81" s="5">
        <f>ROUND(_xlfn.IFNA(VLOOKUP(A81,'Weapon Formulas'!$E$10:$Q$115,12,0),weapon_components!E81),2)</f>
        <v>30.48</v>
      </c>
      <c r="F81" s="5">
        <f>ROUND(_xlfn.IFNA(VLOOKUP(A81,'Weapon Formulas'!$E$10:$L$115,8,0),weapon_components!F81),2)</f>
        <v>0</v>
      </c>
      <c r="G81" s="5">
        <f>ROUND(_xlfn.IFNA(VLOOKUP(A81,'Weapon Formulas'!$E$10:$P$115,9,0),weapon_components!G81),2)</f>
        <v>1</v>
      </c>
      <c r="H81" s="5">
        <f>ROUND(_xlfn.IFNA(VLOOKUP(A81,'Weapon Formulas'!$E$10:$L$115,7,0),weapon_components!H81),2)</f>
        <v>3.88</v>
      </c>
      <c r="I81" s="5">
        <v>2</v>
      </c>
      <c r="J81" s="5">
        <v>25</v>
      </c>
      <c r="K81" s="2">
        <v>18</v>
      </c>
      <c r="L81" s="5">
        <f>ROUND(_xlfn.IFNA(VLOOKUP(A81,'Weapon Formulas'!$E$10:$Z$115,15,0),weapon_components!L81),2)</f>
        <v>45</v>
      </c>
      <c r="M81" s="5">
        <v>0.8</v>
      </c>
      <c r="N81" s="5">
        <f>ROUND(_xlfn.IFNA(VLOOKUP(A81,'Weapon Formulas'!$E$10:$W$115,16,0),weapon_components!N81),2)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f>ROUND(_xlfn.IFNA(VLOOKUP(A82,'Weapon Formulas'!$E$10:$V$115,17,0),weapon_components!C82),2)</f>
        <v>-53.33</v>
      </c>
      <c r="D82" s="5">
        <f>ROUND(_xlfn.IFNA(VLOOKUP(A82,'Weapon Formulas'!$E$10:$Q$115,11,0),weapon_components!D82),2)</f>
        <v>24.39</v>
      </c>
      <c r="E82" s="5">
        <f>ROUND(_xlfn.IFNA(VLOOKUP(A82,'Weapon Formulas'!$E$10:$Q$115,12,0),weapon_components!E82),2)</f>
        <v>40.65</v>
      </c>
      <c r="F82" s="5">
        <f>ROUND(_xlfn.IFNA(VLOOKUP(A82,'Weapon Formulas'!$E$10:$L$115,8,0),weapon_components!F82),2)</f>
        <v>0</v>
      </c>
      <c r="G82" s="5">
        <f>ROUND(_xlfn.IFNA(VLOOKUP(A82,'Weapon Formulas'!$E$10:$P$115,9,0),weapon_components!G82),2)</f>
        <v>1</v>
      </c>
      <c r="H82" s="5">
        <f>ROUND(_xlfn.IFNA(VLOOKUP(A82,'Weapon Formulas'!$E$10:$L$115,7,0),weapon_components!H82),2)</f>
        <v>10.33</v>
      </c>
      <c r="I82" s="5">
        <v>2</v>
      </c>
      <c r="J82" s="5">
        <v>25</v>
      </c>
      <c r="K82" s="5">
        <v>18</v>
      </c>
      <c r="L82" s="5">
        <f>ROUND(_xlfn.IFNA(VLOOKUP(A82,'Weapon Formulas'!$E$10:$Z$115,15,0),weapon_components!L82),2)</f>
        <v>54</v>
      </c>
      <c r="M82" s="2">
        <v>0.75</v>
      </c>
      <c r="N82" s="5">
        <f>ROUND(_xlfn.IFNA(VLOOKUP(A82,'Weapon Formulas'!$E$10:$W$115,16,0),weapon_components!N82),2)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f>ROUND(_xlfn.IFNA(VLOOKUP(A83,'Weapon Formulas'!$E$10:$V$115,17,0),weapon_components!C83),2)</f>
        <v>-26.67</v>
      </c>
      <c r="D83" s="5">
        <f>ROUND(_xlfn.IFNA(VLOOKUP(A83,'Weapon Formulas'!$E$10:$Q$115,11,0),weapon_components!D83),2)</f>
        <v>18.11</v>
      </c>
      <c r="E83" s="5">
        <f>ROUND(_xlfn.IFNA(VLOOKUP(A83,'Weapon Formulas'!$E$10:$Q$115,12,0),weapon_components!E83),2)</f>
        <v>30.18</v>
      </c>
      <c r="F83" s="5">
        <f>ROUND(_xlfn.IFNA(VLOOKUP(A83,'Weapon Formulas'!$E$10:$L$115,8,0),weapon_components!F83),2)</f>
        <v>0</v>
      </c>
      <c r="G83" s="5">
        <f>ROUND(_xlfn.IFNA(VLOOKUP(A83,'Weapon Formulas'!$E$10:$P$115,9,0),weapon_components!G83),2)</f>
        <v>1</v>
      </c>
      <c r="H83" s="5">
        <f>ROUND(_xlfn.IFNA(VLOOKUP(A83,'Weapon Formulas'!$E$10:$L$115,7,0),weapon_components!H83),2)</f>
        <v>0.64</v>
      </c>
      <c r="I83" s="5">
        <v>2</v>
      </c>
      <c r="J83" s="5">
        <v>25</v>
      </c>
      <c r="K83" s="5">
        <v>18</v>
      </c>
      <c r="L83" s="5">
        <f>ROUND(_xlfn.IFNA(VLOOKUP(A83,'Weapon Formulas'!$E$10:$Z$115,15,0),weapon_components!L83),2)</f>
        <v>36</v>
      </c>
      <c r="M83" s="2">
        <v>0.82</v>
      </c>
      <c r="N83" s="5">
        <f>ROUND(_xlfn.IFNA(VLOOKUP(A83,'Weapon Formulas'!$E$10:$W$115,16,0),weapon_components!N83),2)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5">
        <f>ROUND(_xlfn.IFNA(VLOOKUP(A84,'Weapon Formulas'!$E$10:$V$115,17,0),weapon_components!C84),2)</f>
        <v>-53.33</v>
      </c>
      <c r="D84" s="5">
        <f>ROUND(_xlfn.IFNA(VLOOKUP(A84,'Weapon Formulas'!$E$10:$Q$115,11,0),weapon_components!D84),2)</f>
        <v>27</v>
      </c>
      <c r="E84" s="5">
        <f>ROUND(_xlfn.IFNA(VLOOKUP(A84,'Weapon Formulas'!$E$10:$Q$115,12,0),weapon_components!E84),2)</f>
        <v>45</v>
      </c>
      <c r="F84" s="5">
        <f>ROUND(_xlfn.IFNA(VLOOKUP(A84,'Weapon Formulas'!$E$10:$L$115,8,0),weapon_components!F84),2)</f>
        <v>0</v>
      </c>
      <c r="G84" s="5">
        <f>ROUND(_xlfn.IFNA(VLOOKUP(A84,'Weapon Formulas'!$E$10:$P$115,9,0),weapon_components!G84),2)</f>
        <v>1</v>
      </c>
      <c r="H84" s="5">
        <f>ROUND(_xlfn.IFNA(VLOOKUP(A84,'Weapon Formulas'!$E$10:$L$115,7,0),weapon_components!H84),2)</f>
        <v>2.63</v>
      </c>
      <c r="I84" s="5">
        <v>2</v>
      </c>
      <c r="J84" s="5">
        <v>25</v>
      </c>
      <c r="K84" s="2">
        <v>18</v>
      </c>
      <c r="L84" s="5">
        <f>ROUND(_xlfn.IFNA(VLOOKUP(A84,'Weapon Formulas'!$E$10:$Z$115,15,0),weapon_components!L84),2)</f>
        <v>45</v>
      </c>
      <c r="M84" s="5">
        <v>0.8</v>
      </c>
      <c r="N84" s="5">
        <f>ROUND(_xlfn.IFNA(VLOOKUP(A84,'Weapon Formulas'!$E$10:$W$115,16,0),weapon_components!N84),2)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f>ROUND(_xlfn.IFNA(VLOOKUP(A85,'Weapon Formulas'!$E$10:$V$115,17,0),weapon_components!C85),2)</f>
        <v>-106.67</v>
      </c>
      <c r="D85" s="5">
        <f>ROUND(_xlfn.IFNA(VLOOKUP(A85,'Weapon Formulas'!$E$10:$Q$115,11,0),weapon_components!D85),2)</f>
        <v>36</v>
      </c>
      <c r="E85" s="5">
        <f>ROUND(_xlfn.IFNA(VLOOKUP(A85,'Weapon Formulas'!$E$10:$Q$115,12,0),weapon_components!E85),2)</f>
        <v>60</v>
      </c>
      <c r="F85" s="5">
        <f>ROUND(_xlfn.IFNA(VLOOKUP(A85,'Weapon Formulas'!$E$10:$L$115,8,0),weapon_components!F85),2)</f>
        <v>0</v>
      </c>
      <c r="G85" s="5">
        <f>ROUND(_xlfn.IFNA(VLOOKUP(A85,'Weapon Formulas'!$E$10:$P$115,9,0),weapon_components!G85),2)</f>
        <v>1</v>
      </c>
      <c r="H85" s="5">
        <f>ROUND(_xlfn.IFNA(VLOOKUP(A85,'Weapon Formulas'!$E$10:$L$115,7,0),weapon_components!H85),2)</f>
        <v>7</v>
      </c>
      <c r="I85" s="5">
        <v>2</v>
      </c>
      <c r="J85" s="5">
        <v>25</v>
      </c>
      <c r="K85" s="5">
        <v>18</v>
      </c>
      <c r="L85" s="5">
        <f>ROUND(_xlfn.IFNA(VLOOKUP(A85,'Weapon Formulas'!$E$10:$Z$115,15,0),weapon_components!L85),2)</f>
        <v>54</v>
      </c>
      <c r="M85" s="2">
        <v>0.75</v>
      </c>
      <c r="N85" s="5">
        <f>ROUND(_xlfn.IFNA(VLOOKUP(A85,'Weapon Formulas'!$E$10:$W$115,16,0),weapon_components!N85),2)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f>ROUND(_xlfn.IFNA(VLOOKUP(A86,'Weapon Formulas'!$E$10:$V$115,17,0),weapon_components!C86),2)</f>
        <v>-53.33</v>
      </c>
      <c r="D86" s="5">
        <f>ROUND(_xlfn.IFNA(VLOOKUP(A86,'Weapon Formulas'!$E$10:$Q$115,11,0),weapon_components!D86),2)</f>
        <v>25.35</v>
      </c>
      <c r="E86" s="5">
        <f>ROUND(_xlfn.IFNA(VLOOKUP(A86,'Weapon Formulas'!$E$10:$Q$115,12,0),weapon_components!E86),2)</f>
        <v>42.26</v>
      </c>
      <c r="F86" s="5">
        <f>ROUND(_xlfn.IFNA(VLOOKUP(A86,'Weapon Formulas'!$E$10:$L$115,8,0),weapon_components!F86),2)</f>
        <v>0</v>
      </c>
      <c r="G86" s="5">
        <f>ROUND(_xlfn.IFNA(VLOOKUP(A86,'Weapon Formulas'!$E$10:$P$115,9,0),weapon_components!G86),2)</f>
        <v>1</v>
      </c>
      <c r="H86" s="5">
        <f>ROUND(_xlfn.IFNA(VLOOKUP(A86,'Weapon Formulas'!$E$10:$L$115,7,0),weapon_components!H86),2)</f>
        <v>0.45</v>
      </c>
      <c r="I86" s="5">
        <v>2</v>
      </c>
      <c r="J86" s="5">
        <v>25</v>
      </c>
      <c r="K86" s="5">
        <v>18</v>
      </c>
      <c r="L86" s="5">
        <f>ROUND(_xlfn.IFNA(VLOOKUP(A86,'Weapon Formulas'!$E$10:$Z$115,15,0),weapon_components!L86),2)</f>
        <v>36</v>
      </c>
      <c r="M86" s="2">
        <v>0.82</v>
      </c>
      <c r="N86" s="5">
        <f>ROUND(_xlfn.IFNA(VLOOKUP(A86,'Weapon Formulas'!$E$10:$W$115,16,0),weapon_components!N86),2)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f>ROUND(_xlfn.IFNA(VLOOKUP(A87,'Weapon Formulas'!$E$10:$V$115,17,0),weapon_components!C87),2)</f>
        <v>-106.67</v>
      </c>
      <c r="D87" s="5">
        <f>ROUND(_xlfn.IFNA(VLOOKUP(A87,'Weapon Formulas'!$E$10:$Q$115,11,0),weapon_components!D87),2)</f>
        <v>37.799999999999997</v>
      </c>
      <c r="E87" s="5">
        <f>ROUND(_xlfn.IFNA(VLOOKUP(A87,'Weapon Formulas'!$E$10:$Q$115,12,0),weapon_components!E87),2)</f>
        <v>63</v>
      </c>
      <c r="F87" s="5">
        <f>ROUND(_xlfn.IFNA(VLOOKUP(A87,'Weapon Formulas'!$E$10:$L$115,8,0),weapon_components!F87),2)</f>
        <v>0</v>
      </c>
      <c r="G87" s="5">
        <f>ROUND(_xlfn.IFNA(VLOOKUP(A87,'Weapon Formulas'!$E$10:$P$115,9,0),weapon_components!G87),2)</f>
        <v>1</v>
      </c>
      <c r="H87" s="5">
        <f>ROUND(_xlfn.IFNA(VLOOKUP(A87,'Weapon Formulas'!$E$10:$L$115,7,0),weapon_components!H87),2)</f>
        <v>1.88</v>
      </c>
      <c r="I87" s="5">
        <v>2</v>
      </c>
      <c r="J87" s="5">
        <v>25</v>
      </c>
      <c r="K87" s="5">
        <v>18</v>
      </c>
      <c r="L87" s="5">
        <f>ROUND(_xlfn.IFNA(VLOOKUP(A87,'Weapon Formulas'!$E$10:$Z$115,15,0),weapon_components!L87),2)</f>
        <v>45</v>
      </c>
      <c r="M87" s="2">
        <v>0.8</v>
      </c>
      <c r="N87" s="5">
        <f>ROUND(_xlfn.IFNA(VLOOKUP(A87,'Weapon Formulas'!$E$10:$W$115,16,0),weapon_components!N87),2)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f>ROUND(_xlfn.IFNA(VLOOKUP(A88,'Weapon Formulas'!$E$10:$V$115,17,0),weapon_components!C88),2)</f>
        <v>-213.33</v>
      </c>
      <c r="D88" s="5">
        <f>ROUND(_xlfn.IFNA(VLOOKUP(A88,'Weapon Formulas'!$E$10:$Q$115,11,0),weapon_components!D88),2)</f>
        <v>50.4</v>
      </c>
      <c r="E88" s="5">
        <f>ROUND(_xlfn.IFNA(VLOOKUP(A88,'Weapon Formulas'!$E$10:$Q$115,12,0),weapon_components!E88),2)</f>
        <v>84</v>
      </c>
      <c r="F88" s="5">
        <f>ROUND(_xlfn.IFNA(VLOOKUP(A88,'Weapon Formulas'!$E$10:$L$115,8,0),weapon_components!F88),2)</f>
        <v>0</v>
      </c>
      <c r="G88" s="5">
        <f>ROUND(_xlfn.IFNA(VLOOKUP(A88,'Weapon Formulas'!$E$10:$P$115,9,0),weapon_components!G88),2)</f>
        <v>1</v>
      </c>
      <c r="H88" s="5">
        <f>ROUND(_xlfn.IFNA(VLOOKUP(A88,'Weapon Formulas'!$E$10:$L$115,7,0),weapon_components!H88),2)</f>
        <v>5</v>
      </c>
      <c r="I88" s="5">
        <v>2</v>
      </c>
      <c r="J88" s="5">
        <v>25</v>
      </c>
      <c r="K88" s="5">
        <v>18</v>
      </c>
      <c r="L88" s="5">
        <f>ROUND(_xlfn.IFNA(VLOOKUP(A88,'Weapon Formulas'!$E$10:$Z$115,15,0),weapon_components!L88),2)</f>
        <v>54</v>
      </c>
      <c r="M88" s="2">
        <v>0.75</v>
      </c>
      <c r="N88" s="5">
        <f>ROUND(_xlfn.IFNA(VLOOKUP(A88,'Weapon Formulas'!$E$10:$W$115,16,0),weapon_components!N88),2)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f>ROUND(_xlfn.IFNA(VLOOKUP(A90,'Weapon Formulas'!$E$10:$V$115,17,0),weapon_components!C90),2)</f>
        <v>-106.67</v>
      </c>
      <c r="D90" s="5">
        <v>2</v>
      </c>
      <c r="E90" s="5">
        <v>4</v>
      </c>
      <c r="F90" s="5">
        <f>ROUND(_xlfn.IFNA(VLOOKUP(A90,'Weapon Formulas'!$E$10:$L$115,8,0),weapon_components!F90),2)</f>
        <v>0.1</v>
      </c>
      <c r="G90" s="5">
        <f>ROUND(_xlfn.IFNA(VLOOKUP(A90,'Weapon Formulas'!$E$10:$P$115,9,0),weapon_components!G90),2)</f>
        <v>0</v>
      </c>
      <c r="H90" s="5">
        <f>ROUND(_xlfn.IFNA(VLOOKUP(A90,'Weapon Formulas'!$E$10:$L$115,7,0),weapon_components!H90),2)</f>
        <v>-1</v>
      </c>
      <c r="I90" s="5">
        <v>2</v>
      </c>
      <c r="J90" s="5">
        <v>3</v>
      </c>
      <c r="K90" s="5">
        <v>10</v>
      </c>
      <c r="L90" s="5">
        <v>15</v>
      </c>
      <c r="M90" s="2">
        <v>0.75</v>
      </c>
      <c r="N90" s="5">
        <f>ROUND(_xlfn.IFNA(VLOOKUP(A90,'Weapon Formulas'!$E$10:$W$115,16,0),weapon_components!N90),2)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f>ROUND(_xlfn.IFNA(VLOOKUP(A91,'Weapon Formulas'!$E$10:$V$115,17,0),weapon_components!C91),2)</f>
        <v>-213.33</v>
      </c>
      <c r="D91" s="5">
        <v>2</v>
      </c>
      <c r="E91" s="5">
        <v>4</v>
      </c>
      <c r="F91" s="5">
        <f>ROUND(_xlfn.IFNA(VLOOKUP(A91,'Weapon Formulas'!$E$10:$L$115,8,0),weapon_components!F91),2)</f>
        <v>0.1</v>
      </c>
      <c r="G91" s="5">
        <f>ROUND(_xlfn.IFNA(VLOOKUP(A91,'Weapon Formulas'!$E$10:$P$115,9,0),weapon_components!G91),2)</f>
        <v>0</v>
      </c>
      <c r="H91" s="5">
        <f>ROUND(_xlfn.IFNA(VLOOKUP(A91,'Weapon Formulas'!$E$10:$L$115,7,0),weapon_components!H91),2)</f>
        <v>-1</v>
      </c>
      <c r="I91" s="5">
        <v>2</v>
      </c>
      <c r="J91" s="5">
        <v>8</v>
      </c>
      <c r="K91" s="5">
        <v>10</v>
      </c>
      <c r="L91" s="5">
        <f>ROUND(_xlfn.IFNA(VLOOKUP(A91,'Weapon Formulas'!$E$10:$Z$115,15,0),weapon_components!L91),2)</f>
        <v>20</v>
      </c>
      <c r="M91" s="2">
        <v>0.75</v>
      </c>
      <c r="N91" s="5">
        <f>ROUND(_xlfn.IFNA(VLOOKUP(A91,'Weapon Formulas'!$E$10:$W$115,16,0),weapon_components!N91),2)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f>ROUND(_xlfn.IFNA(VLOOKUP(A93,'Weapon Formulas'!$E$10:$V$115,17,0),weapon_components!C93),2)</f>
        <v>-3.33</v>
      </c>
      <c r="D93" s="5">
        <f>ROUND(_xlfn.IFNA(VLOOKUP(A93,'Weapon Formulas'!$E$10:$Q$115,11,0),weapon_components!D93),2)</f>
        <v>10.31</v>
      </c>
      <c r="E93" s="5">
        <f>ROUND(_xlfn.IFNA(VLOOKUP(A93,'Weapon Formulas'!$E$10:$Q$115,12,0),weapon_components!E93),2)</f>
        <v>17.190000000000001</v>
      </c>
      <c r="F93" s="5">
        <f>ROUND(_xlfn.IFNA(VLOOKUP(A93,'Weapon Formulas'!$E$10:$L$115,8,0),weapon_components!F93),2)</f>
        <v>0</v>
      </c>
      <c r="G93" s="5">
        <f>ROUND(_xlfn.IFNA(VLOOKUP(A93,'Weapon Formulas'!$E$10:$P$115,9,0),weapon_components!G93),2)</f>
        <v>1</v>
      </c>
      <c r="H93" s="5">
        <f>ROUND(_xlfn.IFNA(VLOOKUP(A93,'Weapon Formulas'!$E$10:$L$115,7,0),weapon_components!H93),2)</f>
        <v>-1.67</v>
      </c>
      <c r="I93" s="5">
        <v>20</v>
      </c>
      <c r="J93" s="5">
        <v>30</v>
      </c>
      <c r="K93" s="5">
        <v>30</v>
      </c>
      <c r="L93" s="5">
        <f>ROUND(_xlfn.IFNA(VLOOKUP(A93,'Weapon Formulas'!$E$10:$Z$115,15,0),weapon_components!L93),2)</f>
        <v>48</v>
      </c>
      <c r="M93" s="2">
        <v>1</v>
      </c>
      <c r="N93" s="5">
        <f>ROUND(_xlfn.IFNA(VLOOKUP(A93,'Weapon Formulas'!$E$10:$W$115,16,0),weapon_components!N93),2)</f>
        <v>2.5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f>ROUND(_xlfn.IFNA(VLOOKUP(A94,'Weapon Formulas'!$E$10:$V$115,17,0),weapon_components!C94),2)</f>
        <v>-6.67</v>
      </c>
      <c r="D94" s="5">
        <f>ROUND(_xlfn.IFNA(VLOOKUP(A94,'Weapon Formulas'!$E$10:$Q$115,11,0),weapon_components!D94),2)</f>
        <v>22.69</v>
      </c>
      <c r="E94" s="5">
        <f>ROUND(_xlfn.IFNA(VLOOKUP(A94,'Weapon Formulas'!$E$10:$Q$115,12,0),weapon_components!E94),2)</f>
        <v>37.81</v>
      </c>
      <c r="F94" s="5">
        <f>ROUND(_xlfn.IFNA(VLOOKUP(A94,'Weapon Formulas'!$E$10:$L$115,8,0),weapon_components!F94),2)</f>
        <v>0</v>
      </c>
      <c r="G94" s="5">
        <f>ROUND(_xlfn.IFNA(VLOOKUP(A94,'Weapon Formulas'!$E$10:$P$115,9,0),weapon_components!G94),2)</f>
        <v>1</v>
      </c>
      <c r="H94" s="5">
        <f>ROUND(_xlfn.IFNA(VLOOKUP(A94,'Weapon Formulas'!$E$10:$L$115,7,0),weapon_components!H94),2)</f>
        <v>-3.61</v>
      </c>
      <c r="I94" s="5">
        <v>20</v>
      </c>
      <c r="J94" s="5">
        <v>30</v>
      </c>
      <c r="K94" s="5">
        <v>30</v>
      </c>
      <c r="L94" s="5">
        <f>ROUND(_xlfn.IFNA(VLOOKUP(A94,'Weapon Formulas'!$E$10:$Z$115,15,0),weapon_components!L94),2)</f>
        <v>60</v>
      </c>
      <c r="M94" s="2">
        <v>1</v>
      </c>
      <c r="N94" s="5">
        <f>ROUND(_xlfn.IFNA(VLOOKUP(A94,'Weapon Formulas'!$E$10:$W$115,16,0),weapon_components!N94),2)</f>
        <v>2.5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f>ROUND(_xlfn.IFNA(VLOOKUP(A95,'Weapon Formulas'!$E$10:$V$115,17,0),weapon_components!C95),2)</f>
        <v>-13.33</v>
      </c>
      <c r="D95" s="5">
        <f>ROUND(_xlfn.IFNA(VLOOKUP(A95,'Weapon Formulas'!$E$10:$Q$115,11,0),weapon_components!D95),2)</f>
        <v>49.5</v>
      </c>
      <c r="E95" s="5">
        <f>ROUND(_xlfn.IFNA(VLOOKUP(A95,'Weapon Formulas'!$E$10:$Q$115,12,0),weapon_components!E95),2)</f>
        <v>82.5</v>
      </c>
      <c r="F95" s="5">
        <f>ROUND(_xlfn.IFNA(VLOOKUP(A95,'Weapon Formulas'!$E$10:$L$115,8,0),weapon_components!F95),2)</f>
        <v>0</v>
      </c>
      <c r="G95" s="5">
        <f>ROUND(_xlfn.IFNA(VLOOKUP(A95,'Weapon Formulas'!$E$10:$P$115,9,0),weapon_components!G95),2)</f>
        <v>1</v>
      </c>
      <c r="H95" s="5">
        <f>ROUND(_xlfn.IFNA(VLOOKUP(A95,'Weapon Formulas'!$E$10:$L$115,7,0),weapon_components!H95),2)</f>
        <v>-5.22</v>
      </c>
      <c r="I95" s="5">
        <v>20</v>
      </c>
      <c r="J95" s="5">
        <v>30</v>
      </c>
      <c r="K95" s="5">
        <v>30</v>
      </c>
      <c r="L95" s="5">
        <f>ROUND(_xlfn.IFNA(VLOOKUP(A95,'Weapon Formulas'!$E$10:$Z$115,15,0),weapon_components!L95),2)</f>
        <v>72</v>
      </c>
      <c r="M95" s="2">
        <v>1</v>
      </c>
      <c r="N95" s="5">
        <f>ROUND(_xlfn.IFNA(VLOOKUP(A95,'Weapon Formulas'!$E$10:$W$115,16,0),weapon_components!N95),2)</f>
        <v>2.5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f>ROUND(_xlfn.IFNA(VLOOKUP(A96,'Weapon Formulas'!$E$10:$V$115,17,0),weapon_components!C96),2)</f>
        <v>-6.67</v>
      </c>
      <c r="D96" s="5">
        <f>ROUND(_xlfn.IFNA(VLOOKUP(A96,'Weapon Formulas'!$E$10:$Q$115,11,0),weapon_components!D96),2)</f>
        <v>22.69</v>
      </c>
      <c r="E96" s="5">
        <f>ROUND(_xlfn.IFNA(VLOOKUP(A96,'Weapon Formulas'!$E$10:$Q$115,12,0),weapon_components!E96),2)</f>
        <v>37.81</v>
      </c>
      <c r="F96" s="5">
        <f>ROUND(_xlfn.IFNA(VLOOKUP(A96,'Weapon Formulas'!$E$10:$L$115,8,0),weapon_components!F96),2)</f>
        <v>0</v>
      </c>
      <c r="G96" s="5">
        <f>ROUND(_xlfn.IFNA(VLOOKUP(A96,'Weapon Formulas'!$E$10:$P$115,9,0),weapon_components!G96),2)</f>
        <v>1</v>
      </c>
      <c r="H96" s="5">
        <f>ROUND(_xlfn.IFNA(VLOOKUP(A96,'Weapon Formulas'!$E$10:$L$115,7,0),weapon_components!H96),2)</f>
        <v>-1.3</v>
      </c>
      <c r="I96" s="5">
        <v>20</v>
      </c>
      <c r="J96" s="5">
        <v>30</v>
      </c>
      <c r="K96" s="5">
        <v>30</v>
      </c>
      <c r="L96" s="5">
        <f>ROUND(_xlfn.IFNA(VLOOKUP(A96,'Weapon Formulas'!$E$10:$Z$115,15,0),weapon_components!L96),2)</f>
        <v>48</v>
      </c>
      <c r="M96" s="2">
        <v>1</v>
      </c>
      <c r="N96" s="5">
        <f>ROUND(_xlfn.IFNA(VLOOKUP(A96,'Weapon Formulas'!$E$10:$W$115,16,0),weapon_components!N96),2)</f>
        <v>3.75</v>
      </c>
      <c r="O96" s="5"/>
      <c r="P96" s="6"/>
      <c r="Q96" s="2"/>
    </row>
    <row r="97" spans="1:21" x14ac:dyDescent="0.25">
      <c r="A97" s="15" t="s">
        <v>105</v>
      </c>
      <c r="B97" s="5">
        <v>10</v>
      </c>
      <c r="C97" s="5">
        <f>ROUND(_xlfn.IFNA(VLOOKUP(A97,'Weapon Formulas'!$E$10:$V$115,17,0),weapon_components!C97),2)</f>
        <v>-13.33</v>
      </c>
      <c r="D97" s="5">
        <f>ROUND(_xlfn.IFNA(VLOOKUP(A97,'Weapon Formulas'!$E$10:$Q$115,11,0),weapon_components!D97),2)</f>
        <v>49.5</v>
      </c>
      <c r="E97" s="5">
        <f>ROUND(_xlfn.IFNA(VLOOKUP(A97,'Weapon Formulas'!$E$10:$Q$115,12,0),weapon_components!E97),2)</f>
        <v>82.5</v>
      </c>
      <c r="F97" s="5">
        <f>ROUND(_xlfn.IFNA(VLOOKUP(A97,'Weapon Formulas'!$E$10:$L$115,8,0),weapon_components!F97),2)</f>
        <v>0</v>
      </c>
      <c r="G97" s="5">
        <f>ROUND(_xlfn.IFNA(VLOOKUP(A97,'Weapon Formulas'!$E$10:$P$115,9,0),weapon_components!G97),2)</f>
        <v>1</v>
      </c>
      <c r="H97" s="5">
        <f>ROUND(_xlfn.IFNA(VLOOKUP(A97,'Weapon Formulas'!$E$10:$L$115,7,0),weapon_components!H97),2)</f>
        <v>-2.11</v>
      </c>
      <c r="I97" s="5">
        <v>20</v>
      </c>
      <c r="J97" s="5">
        <v>30</v>
      </c>
      <c r="K97" s="5">
        <v>30</v>
      </c>
      <c r="L97" s="5">
        <f>ROUND(_xlfn.IFNA(VLOOKUP(A97,'Weapon Formulas'!$E$10:$Z$115,15,0),weapon_components!L97),2)</f>
        <v>60</v>
      </c>
      <c r="M97" s="2">
        <v>1</v>
      </c>
      <c r="N97" s="5">
        <f>ROUND(_xlfn.IFNA(VLOOKUP(A97,'Weapon Formulas'!$E$10:$W$115,16,0),weapon_components!N97),2)</f>
        <v>3.75</v>
      </c>
      <c r="O97" s="5"/>
      <c r="P97" s="6"/>
      <c r="Q97" s="2"/>
    </row>
    <row r="98" spans="1:21" x14ac:dyDescent="0.25">
      <c r="A98" s="15" t="s">
        <v>106</v>
      </c>
      <c r="B98" s="5">
        <v>20</v>
      </c>
      <c r="C98" s="5">
        <f>ROUND(_xlfn.IFNA(VLOOKUP(A98,'Weapon Formulas'!$E$10:$V$115,17,0),weapon_components!C98),2)</f>
        <v>-26.67</v>
      </c>
      <c r="D98" s="5">
        <f>ROUND(_xlfn.IFNA(VLOOKUP(A98,'Weapon Formulas'!$E$10:$Q$115,11,0),weapon_components!D98),2)</f>
        <v>107.25</v>
      </c>
      <c r="E98" s="5">
        <f>ROUND(_xlfn.IFNA(VLOOKUP(A98,'Weapon Formulas'!$E$10:$Q$115,12,0),weapon_components!E98),2)</f>
        <v>178.75</v>
      </c>
      <c r="F98" s="5">
        <f>ROUND(_xlfn.IFNA(VLOOKUP(A98,'Weapon Formulas'!$E$10:$L$115,8,0),weapon_components!F98),2)</f>
        <v>0</v>
      </c>
      <c r="G98" s="5">
        <f>ROUND(_xlfn.IFNA(VLOOKUP(A98,'Weapon Formulas'!$E$10:$P$115,9,0),weapon_components!G98),2)</f>
        <v>1</v>
      </c>
      <c r="H98" s="5">
        <f>ROUND(_xlfn.IFNA(VLOOKUP(A98,'Weapon Formulas'!$E$10:$L$115,7,0),weapon_components!H98),2)</f>
        <v>-2.79</v>
      </c>
      <c r="I98" s="5">
        <v>20</v>
      </c>
      <c r="J98" s="5">
        <v>30</v>
      </c>
      <c r="K98" s="5">
        <v>30</v>
      </c>
      <c r="L98" s="5">
        <f>ROUND(_xlfn.IFNA(VLOOKUP(A98,'Weapon Formulas'!$E$10:$Z$115,15,0),weapon_components!L98),2)</f>
        <v>72</v>
      </c>
      <c r="M98" s="2">
        <v>1</v>
      </c>
      <c r="N98" s="5">
        <f>ROUND(_xlfn.IFNA(VLOOKUP(A98,'Weapon Formulas'!$E$10:$W$115,16,0),weapon_components!N98),2)</f>
        <v>3.75</v>
      </c>
      <c r="O98" s="5"/>
      <c r="P98" s="6"/>
      <c r="Q98" s="2"/>
    </row>
    <row r="99" spans="1:21" x14ac:dyDescent="0.25">
      <c r="A99" s="15" t="s">
        <v>107</v>
      </c>
      <c r="B99" s="5">
        <v>7.5</v>
      </c>
      <c r="C99" s="5">
        <f>ROUND(_xlfn.IFNA(VLOOKUP(A99,'Weapon Formulas'!$E$10:$V$115,17,0),weapon_components!C99),2)</f>
        <v>-13.33</v>
      </c>
      <c r="D99" s="5">
        <f>ROUND(_xlfn.IFNA(VLOOKUP(A99,'Weapon Formulas'!$E$10:$Q$115,11,0),weapon_components!D99),2)</f>
        <v>37.130000000000003</v>
      </c>
      <c r="E99" s="5">
        <f>ROUND(_xlfn.IFNA(VLOOKUP(A99,'Weapon Formulas'!$E$10:$Q$115,12,0),weapon_components!E99),2)</f>
        <v>61.88</v>
      </c>
      <c r="F99" s="5">
        <f>ROUND(_xlfn.IFNA(VLOOKUP(A99,'Weapon Formulas'!$E$10:$L$115,8,0),weapon_components!F99),2)</f>
        <v>0</v>
      </c>
      <c r="G99" s="5">
        <f>ROUND(_xlfn.IFNA(VLOOKUP(A99,'Weapon Formulas'!$E$10:$P$115,9,0),weapon_components!G99),2)</f>
        <v>1</v>
      </c>
      <c r="H99" s="5">
        <f>ROUND(_xlfn.IFNA(VLOOKUP(A99,'Weapon Formulas'!$E$10:$L$115,7,0),weapon_components!H99),2)</f>
        <v>-1.07</v>
      </c>
      <c r="I99" s="5">
        <v>20</v>
      </c>
      <c r="J99" s="5">
        <v>30</v>
      </c>
      <c r="K99" s="5">
        <v>30</v>
      </c>
      <c r="L99" s="5">
        <f>ROUND(_xlfn.IFNA(VLOOKUP(A99,'Weapon Formulas'!$E$10:$Z$115,15,0),weapon_components!L99),2)</f>
        <v>48</v>
      </c>
      <c r="M99" s="2">
        <v>1</v>
      </c>
      <c r="N99" s="5">
        <f>ROUND(_xlfn.IFNA(VLOOKUP(A99,'Weapon Formulas'!$E$10:$W$115,16,0),weapon_components!N99),2)</f>
        <v>5</v>
      </c>
      <c r="O99" s="5"/>
      <c r="P99" s="6"/>
      <c r="Q99" s="2"/>
    </row>
    <row r="100" spans="1:21" x14ac:dyDescent="0.25">
      <c r="A100" s="15" t="s">
        <v>108</v>
      </c>
      <c r="B100" s="2">
        <v>15</v>
      </c>
      <c r="C100" s="5">
        <f>ROUND(_xlfn.IFNA(VLOOKUP(A100,'Weapon Formulas'!$E$10:$V$115,17,0),weapon_components!C100),2)</f>
        <v>-26.67</v>
      </c>
      <c r="D100" s="5">
        <f>ROUND(_xlfn.IFNA(VLOOKUP(A100,'Weapon Formulas'!$E$10:$Q$115,11,0),weapon_components!D100),2)</f>
        <v>80.44</v>
      </c>
      <c r="E100" s="5">
        <f>ROUND(_xlfn.IFNA(VLOOKUP(A100,'Weapon Formulas'!$E$10:$Q$115,12,0),weapon_components!E100),2)</f>
        <v>134.06</v>
      </c>
      <c r="F100" s="5">
        <f>ROUND(_xlfn.IFNA(VLOOKUP(A100,'Weapon Formulas'!$E$10:$L$115,8,0),weapon_components!F100),2)</f>
        <v>0</v>
      </c>
      <c r="G100" s="5">
        <f>ROUND(_xlfn.IFNA(VLOOKUP(A100,'Weapon Formulas'!$E$10:$P$115,9,0),weapon_components!G100),2)</f>
        <v>1</v>
      </c>
      <c r="H100" s="5">
        <f>ROUND(_xlfn.IFNA(VLOOKUP(A100,'Weapon Formulas'!$E$10:$L$115,7,0),weapon_components!H100),2)</f>
        <v>-1.53</v>
      </c>
      <c r="I100" s="5">
        <v>20</v>
      </c>
      <c r="J100" s="5">
        <v>30</v>
      </c>
      <c r="K100" s="2">
        <v>30</v>
      </c>
      <c r="L100" s="5">
        <f>ROUND(_xlfn.IFNA(VLOOKUP(A100,'Weapon Formulas'!$E$10:$Z$115,15,0),weapon_components!L100),2)</f>
        <v>60</v>
      </c>
      <c r="M100" s="5">
        <v>1</v>
      </c>
      <c r="N100" s="5">
        <f>ROUND(_xlfn.IFNA(VLOOKUP(A100,'Weapon Formulas'!$E$10:$W$115,16,0),weapon_components!N100),2)</f>
        <v>5</v>
      </c>
      <c r="O100" s="2"/>
      <c r="P100" s="6"/>
      <c r="Q100" s="2"/>
    </row>
    <row r="101" spans="1:21" x14ac:dyDescent="0.25">
      <c r="A101" s="15" t="s">
        <v>109</v>
      </c>
      <c r="B101" s="5">
        <v>30</v>
      </c>
      <c r="C101" s="5">
        <f>ROUND(_xlfn.IFNA(VLOOKUP(A101,'Weapon Formulas'!$E$10:$V$115,17,0),weapon_components!C101),2)</f>
        <v>-53.33</v>
      </c>
      <c r="D101" s="5">
        <f>ROUND(_xlfn.IFNA(VLOOKUP(A101,'Weapon Formulas'!$E$10:$Q$115,11,0),weapon_components!D101),2)</f>
        <v>173.25</v>
      </c>
      <c r="E101" s="5">
        <f>ROUND(_xlfn.IFNA(VLOOKUP(A101,'Weapon Formulas'!$E$10:$Q$115,12,0),weapon_components!E101),2)</f>
        <v>288.75</v>
      </c>
      <c r="F101" s="5">
        <f>ROUND(_xlfn.IFNA(VLOOKUP(A101,'Weapon Formulas'!$E$10:$L$115,8,0),weapon_components!F101),2)</f>
        <v>0</v>
      </c>
      <c r="G101" s="5">
        <f>ROUND(_xlfn.IFNA(VLOOKUP(A101,'Weapon Formulas'!$E$10:$P$115,9,0),weapon_components!G101),2)</f>
        <v>1</v>
      </c>
      <c r="H101" s="5">
        <f>ROUND(_xlfn.IFNA(VLOOKUP(A101,'Weapon Formulas'!$E$10:$L$115,7,0),weapon_components!H101),2)</f>
        <v>-1.92</v>
      </c>
      <c r="I101" s="5">
        <v>20</v>
      </c>
      <c r="J101" s="5">
        <v>30</v>
      </c>
      <c r="K101" s="5">
        <v>30</v>
      </c>
      <c r="L101" s="5">
        <f>ROUND(_xlfn.IFNA(VLOOKUP(A101,'Weapon Formulas'!$E$10:$Z$115,15,0),weapon_components!L101),2)</f>
        <v>72</v>
      </c>
      <c r="M101" s="2">
        <v>1</v>
      </c>
      <c r="N101" s="5">
        <f>ROUND(_xlfn.IFNA(VLOOKUP(A101,'Weapon Formulas'!$E$10:$W$115,16,0),weapon_components!N101),2)</f>
        <v>5</v>
      </c>
      <c r="O101" s="5"/>
      <c r="P101" s="6"/>
      <c r="Q101" s="2"/>
    </row>
    <row r="102" spans="1:21" x14ac:dyDescent="0.25">
      <c r="A102" s="15" t="s">
        <v>110</v>
      </c>
      <c r="B102" s="5">
        <v>10</v>
      </c>
      <c r="C102" s="5">
        <f>ROUND(_xlfn.IFNA(VLOOKUP(A102,'Weapon Formulas'!$E$10:$V$115,17,0),weapon_components!C102),2)</f>
        <v>-26.67</v>
      </c>
      <c r="D102" s="5">
        <f>ROUND(_xlfn.IFNA(VLOOKUP(A102,'Weapon Formulas'!$E$10:$Q$115,11,0),weapon_components!D102),2)</f>
        <v>53.63</v>
      </c>
      <c r="E102" s="5">
        <f>ROUND(_xlfn.IFNA(VLOOKUP(A102,'Weapon Formulas'!$E$10:$Q$115,12,0),weapon_components!E102),2)</f>
        <v>89.38</v>
      </c>
      <c r="F102" s="5">
        <f>ROUND(_xlfn.IFNA(VLOOKUP(A102,'Weapon Formulas'!$E$10:$L$115,8,0),weapon_components!F102),2)</f>
        <v>0</v>
      </c>
      <c r="G102" s="5">
        <f>ROUND(_xlfn.IFNA(VLOOKUP(A102,'Weapon Formulas'!$E$10:$P$115,9,0),weapon_components!G102),2)</f>
        <v>1</v>
      </c>
      <c r="H102" s="5">
        <f>ROUND(_xlfn.IFNA(VLOOKUP(A102,'Weapon Formulas'!$E$10:$L$115,7,0),weapon_components!H102),2)</f>
        <v>-0.9</v>
      </c>
      <c r="I102" s="5">
        <v>20</v>
      </c>
      <c r="J102" s="5">
        <v>30</v>
      </c>
      <c r="K102" s="5">
        <v>30</v>
      </c>
      <c r="L102" s="5">
        <f>ROUND(_xlfn.IFNA(VLOOKUP(A102,'Weapon Formulas'!$E$10:$Z$115,15,0),weapon_components!L102),2)</f>
        <v>48</v>
      </c>
      <c r="M102" s="2">
        <v>1</v>
      </c>
      <c r="N102" s="5">
        <f>ROUND(_xlfn.IFNA(VLOOKUP(A102,'Weapon Formulas'!$E$10:$W$115,16,0),weapon_components!N102),2)</f>
        <v>7.5</v>
      </c>
      <c r="O102" s="5"/>
      <c r="P102" s="6"/>
      <c r="Q102" s="2"/>
    </row>
    <row r="103" spans="1:21" x14ac:dyDescent="0.25">
      <c r="A103" s="15" t="s">
        <v>111</v>
      </c>
      <c r="B103" s="5">
        <v>20</v>
      </c>
      <c r="C103" s="5">
        <f>ROUND(_xlfn.IFNA(VLOOKUP(A103,'Weapon Formulas'!$E$10:$V$115,17,0),weapon_components!C103),2)</f>
        <v>-53.33</v>
      </c>
      <c r="D103" s="5">
        <f>ROUND(_xlfn.IFNA(VLOOKUP(A103,'Weapon Formulas'!$E$10:$Q$115,11,0),weapon_components!D103),2)</f>
        <v>115.5</v>
      </c>
      <c r="E103" s="5">
        <f>ROUND(_xlfn.IFNA(VLOOKUP(A103,'Weapon Formulas'!$E$10:$Q$115,12,0),weapon_components!E103),2)</f>
        <v>192.5</v>
      </c>
      <c r="F103" s="5">
        <f>ROUND(_xlfn.IFNA(VLOOKUP(A103,'Weapon Formulas'!$E$10:$L$115,8,0),weapon_components!F103),2)</f>
        <v>0</v>
      </c>
      <c r="G103" s="5">
        <f>ROUND(_xlfn.IFNA(VLOOKUP(A103,'Weapon Formulas'!$E$10:$P$115,9,0),weapon_components!G103),2)</f>
        <v>1</v>
      </c>
      <c r="H103" s="5">
        <f>ROUND(_xlfn.IFNA(VLOOKUP(A103,'Weapon Formulas'!$E$10:$L$115,7,0),weapon_components!H103),2)</f>
        <v>-1.19</v>
      </c>
      <c r="I103" s="5">
        <v>20</v>
      </c>
      <c r="J103" s="5">
        <v>30</v>
      </c>
      <c r="K103" s="5">
        <v>30</v>
      </c>
      <c r="L103" s="5">
        <f>ROUND(_xlfn.IFNA(VLOOKUP(A103,'Weapon Formulas'!$E$10:$Z$115,15,0),weapon_components!L103),2)</f>
        <v>60</v>
      </c>
      <c r="M103" s="2">
        <v>1</v>
      </c>
      <c r="N103" s="5">
        <f>ROUND(_xlfn.IFNA(VLOOKUP(A103,'Weapon Formulas'!$E$10:$W$115,16,0),weapon_components!N103),2)</f>
        <v>7.5</v>
      </c>
      <c r="O103" s="5"/>
      <c r="P103" s="6"/>
      <c r="Q103" s="2"/>
    </row>
    <row r="104" spans="1:21" x14ac:dyDescent="0.25">
      <c r="A104" s="15" t="s">
        <v>112</v>
      </c>
      <c r="B104" s="5">
        <v>40</v>
      </c>
      <c r="C104" s="5">
        <f>ROUND(_xlfn.IFNA(VLOOKUP(A104,'Weapon Formulas'!$E$10:$V$115,17,0),weapon_components!C104),2)</f>
        <v>-106.67</v>
      </c>
      <c r="D104" s="5">
        <f>ROUND(_xlfn.IFNA(VLOOKUP(A104,'Weapon Formulas'!$E$10:$Q$115,11,0),weapon_components!D104),2)</f>
        <v>247.5</v>
      </c>
      <c r="E104" s="5">
        <f>ROUND(_xlfn.IFNA(VLOOKUP(A104,'Weapon Formulas'!$E$10:$Q$115,12,0),weapon_components!E104),2)</f>
        <v>412.5</v>
      </c>
      <c r="F104" s="5">
        <f>ROUND(_xlfn.IFNA(VLOOKUP(A104,'Weapon Formulas'!$E$10:$L$115,8,0),weapon_components!F104),2)</f>
        <v>0</v>
      </c>
      <c r="G104" s="5">
        <f>ROUND(_xlfn.IFNA(VLOOKUP(A104,'Weapon Formulas'!$E$10:$P$115,9,0),weapon_components!G104),2)</f>
        <v>1</v>
      </c>
      <c r="H104" s="5">
        <f>ROUND(_xlfn.IFNA(VLOOKUP(A104,'Weapon Formulas'!$E$10:$L$115,7,0),weapon_components!H104),2)</f>
        <v>-1.44</v>
      </c>
      <c r="I104" s="5">
        <v>20</v>
      </c>
      <c r="J104" s="5">
        <v>30</v>
      </c>
      <c r="K104" s="5">
        <v>30</v>
      </c>
      <c r="L104" s="5">
        <f>ROUND(_xlfn.IFNA(VLOOKUP(A104,'Weapon Formulas'!$E$10:$Z$115,15,0),weapon_components!L104),2)</f>
        <v>72</v>
      </c>
      <c r="M104" s="2">
        <v>1</v>
      </c>
      <c r="N104" s="5">
        <f>ROUND(_xlfn.IFNA(VLOOKUP(A104,'Weapon Formulas'!$E$10:$W$115,16,0),weapon_components!N104),2)</f>
        <v>7.5</v>
      </c>
      <c r="O104" s="5"/>
      <c r="P104" s="6"/>
      <c r="Q104" s="2"/>
    </row>
    <row r="105" spans="1:21" x14ac:dyDescent="0.25">
      <c r="A105" s="15" t="s">
        <v>113</v>
      </c>
      <c r="B105" s="5">
        <v>12.5</v>
      </c>
      <c r="C105" s="5">
        <f>ROUND(_xlfn.IFNA(VLOOKUP(A105,'Weapon Formulas'!$E$10:$V$115,17,0),weapon_components!C105),2)</f>
        <v>-53.33</v>
      </c>
      <c r="D105" s="5">
        <f>ROUND(_xlfn.IFNA(VLOOKUP(A105,'Weapon Formulas'!$E$10:$Q$115,11,0),weapon_components!D105),2)</f>
        <v>72.19</v>
      </c>
      <c r="E105" s="5">
        <f>ROUND(_xlfn.IFNA(VLOOKUP(A105,'Weapon Formulas'!$E$10:$Q$115,12,0),weapon_components!E105),2)</f>
        <v>120.31</v>
      </c>
      <c r="F105" s="5">
        <f>ROUND(_xlfn.IFNA(VLOOKUP(A105,'Weapon Formulas'!$E$10:$L$115,8,0),weapon_components!F105),2)</f>
        <v>0</v>
      </c>
      <c r="G105" s="5">
        <f>ROUND(_xlfn.IFNA(VLOOKUP(A105,'Weapon Formulas'!$E$10:$P$115,9,0),weapon_components!G105),2)</f>
        <v>1</v>
      </c>
      <c r="H105" s="5">
        <f>ROUND(_xlfn.IFNA(VLOOKUP(A105,'Weapon Formulas'!$E$10:$L$115,7,0),weapon_components!H105),2)</f>
        <v>-0.75</v>
      </c>
      <c r="I105" s="5">
        <v>20</v>
      </c>
      <c r="J105" s="5">
        <v>30</v>
      </c>
      <c r="K105" s="5">
        <v>30</v>
      </c>
      <c r="L105" s="5">
        <f>ROUND(_xlfn.IFNA(VLOOKUP(A105,'Weapon Formulas'!$E$10:$Z$115,15,0),weapon_components!L105),2)</f>
        <v>48</v>
      </c>
      <c r="M105" s="2">
        <v>1</v>
      </c>
      <c r="N105" s="5">
        <f>ROUND(_xlfn.IFNA(VLOOKUP(A105,'Weapon Formulas'!$E$10:$W$115,16,0),weapon_components!N105),2)</f>
        <v>10</v>
      </c>
      <c r="O105" s="5"/>
      <c r="P105" s="6"/>
      <c r="Q105" s="2"/>
    </row>
    <row r="106" spans="1:21" x14ac:dyDescent="0.25">
      <c r="A106" s="15" t="s">
        <v>114</v>
      </c>
      <c r="B106" s="5">
        <v>25</v>
      </c>
      <c r="C106" s="5">
        <f>ROUND(_xlfn.IFNA(VLOOKUP(A106,'Weapon Formulas'!$E$10:$V$115,17,0),weapon_components!C106),2)</f>
        <v>-106.67</v>
      </c>
      <c r="D106" s="5">
        <f>ROUND(_xlfn.IFNA(VLOOKUP(A106,'Weapon Formulas'!$E$10:$Q$115,11,0),weapon_components!D106),2)</f>
        <v>154.69</v>
      </c>
      <c r="E106" s="5">
        <f>ROUND(_xlfn.IFNA(VLOOKUP(A106,'Weapon Formulas'!$E$10:$Q$115,12,0),weapon_components!E106),2)</f>
        <v>257.81</v>
      </c>
      <c r="F106" s="5">
        <f>ROUND(_xlfn.IFNA(VLOOKUP(A106,'Weapon Formulas'!$E$10:$L$115,8,0),weapon_components!F106),2)</f>
        <v>0</v>
      </c>
      <c r="G106" s="5">
        <f>ROUND(_xlfn.IFNA(VLOOKUP(A106,'Weapon Formulas'!$E$10:$P$115,9,0),weapon_components!G106),2)</f>
        <v>1</v>
      </c>
      <c r="H106" s="5">
        <f>ROUND(_xlfn.IFNA(VLOOKUP(A106,'Weapon Formulas'!$E$10:$L$115,7,0),weapon_components!H106),2)</f>
        <v>-0.96</v>
      </c>
      <c r="I106" s="5">
        <v>20</v>
      </c>
      <c r="J106" s="5">
        <v>30</v>
      </c>
      <c r="K106" s="5">
        <v>30</v>
      </c>
      <c r="L106" s="5">
        <f>ROUND(_xlfn.IFNA(VLOOKUP(A106,'Weapon Formulas'!$E$10:$Z$115,15,0),weapon_components!L106),2)</f>
        <v>60</v>
      </c>
      <c r="M106" s="2">
        <v>1</v>
      </c>
      <c r="N106" s="5">
        <f>ROUND(_xlfn.IFNA(VLOOKUP(A106,'Weapon Formulas'!$E$10:$W$115,16,0),weapon_components!N106),2)</f>
        <v>10</v>
      </c>
      <c r="O106" s="5"/>
      <c r="P106" s="6"/>
      <c r="Q106" s="2"/>
    </row>
    <row r="107" spans="1:21" x14ac:dyDescent="0.25">
      <c r="A107" s="15" t="s">
        <v>115</v>
      </c>
      <c r="B107" s="5">
        <v>50</v>
      </c>
      <c r="C107" s="5">
        <f>ROUND(_xlfn.IFNA(VLOOKUP(A107,'Weapon Formulas'!$E$10:$V$115,17,0),weapon_components!C107),2)</f>
        <v>-213.33</v>
      </c>
      <c r="D107" s="5">
        <f>ROUND(_xlfn.IFNA(VLOOKUP(A107,'Weapon Formulas'!$E$10:$Q$115,11,0),weapon_components!D107),2)</f>
        <v>330</v>
      </c>
      <c r="E107" s="5">
        <f>ROUND(_xlfn.IFNA(VLOOKUP(A107,'Weapon Formulas'!$E$10:$Q$115,12,0),weapon_components!E107),2)</f>
        <v>550</v>
      </c>
      <c r="F107" s="5">
        <f>ROUND(_xlfn.IFNA(VLOOKUP(A107,'Weapon Formulas'!$E$10:$L$115,8,0),weapon_components!F107),2)</f>
        <v>0</v>
      </c>
      <c r="G107" s="5">
        <f>ROUND(_xlfn.IFNA(VLOOKUP(A107,'Weapon Formulas'!$E$10:$P$115,9,0),weapon_components!G107),2)</f>
        <v>1</v>
      </c>
      <c r="H107" s="5">
        <f>ROUND(_xlfn.IFNA(VLOOKUP(A107,'Weapon Formulas'!$E$10:$L$115,7,0),weapon_components!H107),2)</f>
        <v>-1.1299999999999999</v>
      </c>
      <c r="I107" s="5">
        <v>20</v>
      </c>
      <c r="J107" s="5">
        <v>30</v>
      </c>
      <c r="K107" s="5">
        <v>30</v>
      </c>
      <c r="L107" s="5">
        <f>ROUND(_xlfn.IFNA(VLOOKUP(A107,'Weapon Formulas'!$E$10:$Z$115,15,0),weapon_components!L107),2)</f>
        <v>72</v>
      </c>
      <c r="M107" s="2">
        <v>1</v>
      </c>
      <c r="N107" s="5">
        <f>ROUND(_xlfn.IFNA(VLOOKUP(A107,'Weapon Formulas'!$E$10:$W$115,16,0),weapon_components!N107),2)</f>
        <v>10</v>
      </c>
      <c r="O107" s="5"/>
      <c r="P107" s="6"/>
      <c r="Q107" s="2"/>
      <c r="U107">
        <f>4/24</f>
        <v>0.16666666666666666</v>
      </c>
    </row>
    <row r="108" spans="1:21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2"/>
      <c r="N108" s="5"/>
      <c r="O108" s="5"/>
      <c r="P108" s="6"/>
      <c r="Q108" s="2"/>
    </row>
    <row r="109" spans="1:21" x14ac:dyDescent="0.25">
      <c r="A109" s="15" t="s">
        <v>158</v>
      </c>
      <c r="B109" s="5">
        <v>0</v>
      </c>
      <c r="C109" s="5">
        <f>ROUND(_xlfn.IFNA(VLOOKUP(A109,'Weapon Formulas'!$E$10:$V$115,17,0),weapon_components!C109),2)</f>
        <v>0</v>
      </c>
      <c r="D109" s="5">
        <f>ROUND(_xlfn.IFNA(VLOOKUP(A109,'Weapon Formulas'!$E$10:$Q$115,11,0),weapon_components!D109),2)</f>
        <v>8</v>
      </c>
      <c r="E109" s="5">
        <f>ROUND(_xlfn.IFNA(VLOOKUP(A109,'Weapon Formulas'!$E$10:$Q$115,12,0),weapon_components!E109),2)</f>
        <v>13</v>
      </c>
      <c r="F109" s="5">
        <f>ROUND(_xlfn.IFNA(VLOOKUP(A109,'Weapon Formulas'!$E$10:$L$115,8,0),weapon_components!F109),2)</f>
        <v>1</v>
      </c>
      <c r="G109" s="5">
        <f>ROUND(_xlfn.IFNA(VLOOKUP(A109,'Weapon Formulas'!$E$10:$P$115,9,0),weapon_components!G109),2)</f>
        <v>0</v>
      </c>
      <c r="H109" s="5">
        <f>ROUND(_xlfn.IFNA(VLOOKUP(A109,'Weapon Formulas'!$E$10:$L$115,7,0),weapon_components!H109),2)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Formulas'!$E$10:$Z$115,15,0),weapon_components!L109),2)</f>
        <v>26</v>
      </c>
      <c r="M109" s="2">
        <v>1</v>
      </c>
      <c r="N109" s="5">
        <f>ROUND(_xlfn.IFNA(VLOOKUP(A109,'Weapon Formulas'!$E$10:$W$115,16,0),weapon_components!N109),2)</f>
        <v>5</v>
      </c>
      <c r="O109" s="5"/>
      <c r="P109" s="6"/>
      <c r="Q109" s="2"/>
    </row>
    <row r="110" spans="1:21" x14ac:dyDescent="0.25">
      <c r="A110" s="15" t="s">
        <v>159</v>
      </c>
      <c r="B110" s="2">
        <v>0</v>
      </c>
      <c r="C110" s="5">
        <f>ROUND(_xlfn.IFNA(VLOOKUP(A110,'Weapon Formulas'!$E$10:$V$115,17,0),weapon_components!C110),2)</f>
        <v>0</v>
      </c>
      <c r="D110" s="5">
        <f>ROUND(_xlfn.IFNA(VLOOKUP(A110,'Weapon Formulas'!$E$10:$Q$115,11,0),weapon_components!D110),2)</f>
        <v>13</v>
      </c>
      <c r="E110" s="5">
        <f>ROUND(_xlfn.IFNA(VLOOKUP(A110,'Weapon Formulas'!$E$10:$Q$115,12,0),weapon_components!E110),2)</f>
        <v>29</v>
      </c>
      <c r="F110" s="5">
        <f>ROUND(_xlfn.IFNA(VLOOKUP(A110,'Weapon Formulas'!$E$10:$L$115,8,0),weapon_components!F110),2)</f>
        <v>1</v>
      </c>
      <c r="G110" s="5">
        <f>ROUND(_xlfn.IFNA(VLOOKUP(A110,'Weapon Formulas'!$E$10:$P$115,9,0),weapon_components!G110),2)</f>
        <v>0</v>
      </c>
      <c r="H110" s="5">
        <f>ROUND(_xlfn.IFNA(VLOOKUP(A110,'Weapon Formulas'!$E$10:$L$115,7,0),weapon_components!H110),2)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Formulas'!$E$10:$Z$115,15,0),weapon_components!L110),2)</f>
        <v>36</v>
      </c>
      <c r="M110" s="5">
        <v>1</v>
      </c>
      <c r="N110" s="5">
        <f>ROUND(_xlfn.IFNA(VLOOKUP(A110,'Weapon Formulas'!$E$10:$W$115,16,0),weapon_components!N110),2)</f>
        <v>5</v>
      </c>
      <c r="O110" s="2"/>
      <c r="P110" s="6"/>
      <c r="Q110" s="2"/>
    </row>
    <row r="111" spans="1:21" x14ac:dyDescent="0.25">
      <c r="A111" s="15" t="s">
        <v>160</v>
      </c>
      <c r="B111" s="5">
        <v>0</v>
      </c>
      <c r="C111" s="5">
        <f>ROUND(_xlfn.IFNA(VLOOKUP(A111,'Weapon Formulas'!$E$10:$V$115,17,0),weapon_components!C111),2)</f>
        <v>0</v>
      </c>
      <c r="D111" s="5">
        <f>ROUND(_xlfn.IFNA(VLOOKUP(A111,'Weapon Formulas'!$E$10:$Q$115,11,0),weapon_components!D111),2)</f>
        <v>34</v>
      </c>
      <c r="E111" s="5">
        <f>ROUND(_xlfn.IFNA(VLOOKUP(A111,'Weapon Formulas'!$E$10:$Q$115,12,0),weapon_components!E111),2)</f>
        <v>50</v>
      </c>
      <c r="F111" s="5">
        <f>ROUND(_xlfn.IFNA(VLOOKUP(A111,'Weapon Formulas'!$E$10:$L$115,8,0),weapon_components!F111),2)</f>
        <v>1</v>
      </c>
      <c r="G111" s="5">
        <f>ROUND(_xlfn.IFNA(VLOOKUP(A111,'Weapon Formulas'!$E$10:$P$115,9,0),weapon_components!G111),2)</f>
        <v>0</v>
      </c>
      <c r="H111" s="5">
        <f>ROUND(_xlfn.IFNA(VLOOKUP(A111,'Weapon Formulas'!$E$10:$L$115,7,0),weapon_components!H111),2)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Formulas'!$E$10:$Z$115,15,0),weapon_components!L111),2)</f>
        <v>46</v>
      </c>
      <c r="M111" s="2">
        <v>1</v>
      </c>
      <c r="N111" s="5">
        <f>ROUND(_xlfn.IFNA(VLOOKUP(A111,'Weapon Formulas'!$E$10:$W$115,16,0),weapon_components!N111),2)</f>
        <v>5</v>
      </c>
      <c r="O111" s="5"/>
      <c r="P111" s="6"/>
      <c r="Q111" s="2"/>
    </row>
    <row r="112" spans="1:21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 s="5">
        <f>ROUND(_xlfn.IFNA(VLOOKUP(A113,'Weapon Formulas'!$E$10:$V$115,17,0),weapon_components!C113),2)</f>
        <v>-13.33</v>
      </c>
      <c r="D113" s="5">
        <f>ROUND(_xlfn.IFNA(VLOOKUP(A113,'Weapon Formulas'!$E$10:$Q$115,11,0),weapon_components!D113),2)</f>
        <v>56.36</v>
      </c>
      <c r="E113" s="5">
        <f>ROUND(_xlfn.IFNA(VLOOKUP(A113,'Weapon Formulas'!$E$10:$Q$115,12,0),weapon_components!E113),2)</f>
        <v>93.94</v>
      </c>
      <c r="F113" s="5">
        <f>ROUND(_xlfn.IFNA(VLOOKUP(A113,'Weapon Formulas'!$E$10:$L$115,8,0),weapon_components!F113),2)</f>
        <v>0</v>
      </c>
      <c r="G113" s="5">
        <f>ROUND(_xlfn.IFNA(VLOOKUP(A113,'Weapon Formulas'!$E$10:$P$115,9,0),weapon_components!G113),2)</f>
        <v>1</v>
      </c>
      <c r="H113" s="5">
        <f>ROUND(_xlfn.IFNA(VLOOKUP(A113,'Weapon Formulas'!$E$10:$L$115,7,0),weapon_components!H113),2)</f>
        <v>-0.33</v>
      </c>
      <c r="I113">
        <v>2</v>
      </c>
      <c r="J113">
        <v>15</v>
      </c>
      <c r="K113">
        <v>75</v>
      </c>
      <c r="L113" s="5">
        <f>ROUND(_xlfn.IFNA(VLOOKUP(A113,'Weapon Formulas'!$E$10:$Z$115,15,0),weapon_components!L113),2)</f>
        <v>48</v>
      </c>
      <c r="M113">
        <v>1</v>
      </c>
      <c r="N113" s="5">
        <f>ROUND(_xlfn.IFNA(VLOOKUP(A113,'Weapon Formulas'!$E$10:$W$115,16,0),weapon_components!N113),2)</f>
        <v>5</v>
      </c>
    </row>
    <row r="114" spans="1:14" x14ac:dyDescent="0.25">
      <c r="A114" s="15" t="s">
        <v>118</v>
      </c>
      <c r="B114">
        <v>15</v>
      </c>
      <c r="C114" s="5">
        <f>ROUND(_xlfn.IFNA(VLOOKUP(A114,'Weapon Formulas'!$E$10:$V$115,17,0),weapon_components!C114),2)</f>
        <v>-26.67</v>
      </c>
      <c r="D114" s="5">
        <f>ROUND(_xlfn.IFNA(VLOOKUP(A114,'Weapon Formulas'!$E$10:$Q$115,11,0),weapon_components!D114),2)</f>
        <v>122.12</v>
      </c>
      <c r="E114" s="5">
        <f>ROUND(_xlfn.IFNA(VLOOKUP(A114,'Weapon Formulas'!$E$10:$Q$115,12,0),weapon_components!E114),2)</f>
        <v>203.53</v>
      </c>
      <c r="F114" s="5">
        <f>ROUND(_xlfn.IFNA(VLOOKUP(A114,'Weapon Formulas'!$E$10:$L$115,8,0),weapon_components!F114),2)</f>
        <v>0</v>
      </c>
      <c r="G114" s="5">
        <f>ROUND(_xlfn.IFNA(VLOOKUP(A114,'Weapon Formulas'!$E$10:$P$115,9,0),weapon_components!G114),2)</f>
        <v>1</v>
      </c>
      <c r="H114" s="5">
        <f>ROUND(_xlfn.IFNA(VLOOKUP(A114,'Weapon Formulas'!$E$10:$L$115,7,0),weapon_components!H114),2)</f>
        <v>-0.85</v>
      </c>
      <c r="I114">
        <v>2</v>
      </c>
      <c r="J114">
        <v>15</v>
      </c>
      <c r="K114">
        <v>75</v>
      </c>
      <c r="L114" s="5">
        <f>ROUND(_xlfn.IFNA(VLOOKUP(A114,'Weapon Formulas'!$E$10:$Z$115,15,0),weapon_components!L114),2)</f>
        <v>60</v>
      </c>
      <c r="M114">
        <v>1</v>
      </c>
      <c r="N114" s="5">
        <f>ROUND(_xlfn.IFNA(VLOOKUP(A114,'Weapon Formulas'!$E$10:$W$115,16,0),weapon_components!N114),2)</f>
        <v>5</v>
      </c>
    </row>
    <row r="115" spans="1:14" x14ac:dyDescent="0.25">
      <c r="A115" s="15" t="s">
        <v>119</v>
      </c>
      <c r="B115">
        <v>30</v>
      </c>
      <c r="C115" s="5">
        <f>ROUND(_xlfn.IFNA(VLOOKUP(A115,'Weapon Formulas'!$E$10:$V$115,17,0),weapon_components!C115),2)</f>
        <v>-53.33</v>
      </c>
      <c r="D115" s="5">
        <f>ROUND(_xlfn.IFNA(VLOOKUP(A115,'Weapon Formulas'!$E$10:$Q$115,11,0),weapon_components!D115),2)</f>
        <v>263.02999999999997</v>
      </c>
      <c r="E115" s="5">
        <f>ROUND(_xlfn.IFNA(VLOOKUP(A115,'Weapon Formulas'!$E$10:$Q$115,12,0),weapon_components!E115),2)</f>
        <v>438.38</v>
      </c>
      <c r="F115" s="5">
        <f>ROUND(_xlfn.IFNA(VLOOKUP(A115,'Weapon Formulas'!$E$10:$L$115,8,0),weapon_components!F115),2)</f>
        <v>0</v>
      </c>
      <c r="G115" s="5">
        <f>ROUND(_xlfn.IFNA(VLOOKUP(A115,'Weapon Formulas'!$E$10:$P$115,9,0),weapon_components!G115),2)</f>
        <v>1</v>
      </c>
      <c r="H115" s="5">
        <f>ROUND(_xlfn.IFNA(VLOOKUP(A115,'Weapon Formulas'!$E$10:$L$115,7,0),weapon_components!H115),2)</f>
        <v>-1.29</v>
      </c>
      <c r="I115">
        <v>2</v>
      </c>
      <c r="J115">
        <v>15</v>
      </c>
      <c r="K115">
        <v>75</v>
      </c>
      <c r="L115" s="5">
        <f>ROUND(_xlfn.IFNA(VLOOKUP(A115,'Weapon Formulas'!$E$10:$Z$115,15,0),weapon_components!L115),2)</f>
        <v>72</v>
      </c>
      <c r="M115">
        <v>1</v>
      </c>
      <c r="N115" s="5">
        <f>ROUND(_xlfn.IFNA(VLOOKUP(A115,'Weapon Formulas'!$E$10:$W$115,16,0),weapon_components!N115),2)</f>
        <v>5</v>
      </c>
    </row>
    <row r="116" spans="1:14" x14ac:dyDescent="0.25">
      <c r="A116" s="15" t="s">
        <v>120</v>
      </c>
      <c r="B116">
        <v>10</v>
      </c>
      <c r="C116" s="5">
        <f>ROUND(_xlfn.IFNA(VLOOKUP(A116,'Weapon Formulas'!$E$10:$V$115,17,0),weapon_components!C116),2)</f>
        <v>-26.67</v>
      </c>
      <c r="D116" s="5">
        <f>ROUND(_xlfn.IFNA(VLOOKUP(A116,'Weapon Formulas'!$E$10:$Q$115,11,0),weapon_components!D116),2)</f>
        <v>81.41</v>
      </c>
      <c r="E116" s="5">
        <f>ROUND(_xlfn.IFNA(VLOOKUP(A116,'Weapon Formulas'!$E$10:$Q$115,12,0),weapon_components!E116),2)</f>
        <v>135.69</v>
      </c>
      <c r="F116" s="5">
        <f>ROUND(_xlfn.IFNA(VLOOKUP(A116,'Weapon Formulas'!$E$10:$L$115,8,0),weapon_components!F116),2)</f>
        <v>0</v>
      </c>
      <c r="G116" s="5">
        <f>ROUND(_xlfn.IFNA(VLOOKUP(A116,'Weapon Formulas'!$E$10:$P$115,9,0),weapon_components!G116),2)</f>
        <v>1</v>
      </c>
      <c r="H116" s="5">
        <f>ROUND(_xlfn.IFNA(VLOOKUP(A116,'Weapon Formulas'!$E$10:$L$115,7,0),weapon_components!H116),2)</f>
        <v>-0.38</v>
      </c>
      <c r="I116">
        <v>2</v>
      </c>
      <c r="J116">
        <v>15</v>
      </c>
      <c r="K116">
        <v>75</v>
      </c>
      <c r="L116" s="5">
        <f>ROUND(_xlfn.IFNA(VLOOKUP(A116,'Weapon Formulas'!$E$10:$Z$115,15,0),weapon_components!L116),2)</f>
        <v>48</v>
      </c>
      <c r="M116">
        <v>1</v>
      </c>
      <c r="N116" s="5">
        <f>ROUND(_xlfn.IFNA(VLOOKUP(A116,'Weapon Formulas'!$E$10:$W$115,16,0),weapon_components!N116),2)</f>
        <v>7.5</v>
      </c>
    </row>
    <row r="117" spans="1:14" x14ac:dyDescent="0.25">
      <c r="A117" s="15" t="s">
        <v>121</v>
      </c>
      <c r="B117">
        <v>20</v>
      </c>
      <c r="C117" s="5">
        <f>ROUND(_xlfn.IFNA(VLOOKUP(A117,'Weapon Formulas'!$E$10:$V$115,17,0),weapon_components!C117),2)</f>
        <v>-53.33</v>
      </c>
      <c r="D117" s="5">
        <f>ROUND(_xlfn.IFNA(VLOOKUP(A117,'Weapon Formulas'!$E$10:$Q$115,11,0),weapon_components!D117),2)</f>
        <v>175.35</v>
      </c>
      <c r="E117" s="5">
        <f>ROUND(_xlfn.IFNA(VLOOKUP(A117,'Weapon Formulas'!$E$10:$Q$115,12,0),weapon_components!E117),2)</f>
        <v>292.25</v>
      </c>
      <c r="F117" s="5">
        <f>ROUND(_xlfn.IFNA(VLOOKUP(A117,'Weapon Formulas'!$E$10:$L$115,8,0),weapon_components!F117),2)</f>
        <v>0</v>
      </c>
      <c r="G117" s="5">
        <f>ROUND(_xlfn.IFNA(VLOOKUP(A117,'Weapon Formulas'!$E$10:$P$115,9,0),weapon_components!G117),2)</f>
        <v>1</v>
      </c>
      <c r="H117" s="5">
        <f>ROUND(_xlfn.IFNA(VLOOKUP(A117,'Weapon Formulas'!$E$10:$L$115,7,0),weapon_components!H117),2)</f>
        <v>-0.71</v>
      </c>
      <c r="I117">
        <v>2</v>
      </c>
      <c r="J117">
        <v>15</v>
      </c>
      <c r="K117">
        <v>75</v>
      </c>
      <c r="L117" s="5">
        <f>ROUND(_xlfn.IFNA(VLOOKUP(A117,'Weapon Formulas'!$E$10:$Z$115,15,0),weapon_components!L117),2)</f>
        <v>60</v>
      </c>
      <c r="M117">
        <v>1</v>
      </c>
      <c r="N117" s="5">
        <f>ROUND(_xlfn.IFNA(VLOOKUP(A117,'Weapon Formulas'!$E$10:$W$115,16,0),weapon_components!N117),2)</f>
        <v>7.5</v>
      </c>
    </row>
    <row r="118" spans="1:14" x14ac:dyDescent="0.25">
      <c r="A118" s="15" t="s">
        <v>122</v>
      </c>
      <c r="B118">
        <v>40</v>
      </c>
      <c r="C118" s="5">
        <f>ROUND(_xlfn.IFNA(VLOOKUP(A118,'Weapon Formulas'!$E$10:$V$115,17,0),weapon_components!C118),2)</f>
        <v>-106.67</v>
      </c>
      <c r="D118" s="5">
        <f>ROUND(_xlfn.IFNA(VLOOKUP(A118,'Weapon Formulas'!$E$10:$Q$115,11,0),weapon_components!D118),2)</f>
        <v>375.75</v>
      </c>
      <c r="E118" s="5">
        <f>ROUND(_xlfn.IFNA(VLOOKUP(A118,'Weapon Formulas'!$E$10:$Q$115,12,0),weapon_components!E118),2)</f>
        <v>626.25</v>
      </c>
      <c r="F118" s="5">
        <f>ROUND(_xlfn.IFNA(VLOOKUP(A118,'Weapon Formulas'!$E$10:$L$115,8,0),weapon_components!F118),2)</f>
        <v>0</v>
      </c>
      <c r="G118" s="5">
        <f>ROUND(_xlfn.IFNA(VLOOKUP(A118,'Weapon Formulas'!$E$10:$P$115,9,0),weapon_components!G118),2)</f>
        <v>1</v>
      </c>
      <c r="H118" s="5">
        <f>ROUND(_xlfn.IFNA(VLOOKUP(A118,'Weapon Formulas'!$E$10:$L$115,7,0),weapon_components!H118),2)</f>
        <v>-1</v>
      </c>
      <c r="I118">
        <v>2</v>
      </c>
      <c r="J118">
        <v>15</v>
      </c>
      <c r="K118">
        <v>75</v>
      </c>
      <c r="L118" s="5">
        <f>ROUND(_xlfn.IFNA(VLOOKUP(A118,'Weapon Formulas'!$E$10:$Z$115,15,0),weapon_components!L118),2)</f>
        <v>72</v>
      </c>
      <c r="M118">
        <v>1</v>
      </c>
      <c r="N118" s="5">
        <f>ROUND(_xlfn.IFNA(VLOOKUP(A118,'Weapon Formulas'!$E$10:$W$115,16,0),weapon_components!N118),2)</f>
        <v>7.5</v>
      </c>
    </row>
    <row r="119" spans="1:14" x14ac:dyDescent="0.25">
      <c r="A119" s="15" t="s">
        <v>123</v>
      </c>
      <c r="B119">
        <v>12.5</v>
      </c>
      <c r="C119" s="5">
        <f>ROUND(_xlfn.IFNA(VLOOKUP(A119,'Weapon Formulas'!$E$10:$V$115,17,0),weapon_components!C119),2)</f>
        <v>-53.33</v>
      </c>
      <c r="D119" s="5">
        <f>ROUND(_xlfn.IFNA(VLOOKUP(A119,'Weapon Formulas'!$E$10:$Q$115,11,0),weapon_components!D119),2)</f>
        <v>109.59</v>
      </c>
      <c r="E119" s="5">
        <f>ROUND(_xlfn.IFNA(VLOOKUP(A119,'Weapon Formulas'!$E$10:$Q$115,12,0),weapon_components!E119),2)</f>
        <v>182.66</v>
      </c>
      <c r="F119" s="5">
        <f>ROUND(_xlfn.IFNA(VLOOKUP(A119,'Weapon Formulas'!$E$10:$L$115,8,0),weapon_components!F119),2)</f>
        <v>0</v>
      </c>
      <c r="G119" s="5">
        <f>ROUND(_xlfn.IFNA(VLOOKUP(A119,'Weapon Formulas'!$E$10:$P$115,9,0),weapon_components!G119),2)</f>
        <v>1</v>
      </c>
      <c r="H119" s="5">
        <f>ROUND(_xlfn.IFNA(VLOOKUP(A119,'Weapon Formulas'!$E$10:$L$115,7,0),weapon_components!H119),2)</f>
        <v>-0.37</v>
      </c>
      <c r="I119">
        <v>2</v>
      </c>
      <c r="J119">
        <v>15</v>
      </c>
      <c r="K119">
        <v>75</v>
      </c>
      <c r="L119" s="5">
        <f>ROUND(_xlfn.IFNA(VLOOKUP(A119,'Weapon Formulas'!$E$10:$Z$115,15,0),weapon_components!L119),2)</f>
        <v>48</v>
      </c>
      <c r="M119">
        <v>1</v>
      </c>
      <c r="N119" s="5">
        <f>ROUND(_xlfn.IFNA(VLOOKUP(A119,'Weapon Formulas'!$E$10:$W$115,16,0),weapon_components!N119),2)</f>
        <v>10</v>
      </c>
    </row>
    <row r="120" spans="1:14" x14ac:dyDescent="0.25">
      <c r="A120" s="15" t="s">
        <v>124</v>
      </c>
      <c r="B120">
        <v>25</v>
      </c>
      <c r="C120" s="5">
        <f>ROUND(_xlfn.IFNA(VLOOKUP(A120,'Weapon Formulas'!$E$10:$V$115,17,0),weapon_components!C120),2)</f>
        <v>-106.67</v>
      </c>
      <c r="D120" s="5">
        <f>ROUND(_xlfn.IFNA(VLOOKUP(A120,'Weapon Formulas'!$E$10:$Q$115,11,0),weapon_components!D120),2)</f>
        <v>234.84</v>
      </c>
      <c r="E120" s="5">
        <f>ROUND(_xlfn.IFNA(VLOOKUP(A120,'Weapon Formulas'!$E$10:$Q$115,12,0),weapon_components!E120),2)</f>
        <v>391.41</v>
      </c>
      <c r="F120" s="5">
        <f>ROUND(_xlfn.IFNA(VLOOKUP(A120,'Weapon Formulas'!$E$10:$L$115,8,0),weapon_components!F120),2)</f>
        <v>0</v>
      </c>
      <c r="G120" s="5">
        <f>ROUND(_xlfn.IFNA(VLOOKUP(A120,'Weapon Formulas'!$E$10:$P$115,9,0),weapon_components!G120),2)</f>
        <v>1</v>
      </c>
      <c r="H120" s="5">
        <f>ROUND(_xlfn.IFNA(VLOOKUP(A120,'Weapon Formulas'!$E$10:$L$115,7,0),weapon_components!H120),2)</f>
        <v>-0.6</v>
      </c>
      <c r="I120">
        <v>2</v>
      </c>
      <c r="J120">
        <v>15</v>
      </c>
      <c r="K120">
        <v>75</v>
      </c>
      <c r="L120" s="5">
        <f>ROUND(_xlfn.IFNA(VLOOKUP(A120,'Weapon Formulas'!$E$10:$Z$115,15,0),weapon_components!L120),2)</f>
        <v>60</v>
      </c>
      <c r="M120">
        <v>1</v>
      </c>
      <c r="N120" s="5">
        <f>ROUND(_xlfn.IFNA(VLOOKUP(A120,'Weapon Formulas'!$E$10:$W$115,16,0),weapon_components!N120),2)</f>
        <v>10</v>
      </c>
    </row>
    <row r="121" spans="1:14" x14ac:dyDescent="0.25">
      <c r="A121" s="15" t="s">
        <v>125</v>
      </c>
      <c r="B121">
        <v>50</v>
      </c>
      <c r="C121" s="5">
        <f>ROUND(_xlfn.IFNA(VLOOKUP(A121,'Weapon Formulas'!$E$10:$V$115,17,0),weapon_components!C121),2)</f>
        <v>-213.33</v>
      </c>
      <c r="D121" s="5">
        <f>ROUND(_xlfn.IFNA(VLOOKUP(A121,'Weapon Formulas'!$E$10:$Q$115,11,0),weapon_components!D121),2)</f>
        <v>501</v>
      </c>
      <c r="E121" s="5">
        <f>ROUND(_xlfn.IFNA(VLOOKUP(A121,'Weapon Formulas'!$E$10:$Q$115,12,0),weapon_components!E121),2)</f>
        <v>835</v>
      </c>
      <c r="F121" s="5">
        <f>ROUND(_xlfn.IFNA(VLOOKUP(A121,'Weapon Formulas'!$E$10:$L$115,8,0),weapon_components!F121),2)</f>
        <v>0</v>
      </c>
      <c r="G121" s="5">
        <f>ROUND(_xlfn.IFNA(VLOOKUP(A121,'Weapon Formulas'!$E$10:$P$115,9,0),weapon_components!G121),2)</f>
        <v>1</v>
      </c>
      <c r="H121" s="5">
        <f>ROUND(_xlfn.IFNA(VLOOKUP(A121,'Weapon Formulas'!$E$10:$L$115,7,0),weapon_components!H121),2)</f>
        <v>-0.8</v>
      </c>
      <c r="I121">
        <v>2</v>
      </c>
      <c r="J121">
        <v>15</v>
      </c>
      <c r="K121">
        <v>75</v>
      </c>
      <c r="L121" s="5">
        <f>ROUND(_xlfn.IFNA(VLOOKUP(A121,'Weapon Formulas'!$E$10:$Z$115,15,0),weapon_components!L121),2)</f>
        <v>72</v>
      </c>
      <c r="M121">
        <v>1</v>
      </c>
      <c r="N121" s="5">
        <f>ROUND(_xlfn.IFNA(VLOOKUP(A121,'Weapon Formulas'!$E$10:$W$115,16,0),weapon_components!N121),2)</f>
        <v>10</v>
      </c>
    </row>
    <row r="122" spans="1:14" x14ac:dyDescent="0.25">
      <c r="A122" s="15" t="s">
        <v>126</v>
      </c>
      <c r="C122" s="5"/>
      <c r="D122" s="5"/>
      <c r="E122" s="5"/>
      <c r="F122" s="5"/>
      <c r="G122" s="5"/>
      <c r="H122" s="5"/>
      <c r="L122" s="5"/>
      <c r="N122" s="5"/>
    </row>
    <row r="123" spans="1:14" x14ac:dyDescent="0.25">
      <c r="A123" s="15" t="s">
        <v>127</v>
      </c>
      <c r="B123">
        <v>40</v>
      </c>
      <c r="C123" s="5">
        <f>ROUND(_xlfn.IFNA(VLOOKUP(A123,'Weapon Formulas'!$E$10:$V$115,17,0),weapon_components!C123),2)</f>
        <v>-106.67</v>
      </c>
      <c r="D123" s="5">
        <f>ROUND(_xlfn.IFNA(VLOOKUP(A123,'Weapon Formulas'!$E$10:$Q$115,11,0),weapon_components!D123),2)</f>
        <v>105</v>
      </c>
      <c r="E123" s="5">
        <f>ROUND(_xlfn.IFNA(VLOOKUP(A123,'Weapon Formulas'!$E$10:$Q$115,12,0),weapon_components!E123),2)</f>
        <v>175</v>
      </c>
      <c r="F123" s="5">
        <f>ROUND(_xlfn.IFNA(VLOOKUP(A123,'Weapon Formulas'!$E$10:$L$115,8,0),weapon_components!F123),2)</f>
        <v>0</v>
      </c>
      <c r="G123" s="5">
        <f>ROUND(_xlfn.IFNA(VLOOKUP(A123,'Weapon Formulas'!$E$10:$P$115,9,0),weapon_components!G123),2)</f>
        <v>1</v>
      </c>
      <c r="H123" s="5">
        <f>ROUND(_xlfn.IFNA(VLOOKUP(A123,'Weapon Formulas'!$E$10:$L$115,7,0),weapon_components!H123),2)</f>
        <v>-1.19</v>
      </c>
      <c r="I123">
        <v>2</v>
      </c>
      <c r="J123">
        <v>8</v>
      </c>
      <c r="K123">
        <v>20</v>
      </c>
      <c r="L123" s="5">
        <f>ROUND(_xlfn.IFNA(VLOOKUP(A123,'Weapon Formulas'!$E$10:$Z$115,15,0),weapon_components!L123),2)</f>
        <v>60</v>
      </c>
      <c r="M123">
        <v>1</v>
      </c>
      <c r="N123" s="5">
        <f>ROUND(_xlfn.IFNA(VLOOKUP(A123,'Weapon Formulas'!$E$10:$W$115,16,0),weapon_components!N123),2)</f>
        <v>7.5</v>
      </c>
    </row>
    <row r="124" spans="1:14" x14ac:dyDescent="0.25">
      <c r="A124" s="15" t="s">
        <v>128</v>
      </c>
      <c r="B124">
        <v>50</v>
      </c>
      <c r="C124" s="5">
        <f>ROUND(_xlfn.IFNA(VLOOKUP(A124,'Weapon Formulas'!$E$10:$V$115,17,0),weapon_components!C124),2)</f>
        <v>-213.33</v>
      </c>
      <c r="D124" s="5">
        <f>ROUND(_xlfn.IFNA(VLOOKUP(A124,'Weapon Formulas'!$E$10:$Q$115,11,0),weapon_components!D124),2)</f>
        <v>140.63</v>
      </c>
      <c r="E124" s="5">
        <f>ROUND(_xlfn.IFNA(VLOOKUP(A124,'Weapon Formulas'!$E$10:$Q$115,12,0),weapon_components!E124),2)</f>
        <v>234.38</v>
      </c>
      <c r="F124" s="5">
        <f>ROUND(_xlfn.IFNA(VLOOKUP(A124,'Weapon Formulas'!$E$10:$L$115,8,0),weapon_components!F124),2)</f>
        <v>0</v>
      </c>
      <c r="G124" s="5">
        <f>ROUND(_xlfn.IFNA(VLOOKUP(A124,'Weapon Formulas'!$E$10:$P$115,9,0),weapon_components!G124),2)</f>
        <v>1</v>
      </c>
      <c r="H124" s="5">
        <f>ROUND(_xlfn.IFNA(VLOOKUP(A124,'Weapon Formulas'!$E$10:$L$115,7,0),weapon_components!H124),2)</f>
        <v>-0.96</v>
      </c>
      <c r="I124">
        <v>2</v>
      </c>
      <c r="J124">
        <v>8</v>
      </c>
      <c r="K124">
        <v>20</v>
      </c>
      <c r="L124" s="5">
        <f>ROUND(_xlfn.IFNA(VLOOKUP(A124,'Weapon Formulas'!$E$10:$Z$115,15,0),weapon_components!L124),2)</f>
        <v>60</v>
      </c>
      <c r="M124">
        <v>1</v>
      </c>
      <c r="N124" s="5">
        <f>ROUND(_xlfn.IFNA(VLOOKUP(A124,'Weapon Formulas'!$E$10:$W$115,16,0),weapon_components!N124),2)</f>
        <v>10</v>
      </c>
    </row>
    <row r="125" spans="1:14" x14ac:dyDescent="0.25">
      <c r="A125" s="15" t="s">
        <v>161</v>
      </c>
      <c r="C125" s="5"/>
      <c r="D125" s="5"/>
      <c r="E125" s="5"/>
      <c r="F125" s="5"/>
      <c r="G125" s="5"/>
      <c r="H125" s="5"/>
      <c r="L125" s="5"/>
      <c r="N125" s="5"/>
    </row>
    <row r="126" spans="1:14" x14ac:dyDescent="0.25">
      <c r="A126" s="15" t="s">
        <v>162</v>
      </c>
      <c r="B126">
        <v>5</v>
      </c>
      <c r="C126" s="5">
        <f>ROUND(_xlfn.IFNA(VLOOKUP(A126,'Weapon Formulas'!$E$10:$V$115,17,0),weapon_components!C126),2)</f>
        <v>-5</v>
      </c>
      <c r="D126" s="5">
        <f>ROUND(_xlfn.IFNA(VLOOKUP(A126,'Weapon Formulas'!$E$10:$Q$115,11,0),weapon_components!D126),2)</f>
        <v>6</v>
      </c>
      <c r="E126" s="5">
        <f>ROUND(_xlfn.IFNA(VLOOKUP(A126,'Weapon Formulas'!$E$10:$Q$115,12,0),weapon_components!E126),2)</f>
        <v>12</v>
      </c>
      <c r="F126" s="5">
        <f>ROUND(_xlfn.IFNA(VLOOKUP(A126,'Weapon Formulas'!$E$10:$L$115,8,0),weapon_components!F126),2)</f>
        <v>1</v>
      </c>
      <c r="G126" s="5">
        <f>ROUND(_xlfn.IFNA(VLOOKUP(A126,'Weapon Formulas'!$E$10:$P$115,9,0),weapon_components!G126),2)</f>
        <v>0</v>
      </c>
      <c r="H126" s="5">
        <f>ROUND(_xlfn.IFNA(VLOOKUP(A126,'Weapon Formulas'!$E$10:$L$115,7,0),weapon_components!H126),2)</f>
        <v>0.5</v>
      </c>
      <c r="I126">
        <v>2</v>
      </c>
      <c r="J126">
        <v>25</v>
      </c>
      <c r="K126">
        <v>30</v>
      </c>
      <c r="L126" s="5">
        <f>ROUND(_xlfn.IFNA(VLOOKUP(A126,'Weapon Formulas'!$E$10:$Z$115,15,0),weapon_components!L126),2)</f>
        <v>20</v>
      </c>
      <c r="M126">
        <v>0.75</v>
      </c>
      <c r="N126" s="5">
        <f>ROUND(_xlfn.IFNA(VLOOKUP(A126,'Weapon Formulas'!$E$10:$W$115,16,0),weapon_components!N126),2)</f>
        <v>0</v>
      </c>
    </row>
    <row r="127" spans="1:14" x14ac:dyDescent="0.25">
      <c r="A127" s="15" t="s">
        <v>163</v>
      </c>
      <c r="B127">
        <v>20</v>
      </c>
      <c r="C127" s="5">
        <f>ROUND(_xlfn.IFNA(VLOOKUP(A127,'Weapon Formulas'!$E$10:$V$115,17,0),weapon_components!C127),2)</f>
        <v>-20</v>
      </c>
      <c r="D127" s="5">
        <f>ROUND(_xlfn.IFNA(VLOOKUP(A127,'Weapon Formulas'!$E$10:$Q$115,11,0),weapon_components!D127),2)</f>
        <v>32</v>
      </c>
      <c r="E127" s="5">
        <f>ROUND(_xlfn.IFNA(VLOOKUP(A127,'Weapon Formulas'!$E$10:$Q$115,12,0),weapon_components!E127),2)</f>
        <v>47</v>
      </c>
      <c r="F127" s="5">
        <f>ROUND(_xlfn.IFNA(VLOOKUP(A127,'Weapon Formulas'!$E$10:$L$115,8,0),weapon_components!F127),2)</f>
        <v>1</v>
      </c>
      <c r="G127" s="5">
        <f>ROUND(_xlfn.IFNA(VLOOKUP(A127,'Weapon Formulas'!$E$10:$P$115,9,0),weapon_components!G127),2)</f>
        <v>0</v>
      </c>
      <c r="H127" s="5">
        <f>ROUND(_xlfn.IFNA(VLOOKUP(A127,'Weapon Formulas'!$E$10:$L$115,7,0),weapon_components!H127),2)</f>
        <v>0.5</v>
      </c>
      <c r="I127">
        <v>2</v>
      </c>
      <c r="J127">
        <v>25</v>
      </c>
      <c r="K127">
        <v>30</v>
      </c>
      <c r="L127" s="5">
        <f>ROUND(_xlfn.IFNA(VLOOKUP(A127,'Weapon Formulas'!$E$10:$Z$115,15,0),weapon_components!L127),2)</f>
        <v>40</v>
      </c>
      <c r="M127">
        <v>0.7</v>
      </c>
      <c r="N127" s="5">
        <f>ROUND(_xlfn.IFNA(VLOOKUP(A127,'Weapon Formulas'!$E$10:$W$115,16,0),weapon_components!N127),2)</f>
        <v>0</v>
      </c>
    </row>
    <row r="128" spans="1:14" x14ac:dyDescent="0.25">
      <c r="A128" s="15" t="s">
        <v>164</v>
      </c>
      <c r="C128" s="5"/>
      <c r="D128" s="5"/>
      <c r="E128" s="5"/>
      <c r="F128" s="5"/>
      <c r="G128" s="5"/>
      <c r="H128" s="5"/>
      <c r="L128" s="5"/>
      <c r="N128" s="5"/>
    </row>
    <row r="129" spans="1:14" x14ac:dyDescent="0.25">
      <c r="A129" s="15" t="s">
        <v>165</v>
      </c>
      <c r="B129">
        <v>2.5</v>
      </c>
      <c r="C129" s="5">
        <f>ROUND(_xlfn.IFNA(VLOOKUP(A129,'Weapon Formulas'!$E$10:$V$115,17,0),weapon_components!C129),2)</f>
        <v>-2.5</v>
      </c>
      <c r="D129" s="5">
        <f>ROUND(_xlfn.IFNA(VLOOKUP(A129,'Weapon Formulas'!$E$10:$Q$115,11,0),weapon_components!D129),2)</f>
        <v>5</v>
      </c>
      <c r="E129" s="5">
        <f>ROUND(_xlfn.IFNA(VLOOKUP(A129,'Weapon Formulas'!$E$10:$Q$115,12,0),weapon_components!E129),2)</f>
        <v>11</v>
      </c>
      <c r="F129" s="5">
        <f>ROUND(_xlfn.IFNA(VLOOKUP(A129,'Weapon Formulas'!$E$10:$L$115,8,0),weapon_components!F129),2)</f>
        <v>1</v>
      </c>
      <c r="G129" s="5">
        <f>ROUND(_xlfn.IFNA(VLOOKUP(A129,'Weapon Formulas'!$E$10:$P$115,9,0),weapon_components!G129),2)</f>
        <v>0</v>
      </c>
      <c r="H129" s="5">
        <f>ROUND(_xlfn.IFNA(VLOOKUP(A129,'Weapon Formulas'!$E$10:$L$115,7,0),weapon_components!H129),2)</f>
        <v>0.5</v>
      </c>
      <c r="I129">
        <v>2</v>
      </c>
      <c r="J129">
        <v>25</v>
      </c>
      <c r="K129">
        <v>30</v>
      </c>
      <c r="L129" s="5">
        <f>ROUND(_xlfn.IFNA(VLOOKUP(A129,'Weapon Formulas'!$E$10:$Z$115,15,0),weapon_components!L129),2)</f>
        <v>10</v>
      </c>
      <c r="M129">
        <v>0.75</v>
      </c>
      <c r="N129" s="5">
        <f>ROUND(_xlfn.IFNA(VLOOKUP(A129,'Weapon Formulas'!$E$10:$W$115,16,0),weapon_components!N129),2)</f>
        <v>0</v>
      </c>
    </row>
    <row r="130" spans="1:14" x14ac:dyDescent="0.25">
      <c r="A130" s="15" t="s">
        <v>166</v>
      </c>
      <c r="B130">
        <v>5</v>
      </c>
      <c r="C130" s="5">
        <f>ROUND(_xlfn.IFNA(VLOOKUP(A130,'Weapon Formulas'!$E$10:$V$115,17,0),weapon_components!C130),2)</f>
        <v>-5</v>
      </c>
      <c r="D130" s="5">
        <f>ROUND(_xlfn.IFNA(VLOOKUP(A130,'Weapon Formulas'!$E$10:$Q$115,11,0),weapon_components!D130),2)</f>
        <v>13</v>
      </c>
      <c r="E130" s="5">
        <f>ROUND(_xlfn.IFNA(VLOOKUP(A130,'Weapon Formulas'!$E$10:$Q$115,12,0),weapon_components!E130),2)</f>
        <v>19</v>
      </c>
      <c r="F130" s="5">
        <f>ROUND(_xlfn.IFNA(VLOOKUP(A130,'Weapon Formulas'!$E$10:$L$115,8,0),weapon_components!F130),2)</f>
        <v>1</v>
      </c>
      <c r="G130" s="5">
        <f>ROUND(_xlfn.IFNA(VLOOKUP(A130,'Weapon Formulas'!$E$10:$P$115,9,0),weapon_components!G130),2)</f>
        <v>0</v>
      </c>
      <c r="H130" s="5">
        <f>ROUND(_xlfn.IFNA(VLOOKUP(A130,'Weapon Formulas'!$E$10:$L$115,7,0),weapon_components!H130),2)</f>
        <v>0.5</v>
      </c>
      <c r="I130">
        <v>2</v>
      </c>
      <c r="J130">
        <v>25</v>
      </c>
      <c r="K130">
        <v>30</v>
      </c>
      <c r="L130" s="5">
        <f>ROUND(_xlfn.IFNA(VLOOKUP(A130,'Weapon Formulas'!$E$10:$Z$115,15,0),weapon_components!L130),2)</f>
        <v>30</v>
      </c>
      <c r="M130">
        <v>0.7</v>
      </c>
      <c r="N130" s="5">
        <f>ROUND(_xlfn.IFNA(VLOOKUP(A130,'Weapon Formulas'!$E$10:$W$115,16,0),weapon_components!N130),2)</f>
        <v>0</v>
      </c>
    </row>
    <row r="131" spans="1:14" x14ac:dyDescent="0.25">
      <c r="A131" s="15" t="s">
        <v>167</v>
      </c>
      <c r="B131">
        <v>10</v>
      </c>
      <c r="C131" s="5">
        <f>ROUND(_xlfn.IFNA(VLOOKUP(A131,'Weapon Formulas'!$E$10:$V$115,17,0),weapon_components!C131),2)</f>
        <v>-10</v>
      </c>
      <c r="D131" s="5">
        <f>ROUND(_xlfn.IFNA(VLOOKUP(A131,'Weapon Formulas'!$E$10:$Q$115,11,0),weapon_components!D131),2)</f>
        <v>25</v>
      </c>
      <c r="E131" s="5">
        <f>ROUND(_xlfn.IFNA(VLOOKUP(A131,'Weapon Formulas'!$E$10:$Q$115,12,0),weapon_components!E131),2)</f>
        <v>43</v>
      </c>
      <c r="F131" s="5">
        <f>ROUND(_xlfn.IFNA(VLOOKUP(A131,'Weapon Formulas'!$E$10:$L$115,8,0),weapon_components!F131),2)</f>
        <v>1</v>
      </c>
      <c r="G131" s="5">
        <f>ROUND(_xlfn.IFNA(VLOOKUP(A131,'Weapon Formulas'!$E$10:$P$115,9,0),weapon_components!G131),2)</f>
        <v>0</v>
      </c>
      <c r="H131" s="5">
        <f>ROUND(_xlfn.IFNA(VLOOKUP(A131,'Weapon Formulas'!$E$10:$L$115,7,0),weapon_components!H131),2)</f>
        <v>0.5</v>
      </c>
      <c r="I131">
        <v>2</v>
      </c>
      <c r="J131">
        <v>25</v>
      </c>
      <c r="K131">
        <v>30</v>
      </c>
      <c r="L131" s="5">
        <f>ROUND(_xlfn.IFNA(VLOOKUP(A131,'Weapon Formulas'!$E$10:$Z$115,15,0),weapon_components!L131),2)</f>
        <v>40</v>
      </c>
      <c r="M131">
        <v>0.65</v>
      </c>
      <c r="N131" s="5">
        <f>ROUND(_xlfn.IFNA(VLOOKUP(A131,'Weapon Formulas'!$E$10:$W$115,16,0),weapon_components!N131),2)</f>
        <v>0</v>
      </c>
    </row>
    <row r="132" spans="1:14" x14ac:dyDescent="0.25">
      <c r="A132" s="15" t="s">
        <v>168</v>
      </c>
      <c r="B132">
        <v>5</v>
      </c>
      <c r="C132" s="5">
        <f>ROUND(_xlfn.IFNA(VLOOKUP(A132,'Weapon Formulas'!$E$10:$V$115,17,0),weapon_components!C132),2)</f>
        <v>-5</v>
      </c>
      <c r="D132" s="5">
        <f>ROUND(_xlfn.IFNA(VLOOKUP(A132,'Weapon Formulas'!$E$10:$Q$115,11,0),weapon_components!D132),2)</f>
        <v>6</v>
      </c>
      <c r="E132" s="5">
        <f>ROUND(_xlfn.IFNA(VLOOKUP(A132,'Weapon Formulas'!$E$10:$Q$115,12,0),weapon_components!E132),2)</f>
        <v>13</v>
      </c>
      <c r="F132" s="5">
        <f>ROUND(_xlfn.IFNA(VLOOKUP(A132,'Weapon Formulas'!$E$10:$L$115,8,0),weapon_components!F132),2)</f>
        <v>1</v>
      </c>
      <c r="G132" s="5">
        <f>ROUND(_xlfn.IFNA(VLOOKUP(A132,'Weapon Formulas'!$E$10:$P$115,9,0),weapon_components!G132),2)</f>
        <v>0</v>
      </c>
      <c r="H132" s="5">
        <f>ROUND(_xlfn.IFNA(VLOOKUP(A132,'Weapon Formulas'!$E$10:$L$115,7,0),weapon_components!H132),2)</f>
        <v>0.5</v>
      </c>
      <c r="I132">
        <v>2</v>
      </c>
      <c r="J132">
        <v>25</v>
      </c>
      <c r="K132">
        <v>30</v>
      </c>
      <c r="L132" s="5">
        <f>ROUND(_xlfn.IFNA(VLOOKUP(A132,'Weapon Formulas'!$E$10:$Z$115,15,0),weapon_components!L132),2)</f>
        <v>10</v>
      </c>
      <c r="M132">
        <v>0.75</v>
      </c>
      <c r="N132" s="5">
        <f>ROUND(_xlfn.IFNA(VLOOKUP(A132,'Weapon Formulas'!$E$10:$W$115,16,0),weapon_components!N132),2)</f>
        <v>0</v>
      </c>
    </row>
    <row r="133" spans="1:14" x14ac:dyDescent="0.25">
      <c r="A133" s="15" t="s">
        <v>169</v>
      </c>
      <c r="B133">
        <v>10</v>
      </c>
      <c r="C133" s="5">
        <f>ROUND(_xlfn.IFNA(VLOOKUP(A133,'Weapon Formulas'!$E$10:$V$115,17,0),weapon_components!C133),2)</f>
        <v>-10</v>
      </c>
      <c r="D133" s="5">
        <f>ROUND(_xlfn.IFNA(VLOOKUP(A133,'Weapon Formulas'!$E$10:$Q$115,11,0),weapon_components!D133),2)</f>
        <v>15</v>
      </c>
      <c r="E133" s="5">
        <f>ROUND(_xlfn.IFNA(VLOOKUP(A133,'Weapon Formulas'!$E$10:$Q$115,12,0),weapon_components!E133),2)</f>
        <v>23</v>
      </c>
      <c r="F133" s="5">
        <f>ROUND(_xlfn.IFNA(VLOOKUP(A133,'Weapon Formulas'!$E$10:$L$115,8,0),weapon_components!F133),2)</f>
        <v>1</v>
      </c>
      <c r="G133" s="5">
        <f>ROUND(_xlfn.IFNA(VLOOKUP(A133,'Weapon Formulas'!$E$10:$P$115,9,0),weapon_components!G133),2)</f>
        <v>0</v>
      </c>
      <c r="H133" s="5">
        <f>ROUND(_xlfn.IFNA(VLOOKUP(A133,'Weapon Formulas'!$E$10:$L$115,7,0),weapon_components!H133),2)</f>
        <v>0.5</v>
      </c>
      <c r="I133">
        <v>2</v>
      </c>
      <c r="J133">
        <v>25</v>
      </c>
      <c r="K133">
        <v>30</v>
      </c>
      <c r="L133" s="5">
        <f>ROUND(_xlfn.IFNA(VLOOKUP(A133,'Weapon Formulas'!$E$10:$Z$115,15,0),weapon_components!L133),2)</f>
        <v>30</v>
      </c>
      <c r="M133">
        <v>0.7</v>
      </c>
      <c r="N133" s="5">
        <f>ROUND(_xlfn.IFNA(VLOOKUP(A133,'Weapon Formulas'!$E$10:$W$115,16,0),weapon_components!N133),2)</f>
        <v>0</v>
      </c>
    </row>
    <row r="134" spans="1:14" x14ac:dyDescent="0.25">
      <c r="A134" s="15" t="s">
        <v>170</v>
      </c>
      <c r="B134">
        <v>20</v>
      </c>
      <c r="C134" s="5">
        <f>ROUND(_xlfn.IFNA(VLOOKUP(A134,'Weapon Formulas'!$E$10:$V$115,17,0),weapon_components!C134),2)</f>
        <v>-20</v>
      </c>
      <c r="D134" s="5">
        <f>ROUND(_xlfn.IFNA(VLOOKUP(A134,'Weapon Formulas'!$E$10:$Q$115,11,0),weapon_components!D134),2)</f>
        <v>32</v>
      </c>
      <c r="E134" s="5">
        <f>ROUND(_xlfn.IFNA(VLOOKUP(A134,'Weapon Formulas'!$E$10:$Q$115,12,0),weapon_components!E134),2)</f>
        <v>49</v>
      </c>
      <c r="F134" s="5">
        <f>ROUND(_xlfn.IFNA(VLOOKUP(A134,'Weapon Formulas'!$E$10:$L$115,8,0),weapon_components!F134),2)</f>
        <v>1</v>
      </c>
      <c r="G134" s="5">
        <f>ROUND(_xlfn.IFNA(VLOOKUP(A134,'Weapon Formulas'!$E$10:$P$115,9,0),weapon_components!G134),2)</f>
        <v>0</v>
      </c>
      <c r="H134" s="5">
        <f>ROUND(_xlfn.IFNA(VLOOKUP(A134,'Weapon Formulas'!$E$10:$L$115,7,0),weapon_components!H134),2)</f>
        <v>0.5</v>
      </c>
      <c r="I134">
        <v>2</v>
      </c>
      <c r="J134">
        <v>25</v>
      </c>
      <c r="K134">
        <v>30</v>
      </c>
      <c r="L134" s="5">
        <f>ROUND(_xlfn.IFNA(VLOOKUP(A134,'Weapon Formulas'!$E$10:$Z$115,15,0),weapon_components!L134),2)</f>
        <v>40</v>
      </c>
      <c r="M134">
        <v>0.65</v>
      </c>
      <c r="N134" s="5">
        <f>ROUND(_xlfn.IFNA(VLOOKUP(A134,'Weapon Formulas'!$E$10:$W$115,16,0),weapon_components!N134),2)</f>
        <v>0</v>
      </c>
    </row>
    <row r="135" spans="1:14" x14ac:dyDescent="0.25">
      <c r="A135" s="15" t="s">
        <v>171</v>
      </c>
      <c r="B135">
        <v>7.5</v>
      </c>
      <c r="C135" s="5">
        <f>ROUND(_xlfn.IFNA(VLOOKUP(A135,'Weapon Formulas'!$E$10:$V$115,17,0),weapon_components!C135),2)</f>
        <v>-7.5</v>
      </c>
      <c r="D135" s="5">
        <f>ROUND(_xlfn.IFNA(VLOOKUP(A135,'Weapon Formulas'!$E$10:$Q$115,11,0),weapon_components!D135),2)</f>
        <v>8</v>
      </c>
      <c r="E135" s="5">
        <f>ROUND(_xlfn.IFNA(VLOOKUP(A135,'Weapon Formulas'!$E$10:$Q$115,12,0),weapon_components!E135),2)</f>
        <v>14</v>
      </c>
      <c r="F135" s="5">
        <f>ROUND(_xlfn.IFNA(VLOOKUP(A135,'Weapon Formulas'!$E$10:$L$115,8,0),weapon_components!F135),2)</f>
        <v>1</v>
      </c>
      <c r="G135" s="5">
        <f>ROUND(_xlfn.IFNA(VLOOKUP(A135,'Weapon Formulas'!$E$10:$P$115,9,0),weapon_components!G135),2)</f>
        <v>0</v>
      </c>
      <c r="H135" s="5">
        <f>ROUND(_xlfn.IFNA(VLOOKUP(A135,'Weapon Formulas'!$E$10:$L$115,7,0),weapon_components!H135),2)</f>
        <v>0.5</v>
      </c>
      <c r="I135">
        <v>2</v>
      </c>
      <c r="J135">
        <v>25</v>
      </c>
      <c r="K135">
        <v>30</v>
      </c>
      <c r="L135" s="5">
        <f>ROUND(_xlfn.IFNA(VLOOKUP(A135,'Weapon Formulas'!$E$10:$Z$115,15,0),weapon_components!L135),2)</f>
        <v>10</v>
      </c>
      <c r="M135">
        <v>0.75</v>
      </c>
      <c r="N135" s="5">
        <f>ROUND(_xlfn.IFNA(VLOOKUP(A135,'Weapon Formulas'!$E$10:$W$115,16,0),weapon_components!N135),2)</f>
        <v>0</v>
      </c>
    </row>
    <row r="136" spans="1:14" x14ac:dyDescent="0.25">
      <c r="A136" s="15" t="s">
        <v>172</v>
      </c>
      <c r="B136">
        <v>15</v>
      </c>
      <c r="C136" s="5">
        <f>ROUND(_xlfn.IFNA(VLOOKUP(A136,'Weapon Formulas'!$E$10:$V$115,17,0),weapon_components!C136),2)</f>
        <v>-15</v>
      </c>
      <c r="D136" s="5">
        <f>ROUND(_xlfn.IFNA(VLOOKUP(A136,'Weapon Formulas'!$E$10:$Q$115,11,0),weapon_components!D136),2)</f>
        <v>16</v>
      </c>
      <c r="E136" s="5">
        <f>ROUND(_xlfn.IFNA(VLOOKUP(A136,'Weapon Formulas'!$E$10:$Q$115,12,0),weapon_components!E136),2)</f>
        <v>28</v>
      </c>
      <c r="F136" s="5">
        <f>ROUND(_xlfn.IFNA(VLOOKUP(A136,'Weapon Formulas'!$E$10:$L$115,8,0),weapon_components!F136),2)</f>
        <v>1</v>
      </c>
      <c r="G136" s="5">
        <f>ROUND(_xlfn.IFNA(VLOOKUP(A136,'Weapon Formulas'!$E$10:$P$115,9,0),weapon_components!G136),2)</f>
        <v>0</v>
      </c>
      <c r="H136" s="5">
        <f>ROUND(_xlfn.IFNA(VLOOKUP(A136,'Weapon Formulas'!$E$10:$L$115,7,0),weapon_components!H136),2)</f>
        <v>0.5</v>
      </c>
      <c r="I136">
        <v>2</v>
      </c>
      <c r="J136">
        <v>25</v>
      </c>
      <c r="K136">
        <v>30</v>
      </c>
      <c r="L136" s="5">
        <f>ROUND(_xlfn.IFNA(VLOOKUP(A136,'Weapon Formulas'!$E$10:$Z$115,15,0),weapon_components!L136),2)</f>
        <v>30</v>
      </c>
      <c r="M136">
        <v>0.7</v>
      </c>
      <c r="N136" s="5">
        <f>ROUND(_xlfn.IFNA(VLOOKUP(A136,'Weapon Formulas'!$E$10:$W$115,16,0),weapon_components!N136),2)</f>
        <v>0</v>
      </c>
    </row>
    <row r="137" spans="1:14" x14ac:dyDescent="0.25">
      <c r="A137" s="15" t="s">
        <v>173</v>
      </c>
      <c r="B137">
        <v>30</v>
      </c>
      <c r="C137" s="5">
        <f>ROUND(_xlfn.IFNA(VLOOKUP(A137,'Weapon Formulas'!$E$10:$V$115,17,0),weapon_components!C137),2)</f>
        <v>-30</v>
      </c>
      <c r="D137" s="5">
        <f>ROUND(_xlfn.IFNA(VLOOKUP(A137,'Weapon Formulas'!$E$10:$Q$115,11,0),weapon_components!D137),2)</f>
        <v>35</v>
      </c>
      <c r="E137" s="5">
        <f>ROUND(_xlfn.IFNA(VLOOKUP(A137,'Weapon Formulas'!$E$10:$Q$115,12,0),weapon_components!E137),2)</f>
        <v>59</v>
      </c>
      <c r="F137" s="5">
        <f>ROUND(_xlfn.IFNA(VLOOKUP(A137,'Weapon Formulas'!$E$10:$L$115,8,0),weapon_components!F137),2)</f>
        <v>1</v>
      </c>
      <c r="G137" s="5">
        <f>ROUND(_xlfn.IFNA(VLOOKUP(A137,'Weapon Formulas'!$E$10:$P$115,9,0),weapon_components!G137),2)</f>
        <v>0</v>
      </c>
      <c r="H137" s="5">
        <f>ROUND(_xlfn.IFNA(VLOOKUP(A137,'Weapon Formulas'!$E$10:$L$115,7,0),weapon_components!H137),2)</f>
        <v>0.5</v>
      </c>
      <c r="I137">
        <v>2</v>
      </c>
      <c r="J137">
        <v>25</v>
      </c>
      <c r="K137">
        <v>30</v>
      </c>
      <c r="L137" s="5">
        <f>ROUND(_xlfn.IFNA(VLOOKUP(A137,'Weapon Formulas'!$E$10:$Z$115,15,0),weapon_components!L137),2)</f>
        <v>40</v>
      </c>
      <c r="M137">
        <v>0.65</v>
      </c>
      <c r="N137" s="5">
        <f>ROUND(_xlfn.IFNA(VLOOKUP(A137,'Weapon Formulas'!$E$10:$W$115,16,0),weapon_components!N137),2)</f>
        <v>0</v>
      </c>
    </row>
    <row r="138" spans="1:14" x14ac:dyDescent="0.25">
      <c r="A138" s="15" t="s">
        <v>174</v>
      </c>
      <c r="B138">
        <v>10</v>
      </c>
      <c r="C138" s="5">
        <f>ROUND(_xlfn.IFNA(VLOOKUP(A138,'Weapon Formulas'!$E$10:$V$115,17,0),weapon_components!C138),2)</f>
        <v>-10</v>
      </c>
      <c r="D138" s="5">
        <f>ROUND(_xlfn.IFNA(VLOOKUP(A138,'Weapon Formulas'!$E$10:$Q$115,11,0),weapon_components!D138),2)</f>
        <v>9</v>
      </c>
      <c r="E138" s="5">
        <f>ROUND(_xlfn.IFNA(VLOOKUP(A138,'Weapon Formulas'!$E$10:$Q$115,12,0),weapon_components!E138),2)</f>
        <v>16</v>
      </c>
      <c r="F138" s="5">
        <f>ROUND(_xlfn.IFNA(VLOOKUP(A138,'Weapon Formulas'!$E$10:$L$115,8,0),weapon_components!F138),2)</f>
        <v>1</v>
      </c>
      <c r="G138" s="5">
        <f>ROUND(_xlfn.IFNA(VLOOKUP(A138,'Weapon Formulas'!$E$10:$P$115,9,0),weapon_components!G138),2)</f>
        <v>0</v>
      </c>
      <c r="H138" s="5">
        <f>ROUND(_xlfn.IFNA(VLOOKUP(A138,'Weapon Formulas'!$E$10:$L$115,7,0),weapon_components!H138),2)</f>
        <v>0.5</v>
      </c>
      <c r="I138">
        <v>2</v>
      </c>
      <c r="J138">
        <v>25</v>
      </c>
      <c r="K138">
        <v>30</v>
      </c>
      <c r="L138" s="5">
        <f>ROUND(_xlfn.IFNA(VLOOKUP(A138,'Weapon Formulas'!$E$10:$Z$115,15,0),weapon_components!L138),2)</f>
        <v>10</v>
      </c>
      <c r="M138">
        <v>0.75</v>
      </c>
      <c r="N138" s="5">
        <f>ROUND(_xlfn.IFNA(VLOOKUP(A138,'Weapon Formulas'!$E$10:$W$115,16,0),weapon_components!N138),2)</f>
        <v>0</v>
      </c>
    </row>
    <row r="139" spans="1:14" x14ac:dyDescent="0.25">
      <c r="A139" s="15" t="s">
        <v>175</v>
      </c>
      <c r="B139">
        <v>20</v>
      </c>
      <c r="C139" s="5">
        <f>ROUND(_xlfn.IFNA(VLOOKUP(A139,'Weapon Formulas'!$E$10:$V$115,17,0),weapon_components!C139),2)</f>
        <v>-20</v>
      </c>
      <c r="D139" s="5">
        <f>ROUND(_xlfn.IFNA(VLOOKUP(A139,'Weapon Formulas'!$E$10:$Q$115,11,0),weapon_components!D139),2)</f>
        <v>18</v>
      </c>
      <c r="E139" s="5">
        <f>ROUND(_xlfn.IFNA(VLOOKUP(A139,'Weapon Formulas'!$E$10:$Q$115,12,0),weapon_components!E139),2)</f>
        <v>32</v>
      </c>
      <c r="F139" s="5">
        <f>ROUND(_xlfn.IFNA(VLOOKUP(A139,'Weapon Formulas'!$E$10:$L$115,8,0),weapon_components!F139),2)</f>
        <v>1</v>
      </c>
      <c r="G139" s="5">
        <f>ROUND(_xlfn.IFNA(VLOOKUP(A139,'Weapon Formulas'!$E$10:$P$115,9,0),weapon_components!G139),2)</f>
        <v>0</v>
      </c>
      <c r="H139" s="5">
        <f>ROUND(_xlfn.IFNA(VLOOKUP(A139,'Weapon Formulas'!$E$10:$L$115,7,0),weapon_components!H139),2)</f>
        <v>0.5</v>
      </c>
      <c r="I139">
        <v>2</v>
      </c>
      <c r="J139">
        <v>25</v>
      </c>
      <c r="K139">
        <v>30</v>
      </c>
      <c r="L139" s="5">
        <f>ROUND(_xlfn.IFNA(VLOOKUP(A139,'Weapon Formulas'!$E$10:$Z$115,15,0),weapon_components!L139),2)</f>
        <v>30</v>
      </c>
      <c r="M139">
        <v>0.7</v>
      </c>
      <c r="N139" s="5">
        <f>ROUND(_xlfn.IFNA(VLOOKUP(A139,'Weapon Formulas'!$E$10:$W$115,16,0),weapon_components!N139),2)</f>
        <v>0</v>
      </c>
    </row>
    <row r="140" spans="1:14" x14ac:dyDescent="0.25">
      <c r="A140" s="15" t="s">
        <v>176</v>
      </c>
      <c r="B140">
        <v>40</v>
      </c>
      <c r="C140" s="5">
        <f>ROUND(_xlfn.IFNA(VLOOKUP(A140,'Weapon Formulas'!$E$10:$V$115,17,0),weapon_components!C140),2)</f>
        <v>-40</v>
      </c>
      <c r="D140" s="5">
        <f>ROUND(_xlfn.IFNA(VLOOKUP(A140,'Weapon Formulas'!$E$10:$Q$115,11,0),weapon_components!D140),2)</f>
        <v>39</v>
      </c>
      <c r="E140" s="5">
        <f>ROUND(_xlfn.IFNA(VLOOKUP(A140,'Weapon Formulas'!$E$10:$Q$115,12,0),weapon_components!E140),2)</f>
        <v>68</v>
      </c>
      <c r="F140" s="5">
        <f>ROUND(_xlfn.IFNA(VLOOKUP(A140,'Weapon Formulas'!$E$10:$L$115,8,0),weapon_components!F140),2)</f>
        <v>1</v>
      </c>
      <c r="G140" s="5">
        <f>ROUND(_xlfn.IFNA(VLOOKUP(A140,'Weapon Formulas'!$E$10:$P$115,9,0),weapon_components!G140),2)</f>
        <v>0</v>
      </c>
      <c r="H140" s="5">
        <f>ROUND(_xlfn.IFNA(VLOOKUP(A140,'Weapon Formulas'!$E$10:$L$115,7,0),weapon_components!H140),2)</f>
        <v>0.5</v>
      </c>
      <c r="I140">
        <v>2</v>
      </c>
      <c r="J140">
        <v>25</v>
      </c>
      <c r="K140">
        <v>30</v>
      </c>
      <c r="L140" s="5">
        <f>ROUND(_xlfn.IFNA(VLOOKUP(A140,'Weapon Formulas'!$E$10:$Z$115,15,0),weapon_components!L140),2)</f>
        <v>40</v>
      </c>
      <c r="M140">
        <v>0.65</v>
      </c>
      <c r="N140" s="5">
        <f>ROUND(_xlfn.IFNA(VLOOKUP(A140,'Weapon Formulas'!$E$10:$W$115,16,0),weapon_components!N140),2)</f>
        <v>0</v>
      </c>
    </row>
    <row r="141" spans="1:14" x14ac:dyDescent="0.25">
      <c r="A141" s="15" t="s">
        <v>177</v>
      </c>
      <c r="B141">
        <v>2.5</v>
      </c>
      <c r="C141" s="5">
        <f>ROUND(_xlfn.IFNA(VLOOKUP(A141,'Weapon Formulas'!$E$10:$V$115,17,0),weapon_components!C141),2)</f>
        <v>-2.5</v>
      </c>
      <c r="D141" s="5">
        <f>ROUND(_xlfn.IFNA(VLOOKUP(A141,'Weapon Formulas'!$E$10:$Q$115,11,0),weapon_components!D141),2)</f>
        <v>6</v>
      </c>
      <c r="E141" s="5">
        <f>ROUND(_xlfn.IFNA(VLOOKUP(A141,'Weapon Formulas'!$E$10:$Q$115,12,0),weapon_components!E141),2)</f>
        <v>13</v>
      </c>
      <c r="F141" s="5">
        <f>ROUND(_xlfn.IFNA(VLOOKUP(A141,'Weapon Formulas'!$E$10:$L$115,8,0),weapon_components!F141),2)</f>
        <v>1</v>
      </c>
      <c r="G141" s="5">
        <f>ROUND(_xlfn.IFNA(VLOOKUP(A141,'Weapon Formulas'!$E$10:$P$115,9,0),weapon_components!G141),2)</f>
        <v>0</v>
      </c>
      <c r="H141" s="5">
        <f>ROUND(_xlfn.IFNA(VLOOKUP(A141,'Weapon Formulas'!$E$10:$L$115,7,0),weapon_components!H141),2)</f>
        <v>0.5</v>
      </c>
      <c r="I141">
        <v>2</v>
      </c>
      <c r="J141">
        <v>25</v>
      </c>
      <c r="K141">
        <v>30</v>
      </c>
      <c r="L141" s="5">
        <f>ROUND(_xlfn.IFNA(VLOOKUP(A141,'Weapon Formulas'!$E$10:$Z$115,15,0),weapon_components!L141),2)</f>
        <v>10</v>
      </c>
      <c r="M141">
        <v>0.75</v>
      </c>
      <c r="N141" s="5">
        <f>ROUND(_xlfn.IFNA(VLOOKUP(A141,'Weapon Formulas'!$E$10:$W$115,16,0),weapon_components!N141),2)</f>
        <v>0</v>
      </c>
    </row>
    <row r="142" spans="1:14" x14ac:dyDescent="0.25">
      <c r="A142" s="15" t="s">
        <v>178</v>
      </c>
      <c r="B142">
        <v>5</v>
      </c>
      <c r="C142" s="5">
        <f>ROUND(_xlfn.IFNA(VLOOKUP(A142,'Weapon Formulas'!$E$10:$V$115,17,0),weapon_components!C142),2)</f>
        <v>-5</v>
      </c>
      <c r="D142" s="5">
        <f>ROUND(_xlfn.IFNA(VLOOKUP(A142,'Weapon Formulas'!$E$10:$Q$115,11,0),weapon_components!D142),2)</f>
        <v>15</v>
      </c>
      <c r="E142" s="5">
        <f>ROUND(_xlfn.IFNA(VLOOKUP(A142,'Weapon Formulas'!$E$10:$Q$115,12,0),weapon_components!E142),2)</f>
        <v>23</v>
      </c>
      <c r="F142" s="5">
        <f>ROUND(_xlfn.IFNA(VLOOKUP(A142,'Weapon Formulas'!$E$10:$L$115,8,0),weapon_components!F142),2)</f>
        <v>1</v>
      </c>
      <c r="G142" s="5">
        <f>ROUND(_xlfn.IFNA(VLOOKUP(A142,'Weapon Formulas'!$E$10:$P$115,9,0),weapon_components!G142),2)</f>
        <v>0</v>
      </c>
      <c r="H142" s="5">
        <f>ROUND(_xlfn.IFNA(VLOOKUP(A142,'Weapon Formulas'!$E$10:$L$115,7,0),weapon_components!H142),2)</f>
        <v>0.5</v>
      </c>
      <c r="I142">
        <v>2</v>
      </c>
      <c r="J142">
        <v>25</v>
      </c>
      <c r="K142">
        <v>30</v>
      </c>
      <c r="L142" s="5">
        <f>ROUND(_xlfn.IFNA(VLOOKUP(A142,'Weapon Formulas'!$E$10:$Z$115,15,0),weapon_components!L142),2)</f>
        <v>30</v>
      </c>
      <c r="M142">
        <v>0.7</v>
      </c>
      <c r="N142" s="5">
        <f>ROUND(_xlfn.IFNA(VLOOKUP(A142,'Weapon Formulas'!$E$10:$W$115,16,0),weapon_components!N142),2)</f>
        <v>0</v>
      </c>
    </row>
    <row r="143" spans="1:14" x14ac:dyDescent="0.25">
      <c r="A143" s="15" t="s">
        <v>179</v>
      </c>
      <c r="B143">
        <v>10</v>
      </c>
      <c r="C143" s="5">
        <f>ROUND(_xlfn.IFNA(VLOOKUP(A143,'Weapon Formulas'!$E$10:$V$115,17,0),weapon_components!C143),2)</f>
        <v>-10</v>
      </c>
      <c r="D143" s="5">
        <f>ROUND(_xlfn.IFNA(VLOOKUP(A143,'Weapon Formulas'!$E$10:$Q$115,11,0),weapon_components!D143),2)</f>
        <v>32</v>
      </c>
      <c r="E143" s="5">
        <f>ROUND(_xlfn.IFNA(VLOOKUP(A143,'Weapon Formulas'!$E$10:$Q$115,12,0),weapon_components!E143),2)</f>
        <v>49</v>
      </c>
      <c r="F143" s="5">
        <f>ROUND(_xlfn.IFNA(VLOOKUP(A143,'Weapon Formulas'!$E$10:$L$115,8,0),weapon_components!F143),2)</f>
        <v>1</v>
      </c>
      <c r="G143" s="5">
        <f>ROUND(_xlfn.IFNA(VLOOKUP(A143,'Weapon Formulas'!$E$10:$P$115,9,0),weapon_components!G143),2)</f>
        <v>0</v>
      </c>
      <c r="H143" s="5">
        <f>ROUND(_xlfn.IFNA(VLOOKUP(A143,'Weapon Formulas'!$E$10:$L$115,7,0),weapon_components!H143),2)</f>
        <v>0.5</v>
      </c>
      <c r="I143">
        <v>2</v>
      </c>
      <c r="J143">
        <v>25</v>
      </c>
      <c r="K143">
        <v>30</v>
      </c>
      <c r="L143" s="5">
        <f>ROUND(_xlfn.IFNA(VLOOKUP(A143,'Weapon Formulas'!$E$10:$Z$115,15,0),weapon_components!L143),2)</f>
        <v>40</v>
      </c>
      <c r="M143">
        <v>0.65</v>
      </c>
      <c r="N143" s="5">
        <f>ROUND(_xlfn.IFNA(VLOOKUP(A143,'Weapon Formulas'!$E$10:$W$115,16,0),weapon_components!N143),2)</f>
        <v>0</v>
      </c>
    </row>
    <row r="144" spans="1:14" x14ac:dyDescent="0.25">
      <c r="A144" s="15" t="s">
        <v>180</v>
      </c>
      <c r="B144">
        <v>5</v>
      </c>
      <c r="C144" s="5">
        <f>ROUND(_xlfn.IFNA(VLOOKUP(A144,'Weapon Formulas'!$E$10:$V$115,17,0),weapon_components!C144),2)</f>
        <v>-5</v>
      </c>
      <c r="D144" s="5">
        <f>ROUND(_xlfn.IFNA(VLOOKUP(A144,'Weapon Formulas'!$E$10:$Q$115,11,0),weapon_components!D144),2)</f>
        <v>8</v>
      </c>
      <c r="E144" s="5">
        <f>ROUND(_xlfn.IFNA(VLOOKUP(A144,'Weapon Formulas'!$E$10:$Q$115,12,0),weapon_components!E144),2)</f>
        <v>14</v>
      </c>
      <c r="F144" s="5">
        <f>ROUND(_xlfn.IFNA(VLOOKUP(A144,'Weapon Formulas'!$E$10:$L$115,8,0),weapon_components!F144),2)</f>
        <v>1</v>
      </c>
      <c r="G144" s="5">
        <f>ROUND(_xlfn.IFNA(VLOOKUP(A144,'Weapon Formulas'!$E$10:$P$115,9,0),weapon_components!G144),2)</f>
        <v>0</v>
      </c>
      <c r="H144" s="5">
        <f>ROUND(_xlfn.IFNA(VLOOKUP(A144,'Weapon Formulas'!$E$10:$L$115,7,0),weapon_components!H144),2)</f>
        <v>0.5</v>
      </c>
      <c r="I144">
        <v>2</v>
      </c>
      <c r="J144">
        <v>25</v>
      </c>
      <c r="K144">
        <v>30</v>
      </c>
      <c r="L144" s="5">
        <f>ROUND(_xlfn.IFNA(VLOOKUP(A144,'Weapon Formulas'!$E$10:$Z$115,15,0),weapon_components!L144),2)</f>
        <v>10</v>
      </c>
      <c r="M144">
        <v>0.75</v>
      </c>
      <c r="N144" s="5">
        <f>ROUND(_xlfn.IFNA(VLOOKUP(A144,'Weapon Formulas'!$E$10:$W$115,16,0),weapon_components!N144),2)</f>
        <v>0</v>
      </c>
    </row>
    <row r="145" spans="1:14" x14ac:dyDescent="0.25">
      <c r="A145" s="15" t="s">
        <v>181</v>
      </c>
      <c r="B145">
        <v>10</v>
      </c>
      <c r="C145" s="5">
        <f>ROUND(_xlfn.IFNA(VLOOKUP(A145,'Weapon Formulas'!$E$10:$V$115,17,0),weapon_components!C145),2)</f>
        <v>-10</v>
      </c>
      <c r="D145" s="5">
        <f>ROUND(_xlfn.IFNA(VLOOKUP(A145,'Weapon Formulas'!$E$10:$Q$115,11,0),weapon_components!D145),2)</f>
        <v>16</v>
      </c>
      <c r="E145" s="5">
        <f>ROUND(_xlfn.IFNA(VLOOKUP(A145,'Weapon Formulas'!$E$10:$Q$115,12,0),weapon_components!E145),2)</f>
        <v>28</v>
      </c>
      <c r="F145" s="5">
        <f>ROUND(_xlfn.IFNA(VLOOKUP(A145,'Weapon Formulas'!$E$10:$L$115,8,0),weapon_components!F145),2)</f>
        <v>1</v>
      </c>
      <c r="G145" s="5">
        <f>ROUND(_xlfn.IFNA(VLOOKUP(A145,'Weapon Formulas'!$E$10:$P$115,9,0),weapon_components!G145),2)</f>
        <v>0</v>
      </c>
      <c r="H145" s="5">
        <f>ROUND(_xlfn.IFNA(VLOOKUP(A145,'Weapon Formulas'!$E$10:$L$115,7,0),weapon_components!H145),2)</f>
        <v>0.5</v>
      </c>
      <c r="I145">
        <v>2</v>
      </c>
      <c r="J145">
        <v>25</v>
      </c>
      <c r="K145">
        <v>30</v>
      </c>
      <c r="L145" s="5">
        <f>ROUND(_xlfn.IFNA(VLOOKUP(A145,'Weapon Formulas'!$E$10:$Z$115,15,0),weapon_components!L145),2)</f>
        <v>30</v>
      </c>
      <c r="M145">
        <v>0.7</v>
      </c>
      <c r="N145" s="5">
        <f>ROUND(_xlfn.IFNA(VLOOKUP(A145,'Weapon Formulas'!$E$10:$W$115,16,0),weapon_components!N145),2)</f>
        <v>0</v>
      </c>
    </row>
    <row r="146" spans="1:14" x14ac:dyDescent="0.25">
      <c r="A146" s="15" t="s">
        <v>182</v>
      </c>
      <c r="B146">
        <v>20</v>
      </c>
      <c r="C146" s="5">
        <f>ROUND(_xlfn.IFNA(VLOOKUP(A146,'Weapon Formulas'!$E$10:$V$115,17,0),weapon_components!C146),2)</f>
        <v>-20</v>
      </c>
      <c r="D146" s="5">
        <f>ROUND(_xlfn.IFNA(VLOOKUP(A146,'Weapon Formulas'!$E$10:$Q$115,11,0),weapon_components!D146),2)</f>
        <v>35</v>
      </c>
      <c r="E146" s="5">
        <f>ROUND(_xlfn.IFNA(VLOOKUP(A146,'Weapon Formulas'!$E$10:$Q$115,12,0),weapon_components!E146),2)</f>
        <v>59</v>
      </c>
      <c r="F146" s="5">
        <f>ROUND(_xlfn.IFNA(VLOOKUP(A146,'Weapon Formulas'!$E$10:$L$115,8,0),weapon_components!F146),2)</f>
        <v>1</v>
      </c>
      <c r="G146" s="5">
        <f>ROUND(_xlfn.IFNA(VLOOKUP(A146,'Weapon Formulas'!$E$10:$P$115,9,0),weapon_components!G146),2)</f>
        <v>0</v>
      </c>
      <c r="H146" s="5">
        <f>ROUND(_xlfn.IFNA(VLOOKUP(A146,'Weapon Formulas'!$E$10:$L$115,7,0),weapon_components!H146),2)</f>
        <v>0.5</v>
      </c>
      <c r="I146">
        <v>2</v>
      </c>
      <c r="J146">
        <v>25</v>
      </c>
      <c r="K146">
        <v>30</v>
      </c>
      <c r="L146" s="5">
        <f>ROUND(_xlfn.IFNA(VLOOKUP(A146,'Weapon Formulas'!$E$10:$Z$115,15,0),weapon_components!L146),2)</f>
        <v>40</v>
      </c>
      <c r="M146">
        <v>0.65</v>
      </c>
      <c r="N146" s="5">
        <f>ROUND(_xlfn.IFNA(VLOOKUP(A146,'Weapon Formulas'!$E$10:$W$115,16,0),weapon_components!N146),2)</f>
        <v>0</v>
      </c>
    </row>
    <row r="147" spans="1:14" x14ac:dyDescent="0.25">
      <c r="A147" s="15" t="s">
        <v>183</v>
      </c>
      <c r="B147">
        <v>7.5</v>
      </c>
      <c r="C147" s="5">
        <f>ROUND(_xlfn.IFNA(VLOOKUP(A147,'Weapon Formulas'!$E$10:$V$115,17,0),weapon_components!C147),2)</f>
        <v>-7.5</v>
      </c>
      <c r="D147" s="5">
        <f>ROUND(_xlfn.IFNA(VLOOKUP(A147,'Weapon Formulas'!$E$10:$Q$115,11,0),weapon_components!D147),2)</f>
        <v>9</v>
      </c>
      <c r="E147" s="5">
        <f>ROUND(_xlfn.IFNA(VLOOKUP(A147,'Weapon Formulas'!$E$10:$Q$115,12,0),weapon_components!E147),2)</f>
        <v>16</v>
      </c>
      <c r="F147" s="5">
        <f>ROUND(_xlfn.IFNA(VLOOKUP(A147,'Weapon Formulas'!$E$10:$L$115,8,0),weapon_components!F147),2)</f>
        <v>1</v>
      </c>
      <c r="G147" s="5">
        <f>ROUND(_xlfn.IFNA(VLOOKUP(A147,'Weapon Formulas'!$E$10:$P$115,9,0),weapon_components!G147),2)</f>
        <v>0</v>
      </c>
      <c r="H147" s="5">
        <f>ROUND(_xlfn.IFNA(VLOOKUP(A147,'Weapon Formulas'!$E$10:$L$115,7,0),weapon_components!H147),2)</f>
        <v>0.5</v>
      </c>
      <c r="I147">
        <v>2</v>
      </c>
      <c r="J147">
        <v>25</v>
      </c>
      <c r="K147">
        <v>30</v>
      </c>
      <c r="L147" s="5">
        <f>ROUND(_xlfn.IFNA(VLOOKUP(A147,'Weapon Formulas'!$E$10:$Z$115,15,0),weapon_components!L147),2)</f>
        <v>10</v>
      </c>
      <c r="M147">
        <v>0.75</v>
      </c>
      <c r="N147" s="5">
        <f>ROUND(_xlfn.IFNA(VLOOKUP(A147,'Weapon Formulas'!$E$10:$W$115,16,0),weapon_components!N147),2)</f>
        <v>0</v>
      </c>
    </row>
    <row r="148" spans="1:14" x14ac:dyDescent="0.25">
      <c r="A148" s="15" t="s">
        <v>184</v>
      </c>
      <c r="B148">
        <v>15</v>
      </c>
      <c r="C148" s="5">
        <f>ROUND(_xlfn.IFNA(VLOOKUP(A148,'Weapon Formulas'!$E$10:$V$115,17,0),weapon_components!C148),2)</f>
        <v>-15</v>
      </c>
      <c r="D148" s="5">
        <f>ROUND(_xlfn.IFNA(VLOOKUP(A148,'Weapon Formulas'!$E$10:$Q$115,11,0),weapon_components!D148),2)</f>
        <v>18</v>
      </c>
      <c r="E148" s="5">
        <f>ROUND(_xlfn.IFNA(VLOOKUP(A148,'Weapon Formulas'!$E$10:$Q$115,12,0),weapon_components!E148),2)</f>
        <v>32</v>
      </c>
      <c r="F148" s="5">
        <f>ROUND(_xlfn.IFNA(VLOOKUP(A148,'Weapon Formulas'!$E$10:$L$115,8,0),weapon_components!F148),2)</f>
        <v>1</v>
      </c>
      <c r="G148" s="5">
        <f>ROUND(_xlfn.IFNA(VLOOKUP(A148,'Weapon Formulas'!$E$10:$P$115,9,0),weapon_components!G148),2)</f>
        <v>0</v>
      </c>
      <c r="H148" s="5">
        <f>ROUND(_xlfn.IFNA(VLOOKUP(A148,'Weapon Formulas'!$E$10:$L$115,7,0),weapon_components!H148),2)</f>
        <v>0.5</v>
      </c>
      <c r="I148">
        <v>2</v>
      </c>
      <c r="J148">
        <v>25</v>
      </c>
      <c r="K148">
        <v>30</v>
      </c>
      <c r="L148" s="5">
        <f>ROUND(_xlfn.IFNA(VLOOKUP(A148,'Weapon Formulas'!$E$10:$Z$115,15,0),weapon_components!L148),2)</f>
        <v>30</v>
      </c>
      <c r="M148">
        <v>0.7</v>
      </c>
      <c r="N148" s="5">
        <f>ROUND(_xlfn.IFNA(VLOOKUP(A148,'Weapon Formulas'!$E$10:$W$115,16,0),weapon_components!N148),2)</f>
        <v>0</v>
      </c>
    </row>
    <row r="149" spans="1:14" x14ac:dyDescent="0.25">
      <c r="A149" s="15" t="s">
        <v>185</v>
      </c>
      <c r="B149">
        <v>30</v>
      </c>
      <c r="C149" s="5">
        <f>ROUND(_xlfn.IFNA(VLOOKUP(A149,'Weapon Formulas'!$E$10:$V$115,17,0),weapon_components!C149),2)</f>
        <v>-30</v>
      </c>
      <c r="D149" s="5">
        <f>ROUND(_xlfn.IFNA(VLOOKUP(A149,'Weapon Formulas'!$E$10:$Q$115,11,0),weapon_components!D149),2)</f>
        <v>39</v>
      </c>
      <c r="E149" s="5">
        <f>ROUND(_xlfn.IFNA(VLOOKUP(A149,'Weapon Formulas'!$E$10:$Q$115,12,0),weapon_components!E149),2)</f>
        <v>68</v>
      </c>
      <c r="F149" s="5">
        <f>ROUND(_xlfn.IFNA(VLOOKUP(A149,'Weapon Formulas'!$E$10:$L$115,8,0),weapon_components!F149),2)</f>
        <v>1</v>
      </c>
      <c r="G149" s="5">
        <f>ROUND(_xlfn.IFNA(VLOOKUP(A149,'Weapon Formulas'!$E$10:$P$115,9,0),weapon_components!G149),2)</f>
        <v>0</v>
      </c>
      <c r="H149" s="5">
        <f>ROUND(_xlfn.IFNA(VLOOKUP(A149,'Weapon Formulas'!$E$10:$L$115,7,0),weapon_components!H149),2)</f>
        <v>0.5</v>
      </c>
      <c r="I149">
        <v>2</v>
      </c>
      <c r="J149">
        <v>25</v>
      </c>
      <c r="K149">
        <v>30</v>
      </c>
      <c r="L149" s="5">
        <f>ROUND(_xlfn.IFNA(VLOOKUP(A149,'Weapon Formulas'!$E$10:$Z$115,15,0),weapon_components!L149),2)</f>
        <v>40</v>
      </c>
      <c r="M149">
        <v>0.65</v>
      </c>
      <c r="N149" s="5">
        <f>ROUND(_xlfn.IFNA(VLOOKUP(A149,'Weapon Formulas'!$E$10:$W$115,16,0),weapon_components!N149),2)</f>
        <v>0</v>
      </c>
    </row>
    <row r="150" spans="1:14" x14ac:dyDescent="0.25">
      <c r="A150" s="15" t="s">
        <v>186</v>
      </c>
      <c r="B150">
        <v>10</v>
      </c>
      <c r="C150" s="5">
        <f>ROUND(_xlfn.IFNA(VLOOKUP(A150,'Weapon Formulas'!$E$10:$V$115,17,0),weapon_components!C150),2)</f>
        <v>-10</v>
      </c>
      <c r="D150" s="5">
        <f>ROUND(_xlfn.IFNA(VLOOKUP(A150,'Weapon Formulas'!$E$10:$Q$115,11,0),weapon_components!D150),2)</f>
        <v>10</v>
      </c>
      <c r="E150" s="5">
        <f>ROUND(_xlfn.IFNA(VLOOKUP(A150,'Weapon Formulas'!$E$10:$Q$115,12,0),weapon_components!E150),2)</f>
        <v>18</v>
      </c>
      <c r="F150" s="5">
        <f>ROUND(_xlfn.IFNA(VLOOKUP(A150,'Weapon Formulas'!$E$10:$L$115,8,0),weapon_components!F150),2)</f>
        <v>1</v>
      </c>
      <c r="G150" s="5">
        <f>ROUND(_xlfn.IFNA(VLOOKUP(A150,'Weapon Formulas'!$E$10:$P$115,9,0),weapon_components!G150),2)</f>
        <v>0</v>
      </c>
      <c r="H150" s="5">
        <f>ROUND(_xlfn.IFNA(VLOOKUP(A150,'Weapon Formulas'!$E$10:$L$115,7,0),weapon_components!H150),2)</f>
        <v>0.5</v>
      </c>
      <c r="I150">
        <v>2</v>
      </c>
      <c r="J150">
        <v>25</v>
      </c>
      <c r="K150">
        <v>30</v>
      </c>
      <c r="L150" s="5">
        <f>ROUND(_xlfn.IFNA(VLOOKUP(A150,'Weapon Formulas'!$E$10:$Z$115,15,0),weapon_components!L150),2)</f>
        <v>10</v>
      </c>
      <c r="M150">
        <v>0.75</v>
      </c>
      <c r="N150" s="5">
        <f>ROUND(_xlfn.IFNA(VLOOKUP(A150,'Weapon Formulas'!$E$10:$W$115,16,0),weapon_components!N150),2)</f>
        <v>0</v>
      </c>
    </row>
    <row r="151" spans="1:14" x14ac:dyDescent="0.25">
      <c r="A151" s="15" t="s">
        <v>187</v>
      </c>
      <c r="B151">
        <v>20</v>
      </c>
      <c r="C151" s="5">
        <f>ROUND(_xlfn.IFNA(VLOOKUP(A151,'Weapon Formulas'!$E$10:$V$115,17,0),weapon_components!C151),2)</f>
        <v>-20</v>
      </c>
      <c r="D151" s="5">
        <f>ROUND(_xlfn.IFNA(VLOOKUP(A151,'Weapon Formulas'!$E$10:$Q$115,11,0),weapon_components!D151),2)</f>
        <v>20</v>
      </c>
      <c r="E151" s="5">
        <f>ROUND(_xlfn.IFNA(VLOOKUP(A151,'Weapon Formulas'!$E$10:$Q$115,12,0),weapon_components!E151),2)</f>
        <v>36</v>
      </c>
      <c r="F151" s="5">
        <f>ROUND(_xlfn.IFNA(VLOOKUP(A151,'Weapon Formulas'!$E$10:$L$115,8,0),weapon_components!F151),2)</f>
        <v>1</v>
      </c>
      <c r="G151" s="5">
        <f>ROUND(_xlfn.IFNA(VLOOKUP(A151,'Weapon Formulas'!$E$10:$P$115,9,0),weapon_components!G151),2)</f>
        <v>0</v>
      </c>
      <c r="H151" s="5">
        <f>ROUND(_xlfn.IFNA(VLOOKUP(A151,'Weapon Formulas'!$E$10:$L$115,7,0),weapon_components!H151),2)</f>
        <v>0.5</v>
      </c>
      <c r="I151">
        <v>2</v>
      </c>
      <c r="J151">
        <v>25</v>
      </c>
      <c r="K151">
        <v>30</v>
      </c>
      <c r="L151" s="5">
        <f>ROUND(_xlfn.IFNA(VLOOKUP(A151,'Weapon Formulas'!$E$10:$Z$115,15,0),weapon_components!L151),2)</f>
        <v>30</v>
      </c>
      <c r="M151">
        <v>0.7</v>
      </c>
      <c r="N151" s="5">
        <f>ROUND(_xlfn.IFNA(VLOOKUP(A151,'Weapon Formulas'!$E$10:$W$115,16,0),weapon_components!N151),2)</f>
        <v>0</v>
      </c>
    </row>
    <row r="152" spans="1:14" x14ac:dyDescent="0.25">
      <c r="A152" s="15" t="s">
        <v>188</v>
      </c>
      <c r="B152">
        <v>40</v>
      </c>
      <c r="C152" s="5">
        <f>ROUND(_xlfn.IFNA(VLOOKUP(A152,'Weapon Formulas'!$E$10:$V$115,17,0),weapon_components!C152),2)</f>
        <v>-40</v>
      </c>
      <c r="D152" s="5">
        <f>ROUND(_xlfn.IFNA(VLOOKUP(A152,'Weapon Formulas'!$E$10:$Q$115,11,0),weapon_components!D152),2)</f>
        <v>43</v>
      </c>
      <c r="E152" s="5">
        <f>ROUND(_xlfn.IFNA(VLOOKUP(A152,'Weapon Formulas'!$E$10:$Q$115,12,0),weapon_components!E152),2)</f>
        <v>78</v>
      </c>
      <c r="F152" s="5">
        <f>ROUND(_xlfn.IFNA(VLOOKUP(A152,'Weapon Formulas'!$E$10:$L$115,8,0),weapon_components!F152),2)</f>
        <v>1</v>
      </c>
      <c r="G152" s="5">
        <f>ROUND(_xlfn.IFNA(VLOOKUP(A152,'Weapon Formulas'!$E$10:$P$115,9,0),weapon_components!G152),2)</f>
        <v>0</v>
      </c>
      <c r="H152" s="5">
        <f>ROUND(_xlfn.IFNA(VLOOKUP(A152,'Weapon Formulas'!$E$10:$L$115,7,0),weapon_components!H152),2)</f>
        <v>0.5</v>
      </c>
      <c r="I152">
        <v>2</v>
      </c>
      <c r="J152">
        <v>25</v>
      </c>
      <c r="K152">
        <v>30</v>
      </c>
      <c r="L152" s="5">
        <f>ROUND(_xlfn.IFNA(VLOOKUP(A152,'Weapon Formulas'!$E$10:$Z$115,15,0),weapon_components!L152),2)</f>
        <v>40</v>
      </c>
      <c r="M152">
        <v>0.65</v>
      </c>
      <c r="N152" s="5">
        <f>ROUND(_xlfn.IFNA(VLOOKUP(A152,'Weapon Formulas'!$E$10:$W$115,16,0),weapon_components!N152),2)</f>
        <v>0</v>
      </c>
    </row>
    <row r="153" spans="1:14" x14ac:dyDescent="0.25">
      <c r="A153" s="15" t="s">
        <v>189</v>
      </c>
      <c r="C153" s="5"/>
      <c r="D153" s="5"/>
      <c r="E153" s="5"/>
      <c r="F153" s="5"/>
      <c r="G153" s="5"/>
      <c r="H153" s="5"/>
      <c r="L153" s="5"/>
      <c r="N153" s="5"/>
    </row>
    <row r="154" spans="1:14" x14ac:dyDescent="0.25">
      <c r="A154" s="15" t="s">
        <v>190</v>
      </c>
      <c r="B154">
        <v>15</v>
      </c>
      <c r="C154" s="5">
        <f>ROUND(_xlfn.IFNA(VLOOKUP(A154,'Weapon Formulas'!$E$10:$V$115,17,0),weapon_components!C154),2)</f>
        <v>-15</v>
      </c>
      <c r="D154" s="5">
        <f>ROUND(_xlfn.IFNA(VLOOKUP(A154,'Weapon Formulas'!$E$10:$Q$115,11,0),weapon_components!D154),2)</f>
        <v>19</v>
      </c>
      <c r="E154" s="5">
        <f>ROUND(_xlfn.IFNA(VLOOKUP(A154,'Weapon Formulas'!$E$10:$Q$115,12,0),weapon_components!E154),2)</f>
        <v>29</v>
      </c>
      <c r="F154" s="5">
        <f>ROUND(_xlfn.IFNA(VLOOKUP(A154,'Weapon Formulas'!$E$10:$L$115,8,0),weapon_components!F154),2)</f>
        <v>1</v>
      </c>
      <c r="G154" s="5">
        <f>ROUND(_xlfn.IFNA(VLOOKUP(A154,'Weapon Formulas'!$E$10:$P$115,9,0),weapon_components!G154),2)</f>
        <v>0</v>
      </c>
      <c r="H154" s="5">
        <f>ROUND(_xlfn.IFNA(VLOOKUP(A154,'Weapon Formulas'!$E$10:$L$115,7,0),weapon_components!H154),2)</f>
        <v>1</v>
      </c>
      <c r="I154">
        <v>2</v>
      </c>
      <c r="J154">
        <v>25</v>
      </c>
      <c r="K154">
        <v>30</v>
      </c>
      <c r="L154" s="5">
        <f>ROUND(_xlfn.IFNA(VLOOKUP(A154,'Weapon Formulas'!$E$10:$Z$115,15,0),weapon_components!L154),2)</f>
        <v>30</v>
      </c>
      <c r="M154">
        <v>0.85</v>
      </c>
      <c r="N154" s="5">
        <f>ROUND(_xlfn.IFNA(VLOOKUP(A154,'Weapon Formulas'!$E$10:$W$115,16,0),weapon_components!N154),2)</f>
        <v>0</v>
      </c>
    </row>
    <row r="155" spans="1:14" x14ac:dyDescent="0.25">
      <c r="A155" s="15" t="s">
        <v>191</v>
      </c>
      <c r="B155">
        <v>5</v>
      </c>
      <c r="C155" s="5">
        <f>ROUND(_xlfn.IFNA(VLOOKUP(A155,'Weapon Formulas'!$E$10:$V$115,17,0),weapon_components!C155),2)</f>
        <v>-5</v>
      </c>
      <c r="D155" s="5">
        <f>ROUND(_xlfn.IFNA(VLOOKUP(A155,'Weapon Formulas'!$E$10:$Q$115,11,0),weapon_components!D155),2)</f>
        <v>7</v>
      </c>
      <c r="E155" s="5">
        <f>ROUND(_xlfn.IFNA(VLOOKUP(A155,'Weapon Formulas'!$E$10:$Q$115,12,0),weapon_components!E155),2)</f>
        <v>12</v>
      </c>
      <c r="F155" s="5">
        <f>ROUND(_xlfn.IFNA(VLOOKUP(A155,'Weapon Formulas'!$E$10:$L$115,8,0),weapon_components!F155),2)</f>
        <v>1</v>
      </c>
      <c r="G155" s="5">
        <f>ROUND(_xlfn.IFNA(VLOOKUP(A155,'Weapon Formulas'!$E$10:$P$115,9,0),weapon_components!G155),2)</f>
        <v>0</v>
      </c>
      <c r="H155" s="5">
        <f>ROUND(_xlfn.IFNA(VLOOKUP(A155,'Weapon Formulas'!$E$10:$L$115,7,0),weapon_components!H155),2)</f>
        <v>0.5</v>
      </c>
      <c r="I155">
        <v>2</v>
      </c>
      <c r="J155">
        <v>25</v>
      </c>
      <c r="K155">
        <v>30</v>
      </c>
      <c r="L155" s="5">
        <f>ROUND(_xlfn.IFNA(VLOOKUP(A155,'Weapon Formulas'!$E$10:$Z$115,15,0),weapon_components!L155),2)</f>
        <v>30</v>
      </c>
      <c r="M155">
        <v>0.75</v>
      </c>
      <c r="N155" s="5">
        <f>ROUND(_xlfn.IFNA(VLOOKUP(A155,'Weapon Formulas'!$E$10:$W$115,16,0),weapon_components!N155),2)</f>
        <v>0</v>
      </c>
    </row>
    <row r="156" spans="1:14" x14ac:dyDescent="0.25">
      <c r="A156" s="15" t="s">
        <v>192</v>
      </c>
      <c r="B156">
        <v>10</v>
      </c>
      <c r="C156" s="5">
        <f>ROUND(_xlfn.IFNA(VLOOKUP(A156,'Weapon Formulas'!$E$10:$V$115,17,0),weapon_components!C156),2)</f>
        <v>-10</v>
      </c>
      <c r="D156" s="5">
        <f>ROUND(_xlfn.IFNA(VLOOKUP(A156,'Weapon Formulas'!$E$10:$Q$115,11,0),weapon_components!D156),2)</f>
        <v>16</v>
      </c>
      <c r="E156" s="5">
        <f>ROUND(_xlfn.IFNA(VLOOKUP(A156,'Weapon Formulas'!$E$10:$Q$115,12,0),weapon_components!E156),2)</f>
        <v>23</v>
      </c>
      <c r="F156" s="5">
        <f>ROUND(_xlfn.IFNA(VLOOKUP(A156,'Weapon Formulas'!$E$10:$L$115,8,0),weapon_components!F156),2)</f>
        <v>1</v>
      </c>
      <c r="G156" s="5">
        <f>ROUND(_xlfn.IFNA(VLOOKUP(A156,'Weapon Formulas'!$E$10:$P$115,9,0),weapon_components!G156),2)</f>
        <v>0</v>
      </c>
      <c r="H156" s="5">
        <f>ROUND(_xlfn.IFNA(VLOOKUP(A156,'Weapon Formulas'!$E$10:$L$115,7,0),weapon_components!H156),2)</f>
        <v>0.5</v>
      </c>
      <c r="I156">
        <v>2</v>
      </c>
      <c r="J156">
        <v>25</v>
      </c>
      <c r="K156">
        <v>30</v>
      </c>
      <c r="L156" s="5">
        <f>ROUND(_xlfn.IFNA(VLOOKUP(A156,'Weapon Formulas'!$E$10:$Z$115,15,0),weapon_components!L156),2)</f>
        <v>30</v>
      </c>
      <c r="M156">
        <v>0.7</v>
      </c>
      <c r="N156" s="5">
        <f>ROUND(_xlfn.IFNA(VLOOKUP(A156,'Weapon Formulas'!$E$10:$W$115,16,0),weapon_components!N156),2)</f>
        <v>0</v>
      </c>
    </row>
    <row r="157" spans="1:14" x14ac:dyDescent="0.25">
      <c r="A157" s="15" t="s">
        <v>193</v>
      </c>
      <c r="B157">
        <v>20</v>
      </c>
      <c r="C157" s="5">
        <f>ROUND(_xlfn.IFNA(VLOOKUP(A157,'Weapon Formulas'!$E$10:$V$115,17,0),weapon_components!C157),2)</f>
        <v>-20</v>
      </c>
      <c r="D157" s="5">
        <f>ROUND(_xlfn.IFNA(VLOOKUP(A157,'Weapon Formulas'!$E$10:$Q$115,11,0),weapon_components!D157),2)</f>
        <v>34</v>
      </c>
      <c r="E157" s="5">
        <f>ROUND(_xlfn.IFNA(VLOOKUP(A157,'Weapon Formulas'!$E$10:$Q$115,12,0),weapon_components!E157),2)</f>
        <v>49</v>
      </c>
      <c r="F157" s="5">
        <f>ROUND(_xlfn.IFNA(VLOOKUP(A157,'Weapon Formulas'!$E$10:$L$115,8,0),weapon_components!F157),2)</f>
        <v>1</v>
      </c>
      <c r="G157" s="5">
        <f>ROUND(_xlfn.IFNA(VLOOKUP(A157,'Weapon Formulas'!$E$10:$P$115,9,0),weapon_components!G157),2)</f>
        <v>0</v>
      </c>
      <c r="H157" s="5">
        <f>ROUND(_xlfn.IFNA(VLOOKUP(A157,'Weapon Formulas'!$E$10:$L$115,7,0),weapon_components!H157),2)</f>
        <v>0.5</v>
      </c>
      <c r="I157">
        <v>2</v>
      </c>
      <c r="J157">
        <v>25</v>
      </c>
      <c r="K157">
        <v>30</v>
      </c>
      <c r="L157" s="5">
        <f>ROUND(_xlfn.IFNA(VLOOKUP(A157,'Weapon Formulas'!$E$10:$Z$115,15,0),weapon_components!L157),2)</f>
        <v>30</v>
      </c>
      <c r="M157">
        <v>0.65</v>
      </c>
      <c r="N157" s="5">
        <f>ROUND(_xlfn.IFNA(VLOOKUP(A157,'Weapon Formulas'!$E$10:$W$115,16,0),weapon_components!N157),2)</f>
        <v>0</v>
      </c>
    </row>
    <row r="158" spans="1:14" x14ac:dyDescent="0.25">
      <c r="A158" s="15" t="s">
        <v>194</v>
      </c>
      <c r="B158">
        <v>7.5</v>
      </c>
      <c r="C158" s="5">
        <f>ROUND(_xlfn.IFNA(VLOOKUP(A158,'Weapon Formulas'!$E$10:$V$115,17,0),weapon_components!C158),2)</f>
        <v>-7.5</v>
      </c>
      <c r="D158" s="5">
        <f>ROUND(_xlfn.IFNA(VLOOKUP(A158,'Weapon Formulas'!$E$10:$Q$115,11,0),weapon_components!D158),2)</f>
        <v>9</v>
      </c>
      <c r="E158" s="5">
        <f>ROUND(_xlfn.IFNA(VLOOKUP(A158,'Weapon Formulas'!$E$10:$Q$115,12,0),weapon_components!E158),2)</f>
        <v>15</v>
      </c>
      <c r="F158" s="5">
        <f>ROUND(_xlfn.IFNA(VLOOKUP(A158,'Weapon Formulas'!$E$10:$L$115,8,0),weapon_components!F158),2)</f>
        <v>1</v>
      </c>
      <c r="G158" s="5">
        <f>ROUND(_xlfn.IFNA(VLOOKUP(A158,'Weapon Formulas'!$E$10:$P$115,9,0),weapon_components!G158),2)</f>
        <v>0</v>
      </c>
      <c r="H158" s="5">
        <f>ROUND(_xlfn.IFNA(VLOOKUP(A158,'Weapon Formulas'!$E$10:$L$115,7,0),weapon_components!H158),2)</f>
        <v>0.25</v>
      </c>
      <c r="I158">
        <v>2</v>
      </c>
      <c r="J158">
        <v>25</v>
      </c>
      <c r="K158">
        <v>30</v>
      </c>
      <c r="L158" s="5">
        <f>ROUND(_xlfn.IFNA(VLOOKUP(A158,'Weapon Formulas'!$E$10:$Z$115,15,0),weapon_components!L158),2)</f>
        <v>30</v>
      </c>
      <c r="M158">
        <v>0.75</v>
      </c>
      <c r="N158" s="5">
        <f>ROUND(_xlfn.IFNA(VLOOKUP(A158,'Weapon Formulas'!$E$10:$W$115,16,0),weapon_components!N158),2)</f>
        <v>0</v>
      </c>
    </row>
    <row r="159" spans="1:14" x14ac:dyDescent="0.25">
      <c r="A159" s="15" t="s">
        <v>195</v>
      </c>
      <c r="B159">
        <v>15</v>
      </c>
      <c r="C159" s="5">
        <f>ROUND(_xlfn.IFNA(VLOOKUP(A159,'Weapon Formulas'!$E$10:$V$115,17,0),weapon_components!C159),2)</f>
        <v>-15</v>
      </c>
      <c r="D159" s="5">
        <f>ROUND(_xlfn.IFNA(VLOOKUP(A159,'Weapon Formulas'!$E$10:$Q$115,11,0),weapon_components!D159),2)</f>
        <v>17</v>
      </c>
      <c r="E159" s="5">
        <f>ROUND(_xlfn.IFNA(VLOOKUP(A159,'Weapon Formulas'!$E$10:$Q$115,12,0),weapon_components!E159),2)</f>
        <v>30</v>
      </c>
      <c r="F159" s="5">
        <f>ROUND(_xlfn.IFNA(VLOOKUP(A159,'Weapon Formulas'!$E$10:$L$115,8,0),weapon_components!F159),2)</f>
        <v>1</v>
      </c>
      <c r="G159" s="5">
        <f>ROUND(_xlfn.IFNA(VLOOKUP(A159,'Weapon Formulas'!$E$10:$P$115,9,0),weapon_components!G159),2)</f>
        <v>0</v>
      </c>
      <c r="H159" s="5">
        <f>ROUND(_xlfn.IFNA(VLOOKUP(A159,'Weapon Formulas'!$E$10:$L$115,7,0),weapon_components!H159),2)</f>
        <v>0.25</v>
      </c>
      <c r="I159">
        <v>2</v>
      </c>
      <c r="J159">
        <v>25</v>
      </c>
      <c r="K159">
        <v>30</v>
      </c>
      <c r="L159" s="5">
        <f>ROUND(_xlfn.IFNA(VLOOKUP(A159,'Weapon Formulas'!$E$10:$Z$115,15,0),weapon_components!L159),2)</f>
        <v>30</v>
      </c>
      <c r="M159">
        <v>0.75</v>
      </c>
      <c r="N159" s="5">
        <f>ROUND(_xlfn.IFNA(VLOOKUP(A159,'Weapon Formulas'!$E$10:$W$115,16,0),weapon_components!N159),2)</f>
        <v>0</v>
      </c>
    </row>
    <row r="160" spans="1:14" x14ac:dyDescent="0.25">
      <c r="A160" s="15" t="s">
        <v>196</v>
      </c>
      <c r="B160">
        <v>7.5</v>
      </c>
      <c r="C160" s="5">
        <f>ROUND(_xlfn.IFNA(VLOOKUP(A160,'Weapon Formulas'!$E$10:$V$115,17,0),weapon_components!C160),2)</f>
        <v>-7.5</v>
      </c>
      <c r="D160" s="5">
        <f>ROUND(_xlfn.IFNA(VLOOKUP(A160,'Weapon Formulas'!$E$10:$Q$115,11,0),weapon_components!D160),2)</f>
        <v>8</v>
      </c>
      <c r="E160" s="5">
        <f>ROUND(_xlfn.IFNA(VLOOKUP(A160,'Weapon Formulas'!$E$10:$Q$115,12,0),weapon_components!E160),2)</f>
        <v>14</v>
      </c>
      <c r="F160" s="5">
        <f>ROUND(_xlfn.IFNA(VLOOKUP(A160,'Weapon Formulas'!$E$10:$L$115,8,0),weapon_components!F160),2)</f>
        <v>1</v>
      </c>
      <c r="G160" s="5">
        <f>ROUND(_xlfn.IFNA(VLOOKUP(A160,'Weapon Formulas'!$E$10:$P$115,9,0),weapon_components!G160),2)</f>
        <v>0</v>
      </c>
      <c r="H160" s="5">
        <f>ROUND(_xlfn.IFNA(VLOOKUP(A160,'Weapon Formulas'!$E$10:$L$115,7,0),weapon_components!H160),2)</f>
        <v>1</v>
      </c>
      <c r="I160">
        <v>2</v>
      </c>
      <c r="J160">
        <v>25</v>
      </c>
      <c r="K160">
        <v>30</v>
      </c>
      <c r="L160" s="5">
        <f>ROUND(_xlfn.IFNA(VLOOKUP(A160,'Weapon Formulas'!$E$10:$Z$115,15,0),weapon_components!L160),2)</f>
        <v>20</v>
      </c>
      <c r="M160">
        <v>0.75</v>
      </c>
      <c r="N160" s="5">
        <f>ROUND(_xlfn.IFNA(VLOOKUP(A160,'Weapon Formulas'!$E$10:$W$115,16,0),weapon_components!N160),2)</f>
        <v>0</v>
      </c>
    </row>
    <row r="161" spans="1:14" x14ac:dyDescent="0.25">
      <c r="A161" s="15" t="s">
        <v>197</v>
      </c>
      <c r="B161">
        <v>15</v>
      </c>
      <c r="C161" s="5">
        <f>ROUND(_xlfn.IFNA(VLOOKUP(A161,'Weapon Formulas'!$E$10:$V$115,17,0),weapon_components!C161),2)</f>
        <v>-15</v>
      </c>
      <c r="D161" s="5">
        <f>ROUND(_xlfn.IFNA(VLOOKUP(A161,'Weapon Formulas'!$E$10:$Q$115,11,0),weapon_components!D161),2)</f>
        <v>18</v>
      </c>
      <c r="E161" s="5">
        <f>ROUND(_xlfn.IFNA(VLOOKUP(A161,'Weapon Formulas'!$E$10:$Q$115,12,0),weapon_components!E161),2)</f>
        <v>27</v>
      </c>
      <c r="F161" s="5">
        <f>ROUND(_xlfn.IFNA(VLOOKUP(A161,'Weapon Formulas'!$E$10:$L$115,8,0),weapon_components!F161),2)</f>
        <v>1</v>
      </c>
      <c r="G161" s="5">
        <f>ROUND(_xlfn.IFNA(VLOOKUP(A161,'Weapon Formulas'!$E$10:$P$115,9,0),weapon_components!G161),2)</f>
        <v>0</v>
      </c>
      <c r="H161" s="5">
        <f>ROUND(_xlfn.IFNA(VLOOKUP(A161,'Weapon Formulas'!$E$10:$L$115,7,0),weapon_components!H161),2)</f>
        <v>1</v>
      </c>
      <c r="I161">
        <v>2</v>
      </c>
      <c r="J161">
        <v>25</v>
      </c>
      <c r="K161">
        <v>30</v>
      </c>
      <c r="L161" s="5">
        <f>ROUND(_xlfn.IFNA(VLOOKUP(A161,'Weapon Formulas'!$E$10:$Z$115,15,0),weapon_components!L161),2)</f>
        <v>15</v>
      </c>
      <c r="M161">
        <v>0.7</v>
      </c>
      <c r="N161" s="5">
        <f>ROUND(_xlfn.IFNA(VLOOKUP(A161,'Weapon Formulas'!$E$10:$W$115,16,0),weapon_components!N161),2)</f>
        <v>0</v>
      </c>
    </row>
    <row r="162" spans="1:14" x14ac:dyDescent="0.25">
      <c r="A162" s="15" t="s">
        <v>198</v>
      </c>
      <c r="C162" s="5"/>
      <c r="D162" s="5"/>
      <c r="E162" s="5"/>
      <c r="F162" s="5"/>
      <c r="G162" s="5"/>
      <c r="H162" s="5"/>
      <c r="L162" s="5"/>
      <c r="N162" s="5"/>
    </row>
    <row r="163" spans="1:14" x14ac:dyDescent="0.25">
      <c r="A163" s="15" t="s">
        <v>199</v>
      </c>
      <c r="B163">
        <v>15</v>
      </c>
      <c r="C163" s="5">
        <f>ROUND(_xlfn.IFNA(VLOOKUP(A163,'Weapon Formulas'!$E$10:$V$115,17,0),weapon_components!C163),2)</f>
        <v>-15</v>
      </c>
      <c r="D163" s="5">
        <f>ROUND(_xlfn.IFNA(VLOOKUP(A163,'Weapon Formulas'!$E$10:$Q$115,11,0),weapon_components!D163),2)</f>
        <v>13</v>
      </c>
      <c r="E163" s="5">
        <f>ROUND(_xlfn.IFNA(VLOOKUP(A163,'Weapon Formulas'!$E$10:$Q$115,12,0),weapon_components!E163),2)</f>
        <v>19</v>
      </c>
      <c r="F163" s="5">
        <f>ROUND(_xlfn.IFNA(VLOOKUP(A163,'Weapon Formulas'!$E$10:$L$115,8,0),weapon_components!F163),2)</f>
        <v>1</v>
      </c>
      <c r="G163" s="5">
        <f>ROUND(_xlfn.IFNA(VLOOKUP(A163,'Weapon Formulas'!$E$10:$P$115,9,0),weapon_components!G163),2)</f>
        <v>0.5</v>
      </c>
      <c r="H163" s="5">
        <f>ROUND(_xlfn.IFNA(VLOOKUP(A163,'Weapon Formulas'!$E$10:$L$115,7,0),weapon_components!H163),2)</f>
        <v>0.5</v>
      </c>
      <c r="I163">
        <v>2</v>
      </c>
      <c r="J163">
        <v>25</v>
      </c>
      <c r="K163">
        <v>25</v>
      </c>
      <c r="L163" s="5">
        <f>ROUND(_xlfn.IFNA(VLOOKUP(A163,'Weapon Formulas'!$E$10:$Z$115,15,0),weapon_components!L163),2)</f>
        <v>20</v>
      </c>
      <c r="M163">
        <v>0.78</v>
      </c>
      <c r="N163" s="5">
        <f>ROUND(_xlfn.IFNA(VLOOKUP(A163,'Weapon Formulas'!$E$10:$W$115,16,0),weapon_components!N163),2)</f>
        <v>0</v>
      </c>
    </row>
    <row r="164" spans="1:14" x14ac:dyDescent="0.25">
      <c r="A164" s="15" t="s">
        <v>200</v>
      </c>
      <c r="B164">
        <v>30</v>
      </c>
      <c r="C164" s="5">
        <f>ROUND(_xlfn.IFNA(VLOOKUP(A164,'Weapon Formulas'!$E$10:$V$115,17,0),weapon_components!C164),2)</f>
        <v>-30</v>
      </c>
      <c r="D164" s="5">
        <f>ROUND(_xlfn.IFNA(VLOOKUP(A164,'Weapon Formulas'!$E$10:$Q$115,11,0),weapon_components!D164),2)</f>
        <v>25</v>
      </c>
      <c r="E164" s="5">
        <f>ROUND(_xlfn.IFNA(VLOOKUP(A164,'Weapon Formulas'!$E$10:$Q$115,12,0),weapon_components!E164),2)</f>
        <v>43</v>
      </c>
      <c r="F164" s="5">
        <f>ROUND(_xlfn.IFNA(VLOOKUP(A164,'Weapon Formulas'!$E$10:$L$115,8,0),weapon_components!F164),2)</f>
        <v>1</v>
      </c>
      <c r="G164" s="5">
        <f>ROUND(_xlfn.IFNA(VLOOKUP(A164,'Weapon Formulas'!$E$10:$P$115,9,0),weapon_components!G164),2)</f>
        <v>0.5</v>
      </c>
      <c r="H164" s="5">
        <f>ROUND(_xlfn.IFNA(VLOOKUP(A164,'Weapon Formulas'!$E$10:$L$115,7,0),weapon_components!H164),2)</f>
        <v>0.5</v>
      </c>
      <c r="I164">
        <v>2</v>
      </c>
      <c r="J164">
        <v>25</v>
      </c>
      <c r="K164">
        <v>25</v>
      </c>
      <c r="L164" s="5">
        <f>ROUND(_xlfn.IFNA(VLOOKUP(A164,'Weapon Formulas'!$E$10:$Z$115,15,0),weapon_components!L164),2)</f>
        <v>30</v>
      </c>
      <c r="M164">
        <v>0.75</v>
      </c>
      <c r="N164" s="5">
        <f>ROUND(_xlfn.IFNA(VLOOKUP(A164,'Weapon Formulas'!$E$10:$W$115,16,0),weapon_components!N164),2)</f>
        <v>0</v>
      </c>
    </row>
    <row r="165" spans="1:14" x14ac:dyDescent="0.25">
      <c r="A165" s="15" t="s">
        <v>201</v>
      </c>
      <c r="B165">
        <v>60</v>
      </c>
      <c r="C165" s="5">
        <f>ROUND(_xlfn.IFNA(VLOOKUP(A165,'Weapon Formulas'!$E$10:$V$115,17,0),weapon_components!C165),2)</f>
        <v>-60</v>
      </c>
      <c r="D165" s="5">
        <f>ROUND(_xlfn.IFNA(VLOOKUP(A165,'Weapon Formulas'!$E$10:$Q$115,11,0),weapon_components!D165),2)</f>
        <v>55</v>
      </c>
      <c r="E165" s="5">
        <f>ROUND(_xlfn.IFNA(VLOOKUP(A165,'Weapon Formulas'!$E$10:$Q$115,12,0),weapon_components!E165),2)</f>
        <v>100</v>
      </c>
      <c r="F165" s="5">
        <f>ROUND(_xlfn.IFNA(VLOOKUP(A165,'Weapon Formulas'!$E$10:$L$115,8,0),weapon_components!F165),2)</f>
        <v>1</v>
      </c>
      <c r="G165" s="5">
        <f>ROUND(_xlfn.IFNA(VLOOKUP(A165,'Weapon Formulas'!$E$10:$P$115,9,0),weapon_components!G165),2)</f>
        <v>0.5</v>
      </c>
      <c r="H165" s="5">
        <f>ROUND(_xlfn.IFNA(VLOOKUP(A165,'Weapon Formulas'!$E$10:$L$115,7,0),weapon_components!H165),2)</f>
        <v>0.5</v>
      </c>
      <c r="I165">
        <v>2</v>
      </c>
      <c r="J165">
        <v>25</v>
      </c>
      <c r="K165">
        <v>25</v>
      </c>
      <c r="L165" s="5">
        <f>ROUND(_xlfn.IFNA(VLOOKUP(A165,'Weapon Formulas'!$E$10:$Z$115,15,0),weapon_components!L165),2)</f>
        <v>40</v>
      </c>
      <c r="M165">
        <v>0.74</v>
      </c>
      <c r="N165" s="5">
        <f>ROUND(_xlfn.IFNA(VLOOKUP(A165,'Weapon Formulas'!$E$10:$W$115,16,0),weapon_components!N165),2)</f>
        <v>0</v>
      </c>
    </row>
    <row r="166" spans="1:14" x14ac:dyDescent="0.25">
      <c r="A166" s="15" t="s">
        <v>202</v>
      </c>
      <c r="C166" s="5"/>
      <c r="D166" s="5"/>
      <c r="E166" s="5"/>
      <c r="F166" s="5"/>
      <c r="G166" s="5"/>
      <c r="H166" s="5"/>
      <c r="L166" s="5"/>
      <c r="N166" s="5"/>
    </row>
    <row r="167" spans="1:14" x14ac:dyDescent="0.25">
      <c r="A167" s="15" t="s">
        <v>203</v>
      </c>
      <c r="B167">
        <v>0</v>
      </c>
      <c r="C167" s="5">
        <f>ROUND(_xlfn.IFNA(VLOOKUP(A167,'Weapon Formulas'!$E$10:$V$115,17,0),weapon_components!C167),2)</f>
        <v>0</v>
      </c>
      <c r="D167" s="5">
        <f>ROUND(_xlfn.IFNA(VLOOKUP(A167,'Weapon Formulas'!$E$10:$Q$115,11,0),weapon_components!D167),2)</f>
        <v>14</v>
      </c>
      <c r="E167" s="5">
        <f>ROUND(_xlfn.IFNA(VLOOKUP(A167,'Weapon Formulas'!$E$10:$Q$115,12,0),weapon_components!E167),2)</f>
        <v>25</v>
      </c>
      <c r="F167" s="5">
        <f>ROUND(_xlfn.IFNA(VLOOKUP(A167,'Weapon Formulas'!$E$10:$L$115,8,0),weapon_components!F167),2)</f>
        <v>1</v>
      </c>
      <c r="G167" s="5">
        <f>ROUND(_xlfn.IFNA(VLOOKUP(A167,'Weapon Formulas'!$E$10:$P$115,9,0),weapon_components!G167),2)</f>
        <v>0</v>
      </c>
      <c r="H167" s="5">
        <f>ROUND(_xlfn.IFNA(VLOOKUP(A167,'Weapon Formulas'!$E$10:$L$115,7,0),weapon_components!H167),2)</f>
        <v>0</v>
      </c>
      <c r="I167">
        <v>2</v>
      </c>
      <c r="J167">
        <v>25</v>
      </c>
      <c r="K167">
        <v>40</v>
      </c>
      <c r="L167" s="5">
        <f>ROUND(_xlfn.IFNA(VLOOKUP(A167,'Weapon Formulas'!$E$10:$Z$115,15,0),weapon_components!L167),2)</f>
        <v>26</v>
      </c>
      <c r="M167">
        <v>1</v>
      </c>
      <c r="N167" s="5">
        <f>ROUND(_xlfn.IFNA(VLOOKUP(A167,'Weapon Formulas'!$E$10:$W$115,16,0),weapon_components!N167),2)</f>
        <v>5</v>
      </c>
    </row>
    <row r="168" spans="1:14" x14ac:dyDescent="0.25">
      <c r="A168" s="15" t="s">
        <v>204</v>
      </c>
      <c r="B168">
        <v>0</v>
      </c>
      <c r="C168" s="5">
        <f>ROUND(_xlfn.IFNA(VLOOKUP(A168,'Weapon Formulas'!$E$10:$V$115,17,0),weapon_components!C168),2)</f>
        <v>0</v>
      </c>
      <c r="D168" s="5">
        <f>ROUND(_xlfn.IFNA(VLOOKUP(A168,'Weapon Formulas'!$E$10:$Q$115,11,0),weapon_components!D168),2)</f>
        <v>25</v>
      </c>
      <c r="E168" s="5">
        <f>ROUND(_xlfn.IFNA(VLOOKUP(A168,'Weapon Formulas'!$E$10:$Q$115,12,0),weapon_components!E168),2)</f>
        <v>50</v>
      </c>
      <c r="F168" s="5">
        <f>ROUND(_xlfn.IFNA(VLOOKUP(A168,'Weapon Formulas'!$E$10:$L$115,8,0),weapon_components!F168),2)</f>
        <v>1</v>
      </c>
      <c r="G168" s="5">
        <f>ROUND(_xlfn.IFNA(VLOOKUP(A168,'Weapon Formulas'!$E$10:$P$115,9,0),weapon_components!G168),2)</f>
        <v>0</v>
      </c>
      <c r="H168" s="5">
        <f>ROUND(_xlfn.IFNA(VLOOKUP(A168,'Weapon Formulas'!$E$10:$L$115,7,0),weapon_components!H168),2)</f>
        <v>0</v>
      </c>
      <c r="I168">
        <v>2</v>
      </c>
      <c r="J168">
        <v>25</v>
      </c>
      <c r="K168">
        <v>40</v>
      </c>
      <c r="L168" s="5">
        <f>ROUND(_xlfn.IFNA(VLOOKUP(A168,'Weapon Formulas'!$E$10:$Z$115,15,0),weapon_components!L168),2)</f>
        <v>36</v>
      </c>
      <c r="M168">
        <v>1</v>
      </c>
      <c r="N168" s="5">
        <f>ROUND(_xlfn.IFNA(VLOOKUP(A168,'Weapon Formulas'!$E$10:$W$115,16,0),weapon_components!N168),2)</f>
        <v>5</v>
      </c>
    </row>
    <row r="169" spans="1:14" x14ac:dyDescent="0.25">
      <c r="A169" s="15" t="s">
        <v>205</v>
      </c>
      <c r="B169">
        <v>0</v>
      </c>
      <c r="C169" s="5">
        <f>ROUND(_xlfn.IFNA(VLOOKUP(A169,'Weapon Formulas'!$E$10:$V$115,17,0),weapon_components!C169),2)</f>
        <v>0</v>
      </c>
      <c r="D169" s="5">
        <f>ROUND(_xlfn.IFNA(VLOOKUP(A169,'Weapon Formulas'!$E$10:$Q$115,11,0),weapon_components!D169),2)</f>
        <v>52</v>
      </c>
      <c r="E169" s="5">
        <f>ROUND(_xlfn.IFNA(VLOOKUP(A169,'Weapon Formulas'!$E$10:$Q$115,12,0),weapon_components!E169),2)</f>
        <v>90</v>
      </c>
      <c r="F169" s="5">
        <f>ROUND(_xlfn.IFNA(VLOOKUP(A169,'Weapon Formulas'!$E$10:$L$115,8,0),weapon_components!F169),2)</f>
        <v>1</v>
      </c>
      <c r="G169" s="5">
        <f>ROUND(_xlfn.IFNA(VLOOKUP(A169,'Weapon Formulas'!$E$10:$P$115,9,0),weapon_components!G169),2)</f>
        <v>0</v>
      </c>
      <c r="H169" s="5">
        <f>ROUND(_xlfn.IFNA(VLOOKUP(A169,'Weapon Formulas'!$E$10:$L$115,7,0),weapon_components!H169),2)</f>
        <v>0</v>
      </c>
      <c r="I169">
        <v>2</v>
      </c>
      <c r="J169">
        <v>25</v>
      </c>
      <c r="K169">
        <v>40</v>
      </c>
      <c r="L169" s="5">
        <f>ROUND(_xlfn.IFNA(VLOOKUP(A169,'Weapon Formulas'!$E$10:$Z$115,15,0),weapon_components!L169),2)</f>
        <v>46</v>
      </c>
      <c r="M169">
        <v>1</v>
      </c>
      <c r="N169" s="5">
        <f>ROUND(_xlfn.IFNA(VLOOKUP(A169,'Weapon Formulas'!$E$10:$W$115,16,0),weapon_components!N169),2)</f>
        <v>5</v>
      </c>
    </row>
    <row r="170" spans="1:14" x14ac:dyDescent="0.25">
      <c r="A170" s="15" t="s">
        <v>206</v>
      </c>
      <c r="B170">
        <v>50</v>
      </c>
      <c r="C170" s="5">
        <f>ROUND(_xlfn.IFNA(VLOOKUP(A170,'Weapon Formulas'!$E$10:$V$115,17,0),weapon_components!C170),2)</f>
        <v>-50</v>
      </c>
      <c r="D170" s="5">
        <f>ROUND(_xlfn.IFNA(VLOOKUP(A170,'Weapon Formulas'!$E$10:$Q$115,11,0),weapon_components!D170),2)</f>
        <v>52</v>
      </c>
      <c r="E170" s="5">
        <f>ROUND(_xlfn.IFNA(VLOOKUP(A170,'Weapon Formulas'!$E$10:$Q$115,12,0),weapon_components!E170),2)</f>
        <v>90</v>
      </c>
      <c r="F170" s="5">
        <f>ROUND(_xlfn.IFNA(VLOOKUP(A170,'Weapon Formulas'!$E$10:$L$115,8,0),weapon_components!F170),2)</f>
        <v>1</v>
      </c>
      <c r="G170" s="5">
        <f>ROUND(_xlfn.IFNA(VLOOKUP(A170,'Weapon Formulas'!$E$10:$P$115,9,0),weapon_components!G170),2)</f>
        <v>0</v>
      </c>
      <c r="H170" s="5">
        <f>ROUND(_xlfn.IFNA(VLOOKUP(A170,'Weapon Formulas'!$E$10:$L$115,7,0),weapon_components!H170),2)</f>
        <v>0</v>
      </c>
      <c r="I170">
        <v>2</v>
      </c>
      <c r="J170">
        <v>25</v>
      </c>
      <c r="K170">
        <v>40</v>
      </c>
      <c r="L170" s="5">
        <f>ROUND(_xlfn.IFNA(VLOOKUP(A170,'Weapon Formulas'!$E$10:$Z$115,15,0),weapon_components!L170),2)</f>
        <v>46</v>
      </c>
      <c r="M170">
        <v>1</v>
      </c>
      <c r="N170" s="5">
        <f>ROUND(_xlfn.IFNA(VLOOKUP(A170,'Weapon Formulas'!$E$10:$W$115,16,0),weapon_components!N170),2)</f>
        <v>5</v>
      </c>
    </row>
    <row r="171" spans="1:14" x14ac:dyDescent="0.25">
      <c r="A171" s="15" t="s">
        <v>207</v>
      </c>
      <c r="B171">
        <v>12.5</v>
      </c>
      <c r="C171" s="5">
        <f>ROUND(_xlfn.IFNA(VLOOKUP(A171,'Weapon Formulas'!$E$10:$V$115,17,0),weapon_components!C171),2)</f>
        <v>-12.5</v>
      </c>
      <c r="D171" s="5">
        <f>ROUND(_xlfn.IFNA(VLOOKUP(A171,'Weapon Formulas'!$E$10:$Q$115,11,0),weapon_components!D171),2)</f>
        <v>10</v>
      </c>
      <c r="E171" s="5">
        <f>ROUND(_xlfn.IFNA(VLOOKUP(A171,'Weapon Formulas'!$E$10:$Q$115,12,0),weapon_components!E171),2)</f>
        <v>23</v>
      </c>
      <c r="F171" s="5">
        <f>ROUND(_xlfn.IFNA(VLOOKUP(A171,'Weapon Formulas'!$E$10:$L$115,8,0),weapon_components!F171),2)</f>
        <v>1</v>
      </c>
      <c r="G171" s="5">
        <f>ROUND(_xlfn.IFNA(VLOOKUP(A171,'Weapon Formulas'!$E$10:$P$115,9,0),weapon_components!G171),2)</f>
        <v>0</v>
      </c>
      <c r="H171" s="5">
        <f>ROUND(_xlfn.IFNA(VLOOKUP(A171,'Weapon Formulas'!$E$10:$L$115,7,0),weapon_components!H171),2)</f>
        <v>0</v>
      </c>
      <c r="I171">
        <v>2</v>
      </c>
      <c r="J171">
        <v>25</v>
      </c>
      <c r="K171">
        <v>30</v>
      </c>
      <c r="L171" s="5">
        <f>ROUND(_xlfn.IFNA(VLOOKUP(A171,'Weapon Formulas'!$E$10:$Z$115,15,0),weapon_components!L171),2)</f>
        <v>30</v>
      </c>
      <c r="M171">
        <v>0.75</v>
      </c>
      <c r="N171" s="5">
        <f>ROUND(_xlfn.IFNA(VLOOKUP(A171,'Weapon Formulas'!$E$10:$W$115,16,0),weapon_components!N171),2)</f>
        <v>0</v>
      </c>
    </row>
    <row r="172" spans="1:14" x14ac:dyDescent="0.25">
      <c r="A172" s="15" t="s">
        <v>208</v>
      </c>
      <c r="B172">
        <v>25</v>
      </c>
      <c r="C172" s="5">
        <f>ROUND(_xlfn.IFNA(VLOOKUP(A172,'Weapon Formulas'!$E$10:$V$115,17,0),weapon_components!C172),2)</f>
        <v>-25</v>
      </c>
      <c r="D172" s="5">
        <f>ROUND(_xlfn.IFNA(VLOOKUP(A172,'Weapon Formulas'!$E$10:$Q$115,11,0),weapon_components!D172),2)</f>
        <v>20</v>
      </c>
      <c r="E172" s="5">
        <f>ROUND(_xlfn.IFNA(VLOOKUP(A172,'Weapon Formulas'!$E$10:$Q$115,12,0),weapon_components!E172),2)</f>
        <v>46</v>
      </c>
      <c r="F172" s="5">
        <f>ROUND(_xlfn.IFNA(VLOOKUP(A172,'Weapon Formulas'!$E$10:$L$115,8,0),weapon_components!F172),2)</f>
        <v>1</v>
      </c>
      <c r="G172" s="5">
        <f>ROUND(_xlfn.IFNA(VLOOKUP(A172,'Weapon Formulas'!$E$10:$P$115,9,0),weapon_components!G172),2)</f>
        <v>0</v>
      </c>
      <c r="H172" s="5">
        <f>ROUND(_xlfn.IFNA(VLOOKUP(A172,'Weapon Formulas'!$E$10:$L$115,7,0),weapon_components!H172),2)</f>
        <v>0</v>
      </c>
      <c r="I172">
        <v>2</v>
      </c>
      <c r="J172">
        <v>25</v>
      </c>
      <c r="K172">
        <v>30</v>
      </c>
      <c r="L172" s="5">
        <f>ROUND(_xlfn.IFNA(VLOOKUP(A172,'Weapon Formulas'!$E$10:$Z$115,15,0),weapon_components!L172),2)</f>
        <v>30</v>
      </c>
      <c r="M172">
        <v>0.75</v>
      </c>
      <c r="N172" s="5">
        <f>ROUND(_xlfn.IFNA(VLOOKUP(A172,'Weapon Formulas'!$E$10:$W$115,16,0),weapon_components!N172),2)</f>
        <v>0</v>
      </c>
    </row>
    <row r="173" spans="1:14" x14ac:dyDescent="0.25">
      <c r="A173" s="15" t="s">
        <v>209</v>
      </c>
      <c r="C173" s="5"/>
      <c r="D173" s="5"/>
      <c r="E173" s="5"/>
      <c r="F173" s="5"/>
      <c r="G173" s="5"/>
      <c r="H173" s="5"/>
      <c r="L173" s="5"/>
      <c r="N173" s="5"/>
    </row>
    <row r="174" spans="1:14" x14ac:dyDescent="0.25">
      <c r="A174" s="15" t="s">
        <v>210</v>
      </c>
      <c r="B174">
        <v>0</v>
      </c>
      <c r="C174" s="5">
        <f>ROUND(_xlfn.IFNA(VLOOKUP(A174,'Weapon Formulas'!$E$10:$V$115,17,0),weapon_components!C174),2)</f>
        <v>0</v>
      </c>
      <c r="D174" s="5">
        <f>ROUND(_xlfn.IFNA(VLOOKUP(A174,'Weapon Formulas'!$E$10:$Q$115,11,0),weapon_components!D174),2)</f>
        <v>90</v>
      </c>
      <c r="E174" s="5">
        <f>ROUND(_xlfn.IFNA(VLOOKUP(A174,'Weapon Formulas'!$E$10:$Q$115,12,0),weapon_components!E174),2)</f>
        <v>250</v>
      </c>
      <c r="F174" s="5">
        <f>ROUND(_xlfn.IFNA(VLOOKUP(A174,'Weapon Formulas'!$E$10:$L$115,8,0),weapon_components!F174),2)</f>
        <v>1</v>
      </c>
      <c r="G174" s="5">
        <f>ROUND(_xlfn.IFNA(VLOOKUP(A174,'Weapon Formulas'!$E$10:$P$115,9,0),weapon_components!G174),2)</f>
        <v>0</v>
      </c>
      <c r="H174" s="5">
        <f>ROUND(_xlfn.IFNA(VLOOKUP(A174,'Weapon Formulas'!$E$10:$L$115,7,0),weapon_components!H174),2)</f>
        <v>1</v>
      </c>
      <c r="I174">
        <v>2</v>
      </c>
      <c r="J174">
        <v>25</v>
      </c>
      <c r="K174">
        <v>100</v>
      </c>
      <c r="L174" s="5">
        <f>ROUND(_xlfn.IFNA(VLOOKUP(A174,'Weapon Formulas'!$E$10:$Z$115,15,0),weapon_components!L174),2)</f>
        <v>70</v>
      </c>
      <c r="M174">
        <v>0.9</v>
      </c>
      <c r="N174" s="5">
        <f>ROUND(_xlfn.IFNA(VLOOKUP(A174,'Weapon Formulas'!$E$10:$W$115,16,0),weapon_components!N174),2)</f>
        <v>0</v>
      </c>
    </row>
    <row r="175" spans="1:14" x14ac:dyDescent="0.25">
      <c r="A175" s="15" t="s">
        <v>211</v>
      </c>
      <c r="C175" s="5"/>
      <c r="D175" s="5"/>
      <c r="E175" s="5"/>
      <c r="F175" s="5"/>
      <c r="G175" s="5"/>
      <c r="H175" s="5"/>
      <c r="L175" s="5"/>
      <c r="N175" s="5"/>
    </row>
    <row r="176" spans="1:14" x14ac:dyDescent="0.25">
      <c r="A176" s="15" t="s">
        <v>212</v>
      </c>
      <c r="B176">
        <v>5</v>
      </c>
      <c r="C176" s="5">
        <f>ROUND(_xlfn.IFNA(VLOOKUP(A176,'Weapon Formulas'!$E$10:$V$115,17,0),weapon_components!C176),2)</f>
        <v>-5</v>
      </c>
      <c r="D176" s="5">
        <f>ROUND(_xlfn.IFNA(VLOOKUP(A176,'Weapon Formulas'!$E$10:$Q$115,11,0),weapon_components!D176),2)</f>
        <v>2</v>
      </c>
      <c r="E176" s="5">
        <f>ROUND(_xlfn.IFNA(VLOOKUP(A176,'Weapon Formulas'!$E$10:$Q$115,12,0),weapon_components!E176),2)</f>
        <v>3</v>
      </c>
      <c r="F176" s="5">
        <f>ROUND(_xlfn.IFNA(VLOOKUP(A176,'Weapon Formulas'!$E$10:$L$115,8,0),weapon_components!F176),2)</f>
        <v>1</v>
      </c>
      <c r="G176" s="5">
        <f>ROUND(_xlfn.IFNA(VLOOKUP(A176,'Weapon Formulas'!$E$10:$P$115,9,0),weapon_components!G176),2)</f>
        <v>0</v>
      </c>
      <c r="H176" s="5">
        <f>ROUND(_xlfn.IFNA(VLOOKUP(A176,'Weapon Formulas'!$E$10:$L$115,7,0),weapon_components!H176),2)</f>
        <v>0</v>
      </c>
      <c r="I176">
        <v>1</v>
      </c>
      <c r="J176">
        <v>1</v>
      </c>
      <c r="K176">
        <v>2</v>
      </c>
      <c r="L176" s="5">
        <v>1</v>
      </c>
      <c r="M176">
        <v>0.8</v>
      </c>
      <c r="N176" s="5">
        <f>ROUND(_xlfn.IFNA(VLOOKUP(A176,'Weapon Formulas'!$E$10:$W$115,16,0),weapon_components!N176),2)</f>
        <v>0</v>
      </c>
    </row>
    <row r="177" spans="1:14" x14ac:dyDescent="0.25">
      <c r="A177" s="15" t="s">
        <v>213</v>
      </c>
      <c r="B177">
        <v>7.5</v>
      </c>
      <c r="C177" s="5">
        <f>ROUND(_xlfn.IFNA(VLOOKUP(A177,'Weapon Formulas'!$E$10:$V$115,17,0),weapon_components!C177),2)</f>
        <v>-7.5</v>
      </c>
      <c r="D177" s="5">
        <f>ROUND(_xlfn.IFNA(VLOOKUP(A177,'Weapon Formulas'!$E$10:$Q$115,11,0),weapon_components!D177),2)</f>
        <v>3</v>
      </c>
      <c r="E177" s="5">
        <f>ROUND(_xlfn.IFNA(VLOOKUP(A177,'Weapon Formulas'!$E$10:$Q$115,12,0),weapon_components!E177),2)</f>
        <v>4</v>
      </c>
      <c r="F177" s="5">
        <f>ROUND(_xlfn.IFNA(VLOOKUP(A177,'Weapon Formulas'!$E$10:$L$115,8,0),weapon_components!F177),2)</f>
        <v>1</v>
      </c>
      <c r="G177" s="5">
        <f>ROUND(_xlfn.IFNA(VLOOKUP(A177,'Weapon Formulas'!$E$10:$P$115,9,0),weapon_components!G177),2)</f>
        <v>0</v>
      </c>
      <c r="H177" s="5">
        <f>ROUND(_xlfn.IFNA(VLOOKUP(A177,'Weapon Formulas'!$E$10:$L$115,7,0),weapon_components!H177),2)</f>
        <v>0</v>
      </c>
      <c r="I177">
        <v>1</v>
      </c>
      <c r="J177">
        <v>1</v>
      </c>
      <c r="K177">
        <v>2</v>
      </c>
      <c r="L177" s="5">
        <v>2</v>
      </c>
      <c r="M177">
        <v>0.8</v>
      </c>
      <c r="N177" s="5">
        <f>ROUND(_xlfn.IFNA(VLOOKUP(A177,'Weapon Formulas'!$E$10:$W$115,16,0),weapon_components!N177),2)</f>
        <v>0</v>
      </c>
    </row>
    <row r="178" spans="1:14" x14ac:dyDescent="0.25">
      <c r="A178" s="15" t="s">
        <v>214</v>
      </c>
      <c r="B178">
        <v>10</v>
      </c>
      <c r="C178" s="5">
        <f>ROUND(_xlfn.IFNA(VLOOKUP(A178,'Weapon Formulas'!$E$10:$V$115,17,0),weapon_components!C178),2)</f>
        <v>-10</v>
      </c>
      <c r="D178" s="5">
        <f>ROUND(_xlfn.IFNA(VLOOKUP(A178,'Weapon Formulas'!$E$10:$Q$115,11,0),weapon_components!D178),2)</f>
        <v>4</v>
      </c>
      <c r="E178" s="5">
        <f>ROUND(_xlfn.IFNA(VLOOKUP(A178,'Weapon Formulas'!$E$10:$Q$115,12,0),weapon_components!E178),2)</f>
        <v>5</v>
      </c>
      <c r="F178" s="5">
        <f>ROUND(_xlfn.IFNA(VLOOKUP(A178,'Weapon Formulas'!$E$10:$L$115,8,0),weapon_components!F178),2)</f>
        <v>1</v>
      </c>
      <c r="G178" s="5">
        <f>ROUND(_xlfn.IFNA(VLOOKUP(A178,'Weapon Formulas'!$E$10:$P$115,9,0),weapon_components!G178),2)</f>
        <v>0</v>
      </c>
      <c r="H178" s="5">
        <f>ROUND(_xlfn.IFNA(VLOOKUP(A178,'Weapon Formulas'!$E$10:$L$115,7,0),weapon_components!H178),2)</f>
        <v>0</v>
      </c>
      <c r="I178">
        <v>1</v>
      </c>
      <c r="J178">
        <v>1</v>
      </c>
      <c r="K178">
        <v>2</v>
      </c>
      <c r="L178" s="5">
        <v>4</v>
      </c>
      <c r="M178">
        <v>0.8</v>
      </c>
      <c r="N178" s="5">
        <f>ROUND(_xlfn.IFNA(VLOOKUP(A178,'Weapon Formulas'!$E$10:$W$115,16,0),weapon_components!N178),2)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weapon_components</vt:lpstr>
      <vt:lpstr>Weapon Formulas</vt:lpstr>
      <vt:lpstr>Ship Design Balancing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2016-05-17T20:51:42Z</dcterms:modified>
</cp:coreProperties>
</file>